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9780" activeTab="2"/>
  </bookViews>
  <sheets>
    <sheet name="Cover" sheetId="3" r:id="rId1"/>
    <sheet name="Summary" sheetId="2" r:id="rId2"/>
    <sheet name="Boq" sheetId="1" r:id="rId3"/>
  </sheets>
  <definedNames>
    <definedName name="_xlnm.Print_Area" localSheetId="2">Boq!$A$1:$G$1707</definedName>
    <definedName name="_xlnm.Print_Area" localSheetId="0">Cover!$A$1:$A$33</definedName>
    <definedName name="_xlnm.Print_Area" localSheetId="1">Summary!$A$1:$C$22</definedName>
    <definedName name="_xlnm.Print_Titles" localSheetId="2">Boq!$3:$3</definedName>
  </definedNames>
  <calcPr calcId="145621"/>
</workbook>
</file>

<file path=xl/calcChain.xml><?xml version="1.0" encoding="utf-8"?>
<calcChain xmlns="http://schemas.openxmlformats.org/spreadsheetml/2006/main">
  <c r="D1231" i="1" l="1"/>
  <c r="G1447" i="1"/>
  <c r="G861" i="1"/>
  <c r="G860" i="1"/>
  <c r="G859" i="1"/>
  <c r="G858" i="1"/>
  <c r="G857" i="1"/>
  <c r="G856" i="1"/>
  <c r="K374" i="1" l="1"/>
  <c r="G781" i="1"/>
  <c r="I1550" i="1"/>
  <c r="G938" i="1"/>
  <c r="G924" i="1"/>
  <c r="I852" i="1" l="1"/>
  <c r="G852" i="1"/>
  <c r="I52" i="1"/>
  <c r="I1034" i="1"/>
  <c r="I1022" i="1"/>
  <c r="I1028" i="1"/>
  <c r="G1040" i="1"/>
  <c r="G1038" i="1"/>
  <c r="G1037" i="1"/>
  <c r="G1032" i="1"/>
  <c r="G1031" i="1"/>
  <c r="G1026" i="1"/>
  <c r="G1025" i="1"/>
  <c r="G1020" i="1"/>
  <c r="G1019" i="1"/>
  <c r="G1034" i="1"/>
  <c r="G1028" i="1"/>
  <c r="J583" i="1" l="1"/>
  <c r="I583" i="1"/>
  <c r="J589" i="1"/>
  <c r="I589" i="1"/>
  <c r="I1549" i="1"/>
  <c r="G1551" i="1"/>
  <c r="G1549" i="1"/>
  <c r="G1548" i="1"/>
  <c r="D1546" i="1"/>
  <c r="I1540" i="1"/>
  <c r="J1540" i="1" s="1"/>
  <c r="G1540" i="1"/>
  <c r="I1538" i="1"/>
  <c r="J1538" i="1" s="1"/>
  <c r="D1377" i="1"/>
  <c r="G1377" i="1" s="1"/>
  <c r="D1376" i="1"/>
  <c r="G1376" i="1" s="1"/>
  <c r="G1373" i="1"/>
  <c r="G1375" i="1"/>
  <c r="G1374" i="1"/>
  <c r="G1372" i="1"/>
  <c r="G1371" i="1"/>
  <c r="G1482" i="1"/>
  <c r="G1481" i="1"/>
  <c r="G1480" i="1"/>
  <c r="G1479" i="1"/>
  <c r="G1478" i="1"/>
  <c r="G1477" i="1"/>
  <c r="G1476" i="1"/>
  <c r="G1475" i="1"/>
  <c r="G1469" i="1"/>
  <c r="G1468" i="1"/>
  <c r="G1467" i="1"/>
  <c r="G1466" i="1"/>
  <c r="G1465" i="1"/>
  <c r="G1464" i="1"/>
  <c r="G1463" i="1"/>
  <c r="G1462" i="1"/>
  <c r="D1369" i="1"/>
  <c r="G1369" i="1" s="1"/>
  <c r="D1368" i="1"/>
  <c r="G1368" i="1" s="1"/>
  <c r="D1367" i="1"/>
  <c r="G1367" i="1" s="1"/>
  <c r="D1366" i="1"/>
  <c r="G1366" i="1" s="1"/>
  <c r="D1365" i="1"/>
  <c r="G1365" i="1" s="1"/>
  <c r="D1364" i="1"/>
  <c r="G1364" i="1" s="1"/>
  <c r="D1363" i="1"/>
  <c r="G1363" i="1" s="1"/>
  <c r="D1362" i="1"/>
  <c r="G1362" i="1" s="1"/>
  <c r="G1361" i="1"/>
  <c r="G1360" i="1"/>
  <c r="G1359" i="1"/>
  <c r="G1358" i="1"/>
  <c r="G1357" i="1"/>
  <c r="G1356" i="1"/>
  <c r="G1355" i="1"/>
  <c r="D1354" i="1"/>
  <c r="G1354" i="1" s="1"/>
  <c r="G1353" i="1"/>
  <c r="G1352" i="1"/>
  <c r="G1351" i="1"/>
  <c r="G1350" i="1"/>
  <c r="G1349" i="1"/>
  <c r="G1348" i="1"/>
  <c r="G1347" i="1"/>
  <c r="G1346" i="1"/>
  <c r="G1345" i="1"/>
  <c r="G1344" i="1"/>
  <c r="G1343" i="1"/>
  <c r="G1342" i="1"/>
  <c r="G1341" i="1"/>
  <c r="G1340" i="1"/>
  <c r="G1339" i="1"/>
  <c r="G1307" i="1"/>
  <c r="G1308" i="1"/>
  <c r="G1309" i="1"/>
  <c r="G1310" i="1"/>
  <c r="G1311" i="1"/>
  <c r="G1312" i="1"/>
  <c r="G1313" i="1"/>
  <c r="G1314" i="1"/>
  <c r="G1315" i="1"/>
  <c r="G1316" i="1"/>
  <c r="G1317" i="1"/>
  <c r="G1318" i="1"/>
  <c r="G1319" i="1"/>
  <c r="G1320" i="1"/>
  <c r="G1321" i="1"/>
  <c r="D1322" i="1"/>
  <c r="G1322" i="1" s="1"/>
  <c r="G1323" i="1"/>
  <c r="G1324" i="1"/>
  <c r="G1325" i="1"/>
  <c r="G1326" i="1"/>
  <c r="G1327" i="1"/>
  <c r="G1328" i="1"/>
  <c r="G1329" i="1"/>
  <c r="D1330" i="1"/>
  <c r="G1330" i="1" s="1"/>
  <c r="D1331" i="1"/>
  <c r="G1331" i="1" s="1"/>
  <c r="D1332" i="1"/>
  <c r="G1332" i="1" s="1"/>
  <c r="D1333" i="1"/>
  <c r="G1333" i="1" s="1"/>
  <c r="D1334" i="1"/>
  <c r="G1334" i="1" s="1"/>
  <c r="D1335" i="1"/>
  <c r="G1335" i="1" s="1"/>
  <c r="D1336" i="1"/>
  <c r="G1336" i="1" s="1"/>
  <c r="D1337" i="1"/>
  <c r="G1337" i="1" s="1"/>
  <c r="D1298" i="1"/>
  <c r="D1271" i="1"/>
  <c r="D1239" i="1"/>
  <c r="G1219" i="1"/>
  <c r="G1171" i="1"/>
  <c r="G1168" i="1"/>
  <c r="G1167" i="1"/>
  <c r="G1165" i="1"/>
  <c r="D1164" i="1"/>
  <c r="G1164" i="1" s="1"/>
  <c r="G1163" i="1"/>
  <c r="D1162" i="1"/>
  <c r="G1162" i="1" s="1"/>
  <c r="G1161" i="1"/>
  <c r="D1160" i="1"/>
  <c r="G1160" i="1" s="1"/>
  <c r="D1159" i="1"/>
  <c r="G1159" i="1" s="1"/>
  <c r="G1158" i="1"/>
  <c r="G1157" i="1"/>
  <c r="G1155" i="1"/>
  <c r="G1154" i="1"/>
  <c r="G1149" i="1"/>
  <c r="G1148" i="1"/>
  <c r="G1147" i="1"/>
  <c r="D1146" i="1"/>
  <c r="G1146" i="1" s="1"/>
  <c r="G1145" i="1"/>
  <c r="D1144" i="1"/>
  <c r="G1144" i="1" s="1"/>
  <c r="G1143" i="1"/>
  <c r="D1142" i="1"/>
  <c r="G1142" i="1" s="1"/>
  <c r="D1141" i="1"/>
  <c r="G1141" i="1" s="1"/>
  <c r="G1140" i="1"/>
  <c r="G1139" i="1"/>
  <c r="G1137" i="1"/>
  <c r="G1136" i="1"/>
  <c r="G1133" i="1"/>
  <c r="G1132" i="1"/>
  <c r="G1131" i="1"/>
  <c r="D1130" i="1"/>
  <c r="G1130" i="1" s="1"/>
  <c r="G1129" i="1"/>
  <c r="D1128" i="1"/>
  <c r="G1128" i="1" s="1"/>
  <c r="G1127" i="1"/>
  <c r="D1126" i="1"/>
  <c r="G1126" i="1" s="1"/>
  <c r="D1125" i="1"/>
  <c r="G1125" i="1" s="1"/>
  <c r="G1124" i="1"/>
  <c r="G1123" i="1"/>
  <c r="G1120" i="1"/>
  <c r="G1119" i="1"/>
  <c r="I1046" i="1"/>
  <c r="G1044" i="1"/>
  <c r="I997" i="1"/>
  <c r="J997" i="1" s="1"/>
  <c r="G997" i="1"/>
  <c r="G996" i="1"/>
  <c r="G995" i="1"/>
  <c r="I993" i="1"/>
  <c r="J993" i="1" s="1"/>
  <c r="G993" i="1"/>
  <c r="G992" i="1"/>
  <c r="G991" i="1"/>
  <c r="M671" i="1"/>
  <c r="N671" i="1" s="1"/>
  <c r="O671" i="1" s="1"/>
  <c r="G963" i="1"/>
  <c r="G962" i="1"/>
  <c r="G844" i="1"/>
  <c r="G846" i="1"/>
  <c r="J843" i="1"/>
  <c r="I843" i="1"/>
  <c r="G843" i="1"/>
  <c r="G839" i="1"/>
  <c r="G837" i="1"/>
  <c r="I834" i="1"/>
  <c r="G834" i="1"/>
  <c r="K833" i="1"/>
  <c r="I833" i="1"/>
  <c r="J833" i="1" s="1"/>
  <c r="G833" i="1"/>
  <c r="G830" i="1"/>
  <c r="J828" i="1"/>
  <c r="I828" i="1"/>
  <c r="G828" i="1"/>
  <c r="G826" i="1"/>
  <c r="I825" i="1"/>
  <c r="G819" i="1"/>
  <c r="G817" i="1"/>
  <c r="I814" i="1"/>
  <c r="G814" i="1"/>
  <c r="K813" i="1"/>
  <c r="I813" i="1"/>
  <c r="J813" i="1" s="1"/>
  <c r="G813" i="1"/>
  <c r="G810" i="1"/>
  <c r="J808" i="1"/>
  <c r="I808" i="1"/>
  <c r="G808" i="1"/>
  <c r="G806" i="1"/>
  <c r="I805" i="1"/>
  <c r="D791" i="1"/>
  <c r="G791" i="1" s="1"/>
  <c r="D770" i="1"/>
  <c r="G768" i="1"/>
  <c r="I715" i="1"/>
  <c r="G793" i="1"/>
  <c r="I778" i="1"/>
  <c r="G778" i="1"/>
  <c r="K777" i="1"/>
  <c r="I777" i="1"/>
  <c r="J777" i="1" s="1"/>
  <c r="G777" i="1"/>
  <c r="I797" i="1"/>
  <c r="K796" i="1"/>
  <c r="I796" i="1"/>
  <c r="J796" i="1" s="1"/>
  <c r="G802" i="1"/>
  <c r="G800" i="1"/>
  <c r="G797" i="1"/>
  <c r="G796" i="1"/>
  <c r="J791" i="1"/>
  <c r="I791" i="1"/>
  <c r="G789" i="1"/>
  <c r="I788" i="1"/>
  <c r="I760" i="1"/>
  <c r="J762" i="1"/>
  <c r="J759" i="1"/>
  <c r="I759" i="1"/>
  <c r="D756" i="1"/>
  <c r="G750" i="1"/>
  <c r="G749" i="1"/>
  <c r="D748" i="1"/>
  <c r="G752" i="1"/>
  <c r="I737" i="1"/>
  <c r="G738" i="1"/>
  <c r="G737" i="1"/>
  <c r="G736" i="1"/>
  <c r="G735" i="1"/>
  <c r="G734" i="1"/>
  <c r="G733" i="1"/>
  <c r="G732" i="1"/>
  <c r="I727" i="1"/>
  <c r="G731" i="1"/>
  <c r="G729" i="1"/>
  <c r="G728" i="1"/>
  <c r="G727" i="1"/>
  <c r="G726" i="1"/>
  <c r="G725" i="1"/>
  <c r="I721" i="1"/>
  <c r="G724" i="1"/>
  <c r="G723" i="1"/>
  <c r="G722" i="1"/>
  <c r="G721" i="1"/>
  <c r="G716" i="1"/>
  <c r="I718" i="1"/>
  <c r="I714" i="1"/>
  <c r="I707" i="1"/>
  <c r="I839" i="1" s="1"/>
  <c r="G711" i="1"/>
  <c r="G709" i="1"/>
  <c r="G708" i="1"/>
  <c r="I687" i="1"/>
  <c r="J687" i="1" s="1"/>
  <c r="I685" i="1"/>
  <c r="I819" i="1" s="1"/>
  <c r="I942" i="1"/>
  <c r="J942" i="1" s="1"/>
  <c r="G942" i="1"/>
  <c r="I941" i="1"/>
  <c r="J941" i="1" s="1"/>
  <c r="G941" i="1"/>
  <c r="I936" i="1"/>
  <c r="J936" i="1" s="1"/>
  <c r="G936" i="1"/>
  <c r="I935" i="1"/>
  <c r="J935" i="1" s="1"/>
  <c r="G935" i="1"/>
  <c r="I934" i="1"/>
  <c r="J934" i="1" s="1"/>
  <c r="G934" i="1"/>
  <c r="I929" i="1"/>
  <c r="J929" i="1" s="1"/>
  <c r="G929" i="1"/>
  <c r="I928" i="1"/>
  <c r="J928" i="1" s="1"/>
  <c r="G928" i="1"/>
  <c r="I922" i="1"/>
  <c r="J922" i="1" s="1"/>
  <c r="G922" i="1"/>
  <c r="I921" i="1"/>
  <c r="J921" i="1" s="1"/>
  <c r="G921" i="1"/>
  <c r="I920" i="1"/>
  <c r="J920" i="1" s="1"/>
  <c r="G920" i="1"/>
  <c r="I918" i="1"/>
  <c r="J918" i="1" s="1"/>
  <c r="G918" i="1"/>
  <c r="I917" i="1"/>
  <c r="J917" i="1" s="1"/>
  <c r="G917" i="1"/>
  <c r="I646" i="1"/>
  <c r="J646" i="1" s="1"/>
  <c r="M643" i="1"/>
  <c r="K638" i="1"/>
  <c r="L638" i="1" s="1"/>
  <c r="I643" i="1"/>
  <c r="J643" i="1" s="1"/>
  <c r="L643" i="1" s="1"/>
  <c r="I638" i="1"/>
  <c r="J638" i="1" s="1"/>
  <c r="M635" i="1"/>
  <c r="I635" i="1"/>
  <c r="J635" i="1" s="1"/>
  <c r="L635" i="1" s="1"/>
  <c r="K633" i="1"/>
  <c r="L633" i="1" s="1"/>
  <c r="I633" i="1"/>
  <c r="J633" i="1" s="1"/>
  <c r="M676" i="1"/>
  <c r="I676" i="1"/>
  <c r="N681" i="1" s="1"/>
  <c r="O681" i="1" s="1"/>
  <c r="M666" i="1"/>
  <c r="I681" i="1"/>
  <c r="G681" i="1"/>
  <c r="G680" i="1"/>
  <c r="G677" i="1"/>
  <c r="G676" i="1"/>
  <c r="I674" i="1"/>
  <c r="J674" i="1" s="1"/>
  <c r="L674" i="1" s="1"/>
  <c r="M674" i="1" s="1"/>
  <c r="G674" i="1"/>
  <c r="G673" i="1"/>
  <c r="G672" i="1"/>
  <c r="I671" i="1"/>
  <c r="J671" i="1" s="1"/>
  <c r="L671" i="1" s="1"/>
  <c r="G671" i="1"/>
  <c r="I669" i="1"/>
  <c r="J669" i="1" s="1"/>
  <c r="L669" i="1" s="1"/>
  <c r="M669" i="1" s="1"/>
  <c r="M630" i="1"/>
  <c r="I630" i="1"/>
  <c r="J630" i="1" s="1"/>
  <c r="L630" i="1" s="1"/>
  <c r="I666" i="1"/>
  <c r="N669" i="1" s="1"/>
  <c r="I661" i="1"/>
  <c r="K628" i="1"/>
  <c r="L628" i="1" s="1"/>
  <c r="I628" i="1"/>
  <c r="J628" i="1" s="1"/>
  <c r="I911" i="1"/>
  <c r="J911" i="1" s="1"/>
  <c r="I910" i="1"/>
  <c r="J910" i="1" s="1"/>
  <c r="G911" i="1"/>
  <c r="I912" i="1"/>
  <c r="J912" i="1" s="1"/>
  <c r="G912" i="1"/>
  <c r="G910" i="1"/>
  <c r="I908" i="1"/>
  <c r="J908" i="1" s="1"/>
  <c r="G908" i="1"/>
  <c r="I907" i="1"/>
  <c r="J907" i="1" s="1"/>
  <c r="G907" i="1"/>
  <c r="I664" i="1"/>
  <c r="J664" i="1" s="1"/>
  <c r="L664" i="1" s="1"/>
  <c r="M664" i="1" s="1"/>
  <c r="N661" i="1"/>
  <c r="O661" i="1" s="1"/>
  <c r="I625" i="1"/>
  <c r="J625" i="1" s="1"/>
  <c r="L625" i="1" s="1"/>
  <c r="K623" i="1"/>
  <c r="L623" i="1" s="1"/>
  <c r="I623" i="1"/>
  <c r="J623" i="1" s="1"/>
  <c r="I899" i="1"/>
  <c r="I897" i="1"/>
  <c r="J897" i="1" s="1"/>
  <c r="L901" i="1" s="1"/>
  <c r="G897" i="1"/>
  <c r="I896" i="1"/>
  <c r="J896" i="1" s="1"/>
  <c r="G896" i="1"/>
  <c r="I895" i="1"/>
  <c r="J895" i="1" s="1"/>
  <c r="G895" i="1"/>
  <c r="I659" i="1"/>
  <c r="J659" i="1" s="1"/>
  <c r="L659" i="1" s="1"/>
  <c r="M659" i="1" s="1"/>
  <c r="M657" i="1"/>
  <c r="I657" i="1"/>
  <c r="N659" i="1" s="1"/>
  <c r="O659" i="1" s="1"/>
  <c r="G643" i="1"/>
  <c r="G642" i="1"/>
  <c r="G638" i="1"/>
  <c r="G637" i="1"/>
  <c r="G635" i="1"/>
  <c r="G634" i="1"/>
  <c r="G633" i="1"/>
  <c r="G632" i="1"/>
  <c r="G630" i="1"/>
  <c r="G629" i="1"/>
  <c r="G628" i="1"/>
  <c r="G627" i="1"/>
  <c r="G625" i="1"/>
  <c r="G624" i="1"/>
  <c r="G623" i="1"/>
  <c r="G622" i="1"/>
  <c r="L620" i="1"/>
  <c r="M620" i="1" s="1"/>
  <c r="I620" i="1"/>
  <c r="J620" i="1" s="1"/>
  <c r="I884" i="1"/>
  <c r="J884" i="1" s="1"/>
  <c r="I885" i="1"/>
  <c r="J885" i="1" s="1"/>
  <c r="G884" i="1"/>
  <c r="G885" i="1"/>
  <c r="I886" i="1"/>
  <c r="I883" i="1"/>
  <c r="K618" i="1"/>
  <c r="L618" i="1" s="1"/>
  <c r="I618" i="1"/>
  <c r="J618" i="1" s="1"/>
  <c r="L197" i="1"/>
  <c r="K197" i="1"/>
  <c r="I197" i="1"/>
  <c r="J202" i="1"/>
  <c r="J201" i="1"/>
  <c r="K200" i="1"/>
  <c r="J200" i="1"/>
  <c r="J199" i="1"/>
  <c r="J198" i="1"/>
  <c r="L579" i="1"/>
  <c r="M579" i="1" s="1"/>
  <c r="N579" i="1" s="1"/>
  <c r="O579" i="1" s="1"/>
  <c r="J572" i="1"/>
  <c r="K572" i="1" s="1"/>
  <c r="L572" i="1" s="1"/>
  <c r="J575" i="1"/>
  <c r="K575" i="1" s="1"/>
  <c r="L575" i="1" s="1"/>
  <c r="I579" i="1"/>
  <c r="I580" i="1" s="1"/>
  <c r="D578" i="1" s="1"/>
  <c r="G579" i="1"/>
  <c r="I576" i="1"/>
  <c r="G576" i="1"/>
  <c r="I575" i="1"/>
  <c r="G575" i="1"/>
  <c r="I572" i="1"/>
  <c r="G572" i="1"/>
  <c r="I571" i="1"/>
  <c r="G571" i="1"/>
  <c r="N566" i="1"/>
  <c r="O566" i="1" s="1"/>
  <c r="K566" i="1"/>
  <c r="L566" i="1" s="1"/>
  <c r="K563" i="1"/>
  <c r="L563" i="1" s="1"/>
  <c r="I566" i="1"/>
  <c r="I567" i="1" s="1"/>
  <c r="D565" i="1" s="1"/>
  <c r="G566" i="1"/>
  <c r="I563" i="1"/>
  <c r="I564" i="1" s="1"/>
  <c r="D562" i="1" s="1"/>
  <c r="G563" i="1"/>
  <c r="L559" i="1"/>
  <c r="M559" i="1" s="1"/>
  <c r="J559" i="1"/>
  <c r="I560" i="1"/>
  <c r="G560" i="1"/>
  <c r="I559" i="1"/>
  <c r="G559" i="1"/>
  <c r="O558" i="1"/>
  <c r="J443" i="1"/>
  <c r="K443" i="1" s="1"/>
  <c r="J513" i="1"/>
  <c r="J551" i="1"/>
  <c r="I522" i="1"/>
  <c r="I521" i="1"/>
  <c r="I487" i="1"/>
  <c r="I486" i="1"/>
  <c r="G522" i="1"/>
  <c r="G487" i="1"/>
  <c r="I452" i="1"/>
  <c r="G452" i="1"/>
  <c r="I552" i="1"/>
  <c r="G552" i="1"/>
  <c r="I551" i="1"/>
  <c r="G551" i="1"/>
  <c r="L555" i="1"/>
  <c r="M555" i="1" s="1"/>
  <c r="N555" i="1" s="1"/>
  <c r="I555" i="1"/>
  <c r="I556" i="1" s="1"/>
  <c r="D554" i="1" s="1"/>
  <c r="G555" i="1"/>
  <c r="I548" i="1"/>
  <c r="G548" i="1"/>
  <c r="J547" i="1"/>
  <c r="K547" i="1" s="1"/>
  <c r="L547" i="1" s="1"/>
  <c r="I547" i="1"/>
  <c r="G547" i="1"/>
  <c r="J544" i="1"/>
  <c r="K544" i="1" s="1"/>
  <c r="L544" i="1" s="1"/>
  <c r="I544" i="1"/>
  <c r="G544" i="1"/>
  <c r="I543" i="1"/>
  <c r="G543" i="1"/>
  <c r="I538" i="1"/>
  <c r="I539" i="1" s="1"/>
  <c r="D537" i="1" s="1"/>
  <c r="G538" i="1"/>
  <c r="I535" i="1"/>
  <c r="G535" i="1"/>
  <c r="J534" i="1"/>
  <c r="I534" i="1"/>
  <c r="G534" i="1"/>
  <c r="I531" i="1"/>
  <c r="G531" i="1"/>
  <c r="L530" i="1"/>
  <c r="M530" i="1" s="1"/>
  <c r="J530" i="1"/>
  <c r="I530" i="1"/>
  <c r="G530" i="1"/>
  <c r="I527" i="1"/>
  <c r="G527" i="1"/>
  <c r="L526" i="1"/>
  <c r="M526" i="1" s="1"/>
  <c r="N526" i="1" s="1"/>
  <c r="J526" i="1"/>
  <c r="I526" i="1"/>
  <c r="G526" i="1"/>
  <c r="L521" i="1"/>
  <c r="G521" i="1"/>
  <c r="I518" i="1"/>
  <c r="G518" i="1"/>
  <c r="J517" i="1"/>
  <c r="K517" i="1" s="1"/>
  <c r="L517" i="1" s="1"/>
  <c r="I517" i="1"/>
  <c r="G517" i="1"/>
  <c r="J514" i="1"/>
  <c r="I514" i="1"/>
  <c r="G514" i="1"/>
  <c r="K513" i="1"/>
  <c r="L513" i="1" s="1"/>
  <c r="I513" i="1"/>
  <c r="G513" i="1"/>
  <c r="J512" i="1"/>
  <c r="I512" i="1"/>
  <c r="G512" i="1"/>
  <c r="J509" i="1"/>
  <c r="K509" i="1" s="1"/>
  <c r="L509" i="1" s="1"/>
  <c r="I509" i="1"/>
  <c r="G509" i="1"/>
  <c r="I508" i="1"/>
  <c r="G508" i="1"/>
  <c r="I503" i="1"/>
  <c r="I504" i="1" s="1"/>
  <c r="D502" i="1" s="1"/>
  <c r="G503" i="1"/>
  <c r="I468" i="1"/>
  <c r="I469" i="1" s="1"/>
  <c r="D467" i="1" s="1"/>
  <c r="G468" i="1"/>
  <c r="L486" i="1"/>
  <c r="M486" i="1" s="1"/>
  <c r="N486" i="1" s="1"/>
  <c r="O486" i="1" s="1"/>
  <c r="J464" i="1"/>
  <c r="J499" i="1"/>
  <c r="J491" i="1"/>
  <c r="J495" i="1"/>
  <c r="I500" i="1"/>
  <c r="G500" i="1"/>
  <c r="I499" i="1"/>
  <c r="G499" i="1"/>
  <c r="I496" i="1"/>
  <c r="G496" i="1"/>
  <c r="L495" i="1"/>
  <c r="N495" i="1" s="1"/>
  <c r="I495" i="1"/>
  <c r="G495" i="1"/>
  <c r="I492" i="1"/>
  <c r="G492" i="1"/>
  <c r="L491" i="1"/>
  <c r="M491" i="1" s="1"/>
  <c r="N491" i="1" s="1"/>
  <c r="I491" i="1"/>
  <c r="G491" i="1"/>
  <c r="K450" i="1"/>
  <c r="L450" i="1" s="1"/>
  <c r="M450" i="1" s="1"/>
  <c r="N450" i="1" s="1"/>
  <c r="J271" i="1"/>
  <c r="K271" i="1" s="1"/>
  <c r="J392" i="1"/>
  <c r="K392" i="1" s="1"/>
  <c r="L392" i="1" s="1"/>
  <c r="J400" i="1"/>
  <c r="K400" i="1" s="1"/>
  <c r="L400" i="1" s="1"/>
  <c r="I401" i="1"/>
  <c r="G401" i="1"/>
  <c r="I400" i="1"/>
  <c r="G400" i="1"/>
  <c r="J217" i="1"/>
  <c r="G217" i="1"/>
  <c r="G216" i="1"/>
  <c r="J257" i="1"/>
  <c r="K257" i="1" s="1"/>
  <c r="J244" i="1"/>
  <c r="K244" i="1" s="1"/>
  <c r="I473" i="1"/>
  <c r="I287" i="1"/>
  <c r="I285" i="1"/>
  <c r="I282" i="1"/>
  <c r="J282" i="1" s="1"/>
  <c r="I281" i="1"/>
  <c r="J281" i="1" s="1"/>
  <c r="I280" i="1"/>
  <c r="J280" i="1" s="1"/>
  <c r="I275" i="1"/>
  <c r="I274" i="1"/>
  <c r="I273" i="1"/>
  <c r="I173" i="1"/>
  <c r="J173" i="1" s="1"/>
  <c r="I175" i="1"/>
  <c r="J175" i="1" s="1"/>
  <c r="G173" i="1"/>
  <c r="G174" i="1"/>
  <c r="I174" i="1"/>
  <c r="J174" i="1" s="1"/>
  <c r="G175" i="1"/>
  <c r="I168" i="1"/>
  <c r="G168" i="1"/>
  <c r="I167" i="1"/>
  <c r="G167" i="1"/>
  <c r="I166" i="1"/>
  <c r="G166" i="1"/>
  <c r="I153" i="1"/>
  <c r="I148" i="1"/>
  <c r="J148" i="1" s="1"/>
  <c r="I149" i="1"/>
  <c r="J149" i="1" s="1"/>
  <c r="K149" i="1"/>
  <c r="L149" i="1" s="1"/>
  <c r="J151" i="1"/>
  <c r="K151" i="1" s="1"/>
  <c r="L151" i="1" s="1"/>
  <c r="I135" i="1"/>
  <c r="J135" i="1" s="1"/>
  <c r="J134" i="1"/>
  <c r="J138" i="1"/>
  <c r="K138" i="1" s="1"/>
  <c r="L138" i="1" s="1"/>
  <c r="J164" i="1"/>
  <c r="K164" i="1" s="1"/>
  <c r="L164" i="1" s="1"/>
  <c r="K162" i="1"/>
  <c r="L162" i="1" s="1"/>
  <c r="I162" i="1"/>
  <c r="J162" i="1" s="1"/>
  <c r="G162" i="1"/>
  <c r="I161" i="1"/>
  <c r="J161" i="1" s="1"/>
  <c r="G161" i="1"/>
  <c r="K160" i="1"/>
  <c r="L160" i="1" s="1"/>
  <c r="I160" i="1"/>
  <c r="J160" i="1" s="1"/>
  <c r="G160" i="1"/>
  <c r="I147" i="1"/>
  <c r="J477" i="1"/>
  <c r="J478" i="1"/>
  <c r="K478" i="1" s="1"/>
  <c r="L478" i="1" s="1"/>
  <c r="J474" i="1"/>
  <c r="K474" i="1" s="1"/>
  <c r="L474" i="1" s="1"/>
  <c r="G486" i="1"/>
  <c r="I483" i="1"/>
  <c r="G483" i="1"/>
  <c r="J482" i="1"/>
  <c r="K482" i="1" s="1"/>
  <c r="L482" i="1" s="1"/>
  <c r="I482" i="1"/>
  <c r="G482" i="1"/>
  <c r="J479" i="1"/>
  <c r="I479" i="1"/>
  <c r="G479" i="1"/>
  <c r="I478" i="1"/>
  <c r="G478" i="1"/>
  <c r="I477" i="1"/>
  <c r="G477" i="1"/>
  <c r="I474" i="1"/>
  <c r="G474" i="1"/>
  <c r="G473" i="1"/>
  <c r="I448" i="1"/>
  <c r="G448" i="1"/>
  <c r="J447" i="1"/>
  <c r="K447" i="1" s="1"/>
  <c r="L447" i="1" s="1"/>
  <c r="I447" i="1"/>
  <c r="G447" i="1"/>
  <c r="I444" i="1"/>
  <c r="G444" i="1"/>
  <c r="I443" i="1"/>
  <c r="G443" i="1"/>
  <c r="I440" i="1"/>
  <c r="J434" i="1"/>
  <c r="K434" i="1" s="1"/>
  <c r="L434" i="1" s="1"/>
  <c r="J384" i="1"/>
  <c r="K384" i="1" s="1"/>
  <c r="L384" i="1" s="1"/>
  <c r="G440" i="1"/>
  <c r="I439" i="1"/>
  <c r="G439" i="1"/>
  <c r="K438" i="1"/>
  <c r="L438" i="1" s="1"/>
  <c r="I438" i="1"/>
  <c r="G438" i="1"/>
  <c r="J430" i="1"/>
  <c r="M889" i="1" l="1"/>
  <c r="J685" i="1"/>
  <c r="K685" i="1" s="1"/>
  <c r="K808" i="1"/>
  <c r="L813" i="1"/>
  <c r="K843" i="1"/>
  <c r="L833" i="1"/>
  <c r="K828" i="1"/>
  <c r="N630" i="1"/>
  <c r="L777" i="1"/>
  <c r="I802" i="1"/>
  <c r="K791" i="1"/>
  <c r="K759" i="1"/>
  <c r="L796" i="1"/>
  <c r="J784" i="1"/>
  <c r="K784" i="1" s="1"/>
  <c r="J666" i="1"/>
  <c r="L666" i="1" s="1"/>
  <c r="M633" i="1"/>
  <c r="O633" i="1" s="1"/>
  <c r="P633" i="1" s="1"/>
  <c r="K687" i="1"/>
  <c r="J913" i="1"/>
  <c r="K913" i="1" s="1"/>
  <c r="N674" i="1"/>
  <c r="O674" i="1" s="1"/>
  <c r="P674" i="1" s="1"/>
  <c r="Q674" i="1" s="1"/>
  <c r="J937" i="1"/>
  <c r="K937" i="1" s="1"/>
  <c r="J923" i="1"/>
  <c r="K923" i="1" s="1"/>
  <c r="M638" i="1"/>
  <c r="O638" i="1" s="1"/>
  <c r="P638" i="1" s="1"/>
  <c r="J676" i="1"/>
  <c r="L676" i="1" s="1"/>
  <c r="N635" i="1"/>
  <c r="J681" i="1"/>
  <c r="L681" i="1" s="1"/>
  <c r="M681" i="1" s="1"/>
  <c r="P681" i="1" s="1"/>
  <c r="Q681" i="1" s="1"/>
  <c r="N643" i="1"/>
  <c r="N676" i="1"/>
  <c r="O676" i="1" s="1"/>
  <c r="P676" i="1" s="1"/>
  <c r="Q676" i="1" s="1"/>
  <c r="N666" i="1"/>
  <c r="O666" i="1" s="1"/>
  <c r="P671" i="1"/>
  <c r="Q671" i="1" s="1"/>
  <c r="O669" i="1"/>
  <c r="P669" i="1" s="1"/>
  <c r="M628" i="1"/>
  <c r="O628" i="1" s="1"/>
  <c r="P628" i="1" s="1"/>
  <c r="P659" i="1"/>
  <c r="Q659" i="1" s="1"/>
  <c r="J661" i="1"/>
  <c r="L661" i="1" s="1"/>
  <c r="P661" i="1" s="1"/>
  <c r="Q661" i="1" s="1"/>
  <c r="N664" i="1"/>
  <c r="O664" i="1" s="1"/>
  <c r="P664" i="1" s="1"/>
  <c r="Q664" i="1" s="1"/>
  <c r="J657" i="1"/>
  <c r="M623" i="1"/>
  <c r="O623" i="1" s="1"/>
  <c r="P623" i="1" s="1"/>
  <c r="N620" i="1"/>
  <c r="P620" i="1" s="1"/>
  <c r="M618" i="1"/>
  <c r="O618" i="1" s="1"/>
  <c r="P618" i="1" s="1"/>
  <c r="I553" i="1"/>
  <c r="D550" i="1" s="1"/>
  <c r="G550" i="1" s="1"/>
  <c r="I561" i="1"/>
  <c r="D558" i="1" s="1"/>
  <c r="G558" i="1" s="1"/>
  <c r="I577" i="1"/>
  <c r="D574" i="1" s="1"/>
  <c r="G574" i="1" s="1"/>
  <c r="I501" i="1"/>
  <c r="D498" i="1" s="1"/>
  <c r="D501" i="1" s="1"/>
  <c r="G501" i="1" s="1"/>
  <c r="G578" i="1"/>
  <c r="D580" i="1"/>
  <c r="G580" i="1" s="1"/>
  <c r="I497" i="1"/>
  <c r="D494" i="1" s="1"/>
  <c r="G494" i="1" s="1"/>
  <c r="I523" i="1"/>
  <c r="D520" i="1" s="1"/>
  <c r="D523" i="1" s="1"/>
  <c r="G523" i="1" s="1"/>
  <c r="I573" i="1"/>
  <c r="D570" i="1" s="1"/>
  <c r="G570" i="1" s="1"/>
  <c r="I488" i="1"/>
  <c r="D485" i="1" s="1"/>
  <c r="G485" i="1" s="1"/>
  <c r="D577" i="1"/>
  <c r="G577" i="1" s="1"/>
  <c r="G565" i="1"/>
  <c r="D567" i="1"/>
  <c r="G567" i="1" s="1"/>
  <c r="G562" i="1"/>
  <c r="D564" i="1"/>
  <c r="G564" i="1" s="1"/>
  <c r="N559" i="1"/>
  <c r="D557" i="1"/>
  <c r="G557" i="1" s="1"/>
  <c r="D561" i="1"/>
  <c r="G561" i="1" s="1"/>
  <c r="O555" i="1"/>
  <c r="I545" i="1"/>
  <c r="D542" i="1" s="1"/>
  <c r="D545" i="1" s="1"/>
  <c r="G545" i="1" s="1"/>
  <c r="I519" i="1"/>
  <c r="D516" i="1" s="1"/>
  <c r="D519" i="1" s="1"/>
  <c r="G519" i="1" s="1"/>
  <c r="N530" i="1"/>
  <c r="O530" i="1" s="1"/>
  <c r="P530" i="1" s="1"/>
  <c r="Q530" i="1" s="1"/>
  <c r="I536" i="1"/>
  <c r="D533" i="1" s="1"/>
  <c r="D536" i="1" s="1"/>
  <c r="G536" i="1" s="1"/>
  <c r="I402" i="1"/>
  <c r="D399" i="1" s="1"/>
  <c r="D402" i="1" s="1"/>
  <c r="G402" i="1" s="1"/>
  <c r="I532" i="1"/>
  <c r="D529" i="1" s="1"/>
  <c r="D532" i="1" s="1"/>
  <c r="G532" i="1" s="1"/>
  <c r="I549" i="1"/>
  <c r="D546" i="1" s="1"/>
  <c r="D549" i="1" s="1"/>
  <c r="G549" i="1" s="1"/>
  <c r="G554" i="1"/>
  <c r="D556" i="1"/>
  <c r="G556" i="1" s="1"/>
  <c r="I528" i="1"/>
  <c r="D525" i="1" s="1"/>
  <c r="G525" i="1" s="1"/>
  <c r="I515" i="1"/>
  <c r="D511" i="1" s="1"/>
  <c r="D515" i="1" s="1"/>
  <c r="G515" i="1" s="1"/>
  <c r="I493" i="1"/>
  <c r="D490" i="1" s="1"/>
  <c r="G490" i="1" s="1"/>
  <c r="I510" i="1"/>
  <c r="D507" i="1" s="1"/>
  <c r="D510" i="1" s="1"/>
  <c r="G510" i="1" s="1"/>
  <c r="G537" i="1"/>
  <c r="D539" i="1"/>
  <c r="G539" i="1" s="1"/>
  <c r="M521" i="1"/>
  <c r="N521" i="1" s="1"/>
  <c r="O521" i="1" s="1"/>
  <c r="G502" i="1"/>
  <c r="D504" i="1"/>
  <c r="G504" i="1" s="1"/>
  <c r="G467" i="1"/>
  <c r="D469" i="1"/>
  <c r="G469" i="1" s="1"/>
  <c r="G498" i="1"/>
  <c r="M495" i="1"/>
  <c r="O495" i="1" s="1"/>
  <c r="P495" i="1" s="1"/>
  <c r="Q495" i="1" s="1"/>
  <c r="I449" i="1"/>
  <c r="D446" i="1" s="1"/>
  <c r="D449" i="1" s="1"/>
  <c r="G449" i="1" s="1"/>
  <c r="I475" i="1"/>
  <c r="D472" i="1" s="1"/>
  <c r="G472" i="1" s="1"/>
  <c r="M160" i="1"/>
  <c r="M162" i="1"/>
  <c r="I484" i="1"/>
  <c r="D481" i="1" s="1"/>
  <c r="D484" i="1" s="1"/>
  <c r="G484" i="1" s="1"/>
  <c r="I480" i="1"/>
  <c r="D476" i="1" s="1"/>
  <c r="G476" i="1" s="1"/>
  <c r="I445" i="1"/>
  <c r="D442" i="1" s="1"/>
  <c r="D445" i="1" s="1"/>
  <c r="G445" i="1" s="1"/>
  <c r="I441" i="1"/>
  <c r="D437" i="1" s="1"/>
  <c r="G437" i="1" s="1"/>
  <c r="J435" i="1"/>
  <c r="I435" i="1"/>
  <c r="G435" i="1"/>
  <c r="I434" i="1"/>
  <c r="G434" i="1"/>
  <c r="I433" i="1"/>
  <c r="G433" i="1"/>
  <c r="K430" i="1"/>
  <c r="L430" i="1" s="1"/>
  <c r="I430" i="1"/>
  <c r="G430" i="1"/>
  <c r="I429" i="1"/>
  <c r="G429" i="1"/>
  <c r="K404" i="1"/>
  <c r="L404" i="1" s="1"/>
  <c r="I397" i="1"/>
  <c r="K396" i="1"/>
  <c r="L396" i="1" s="1"/>
  <c r="J397" i="1"/>
  <c r="G397" i="1"/>
  <c r="I388" i="1"/>
  <c r="G388" i="1"/>
  <c r="J388" i="1"/>
  <c r="K388" i="1" s="1"/>
  <c r="L388" i="1" s="1"/>
  <c r="J385" i="1"/>
  <c r="I385" i="1"/>
  <c r="G385" i="1"/>
  <c r="J380" i="1"/>
  <c r="K380" i="1" s="1"/>
  <c r="L380" i="1" s="1"/>
  <c r="I383" i="1"/>
  <c r="I384" i="1"/>
  <c r="G384" i="1"/>
  <c r="D488" i="1" l="1"/>
  <c r="G488" i="1" s="1"/>
  <c r="P666" i="1"/>
  <c r="Q666" i="1" s="1"/>
  <c r="D553" i="1"/>
  <c r="G553" i="1" s="1"/>
  <c r="D497" i="1"/>
  <c r="G497" i="1" s="1"/>
  <c r="Q669" i="1"/>
  <c r="G399" i="1"/>
  <c r="G520" i="1"/>
  <c r="G542" i="1"/>
  <c r="G511" i="1"/>
  <c r="D493" i="1"/>
  <c r="G493" i="1" s="1"/>
  <c r="G516" i="1"/>
  <c r="G529" i="1"/>
  <c r="G533" i="1"/>
  <c r="D528" i="1"/>
  <c r="G528" i="1" s="1"/>
  <c r="G546" i="1"/>
  <c r="D573" i="1"/>
  <c r="G573" i="1" s="1"/>
  <c r="G507" i="1"/>
  <c r="D475" i="1"/>
  <c r="G475" i="1" s="1"/>
  <c r="G481" i="1"/>
  <c r="D480" i="1"/>
  <c r="G480" i="1" s="1"/>
  <c r="G442" i="1"/>
  <c r="D441" i="1"/>
  <c r="G441" i="1" s="1"/>
  <c r="I431" i="1"/>
  <c r="D428" i="1" s="1"/>
  <c r="G428" i="1" s="1"/>
  <c r="I436" i="1"/>
  <c r="D432" i="1" s="1"/>
  <c r="G432" i="1" s="1"/>
  <c r="G446" i="1"/>
  <c r="I465" i="1"/>
  <c r="G465" i="1"/>
  <c r="I464" i="1"/>
  <c r="G464" i="1"/>
  <c r="I461" i="1"/>
  <c r="G461" i="1"/>
  <c r="L460" i="1"/>
  <c r="N460" i="1" s="1"/>
  <c r="I460" i="1"/>
  <c r="G460" i="1"/>
  <c r="I457" i="1"/>
  <c r="G457" i="1"/>
  <c r="L456" i="1"/>
  <c r="M456" i="1" s="1"/>
  <c r="N456" i="1" s="1"/>
  <c r="J456" i="1"/>
  <c r="I456" i="1"/>
  <c r="I458" i="1" s="1"/>
  <c r="D455" i="1" s="1"/>
  <c r="G456" i="1"/>
  <c r="L412" i="1"/>
  <c r="M412" i="1" s="1"/>
  <c r="L408" i="1"/>
  <c r="M408" i="1" s="1"/>
  <c r="N408" i="1" s="1"/>
  <c r="J408" i="1"/>
  <c r="I412" i="1"/>
  <c r="I421" i="1"/>
  <c r="G421" i="1"/>
  <c r="K420" i="1"/>
  <c r="L420" i="1" s="1"/>
  <c r="J420" i="1"/>
  <c r="I420" i="1"/>
  <c r="G420" i="1"/>
  <c r="I417" i="1"/>
  <c r="G417" i="1"/>
  <c r="J416" i="1"/>
  <c r="I416" i="1"/>
  <c r="G416" i="1"/>
  <c r="I413" i="1"/>
  <c r="I414" i="1" s="1"/>
  <c r="D411" i="1" s="1"/>
  <c r="D414" i="1" s="1"/>
  <c r="G414" i="1" s="1"/>
  <c r="G413" i="1"/>
  <c r="G412" i="1"/>
  <c r="I409" i="1"/>
  <c r="G409" i="1"/>
  <c r="I408" i="1"/>
  <c r="G408" i="1"/>
  <c r="I368" i="1"/>
  <c r="G368" i="1"/>
  <c r="J367" i="1"/>
  <c r="I367" i="1"/>
  <c r="G367" i="1"/>
  <c r="J363" i="1"/>
  <c r="I363" i="1"/>
  <c r="G363" i="1"/>
  <c r="J359" i="1"/>
  <c r="I364" i="1"/>
  <c r="G364" i="1"/>
  <c r="I359" i="1"/>
  <c r="M355" i="1"/>
  <c r="N355" i="1" s="1"/>
  <c r="L355" i="1"/>
  <c r="J355" i="1"/>
  <c r="K349" i="1"/>
  <c r="I350" i="1"/>
  <c r="I349" i="1"/>
  <c r="G350" i="1"/>
  <c r="G349" i="1"/>
  <c r="K350" i="1"/>
  <c r="L350" i="1" s="1"/>
  <c r="M350" i="1" s="1"/>
  <c r="K345" i="1"/>
  <c r="I346" i="1"/>
  <c r="K346" i="1"/>
  <c r="L346" i="1" s="1"/>
  <c r="N346" i="1" s="1"/>
  <c r="G346" i="1"/>
  <c r="I345" i="1"/>
  <c r="G345" i="1"/>
  <c r="I342" i="1"/>
  <c r="I343" i="1" s="1"/>
  <c r="D341" i="1" s="1"/>
  <c r="G342" i="1"/>
  <c r="I322" i="1"/>
  <c r="G323" i="1"/>
  <c r="I323" i="1"/>
  <c r="G324" i="1"/>
  <c r="I324" i="1"/>
  <c r="I336" i="1"/>
  <c r="G336" i="1"/>
  <c r="I335" i="1"/>
  <c r="G335" i="1"/>
  <c r="I334" i="1"/>
  <c r="G334" i="1"/>
  <c r="I333" i="1"/>
  <c r="G333" i="1"/>
  <c r="I330" i="1"/>
  <c r="G330" i="1"/>
  <c r="I329" i="1"/>
  <c r="G329" i="1"/>
  <c r="I328" i="1"/>
  <c r="G328" i="1"/>
  <c r="I325" i="1"/>
  <c r="G325" i="1"/>
  <c r="G322" i="1"/>
  <c r="I319" i="1"/>
  <c r="G319" i="1"/>
  <c r="I318" i="1"/>
  <c r="G318" i="1"/>
  <c r="I317" i="1"/>
  <c r="G317" i="1"/>
  <c r="I314" i="1"/>
  <c r="G314" i="1"/>
  <c r="I313" i="1"/>
  <c r="G313" i="1"/>
  <c r="I312" i="1"/>
  <c r="G312" i="1"/>
  <c r="I311" i="1"/>
  <c r="G311" i="1"/>
  <c r="I339" i="1"/>
  <c r="G339" i="1"/>
  <c r="I308" i="1"/>
  <c r="I307" i="1"/>
  <c r="I305" i="1"/>
  <c r="G307" i="1"/>
  <c r="I306" i="1"/>
  <c r="G306" i="1"/>
  <c r="I177" i="1"/>
  <c r="J177" i="1" s="1"/>
  <c r="I297" i="1"/>
  <c r="J297" i="1" s="1"/>
  <c r="G297" i="1"/>
  <c r="G296" i="1"/>
  <c r="I295" i="1"/>
  <c r="J295" i="1" s="1"/>
  <c r="G295" i="1"/>
  <c r="I294" i="1"/>
  <c r="J294" i="1" s="1"/>
  <c r="G294" i="1"/>
  <c r="I291" i="1"/>
  <c r="J291" i="1" s="1"/>
  <c r="G291" i="1"/>
  <c r="G290" i="1"/>
  <c r="I289" i="1"/>
  <c r="G289" i="1"/>
  <c r="G288" i="1"/>
  <c r="G287" i="1"/>
  <c r="G285" i="1"/>
  <c r="G284" i="1"/>
  <c r="G282" i="1"/>
  <c r="G281" i="1"/>
  <c r="G280" i="1"/>
  <c r="I277" i="1"/>
  <c r="J277" i="1" s="1"/>
  <c r="K277" i="1" s="1"/>
  <c r="G277" i="1"/>
  <c r="G276" i="1"/>
  <c r="G275" i="1"/>
  <c r="G274" i="1"/>
  <c r="K273" i="1"/>
  <c r="L273" i="1" s="1"/>
  <c r="M273" i="1" s="1"/>
  <c r="N273" i="1" s="1"/>
  <c r="O273" i="1" s="1"/>
  <c r="P273" i="1" s="1"/>
  <c r="G273" i="1"/>
  <c r="G271" i="1"/>
  <c r="G270" i="1"/>
  <c r="I269" i="1"/>
  <c r="J269" i="1" s="1"/>
  <c r="G269" i="1"/>
  <c r="I268" i="1"/>
  <c r="J268" i="1" s="1"/>
  <c r="G268" i="1"/>
  <c r="K267" i="1"/>
  <c r="I267" i="1"/>
  <c r="J267" i="1" s="1"/>
  <c r="G267" i="1"/>
  <c r="K266" i="1"/>
  <c r="L266" i="1" s="1"/>
  <c r="I266" i="1"/>
  <c r="J266" i="1" s="1"/>
  <c r="G266" i="1"/>
  <c r="G164" i="1"/>
  <c r="K147" i="1"/>
  <c r="K253" i="1"/>
  <c r="L253" i="1" s="1"/>
  <c r="I255" i="1"/>
  <c r="J255" i="1" s="1"/>
  <c r="G255" i="1"/>
  <c r="I254" i="1"/>
  <c r="J254" i="1" s="1"/>
  <c r="G254" i="1"/>
  <c r="I253" i="1"/>
  <c r="J253" i="1" s="1"/>
  <c r="G253" i="1"/>
  <c r="I263" i="1"/>
  <c r="J263" i="1" s="1"/>
  <c r="K263" i="1" s="1"/>
  <c r="G263" i="1"/>
  <c r="G262" i="1"/>
  <c r="I250" i="1"/>
  <c r="J250" i="1" s="1"/>
  <c r="K250" i="1" s="1"/>
  <c r="G250" i="1"/>
  <c r="G249" i="1"/>
  <c r="K259" i="1"/>
  <c r="I261" i="1"/>
  <c r="G261" i="1"/>
  <c r="I260" i="1"/>
  <c r="G260" i="1"/>
  <c r="I259" i="1"/>
  <c r="G259" i="1"/>
  <c r="G257" i="1"/>
  <c r="G256" i="1"/>
  <c r="K254" i="1"/>
  <c r="K239" i="1"/>
  <c r="K238" i="1"/>
  <c r="L238" i="1" s="1"/>
  <c r="J240" i="1"/>
  <c r="I239" i="1"/>
  <c r="J239" i="1" s="1"/>
  <c r="I238" i="1"/>
  <c r="J238" i="1" s="1"/>
  <c r="I242" i="1"/>
  <c r="J242" i="1" s="1"/>
  <c r="G242" i="1"/>
  <c r="I241" i="1"/>
  <c r="J241" i="1" s="1"/>
  <c r="G241" i="1"/>
  <c r="G240" i="1"/>
  <c r="G239" i="1"/>
  <c r="G238" i="1"/>
  <c r="I248" i="1"/>
  <c r="G248" i="1"/>
  <c r="I247" i="1"/>
  <c r="G247" i="1"/>
  <c r="I246" i="1"/>
  <c r="G246" i="1"/>
  <c r="I230" i="1"/>
  <c r="I232" i="1"/>
  <c r="I233" i="1"/>
  <c r="G233" i="1"/>
  <c r="I231" i="1"/>
  <c r="M226" i="1"/>
  <c r="L226" i="1"/>
  <c r="K226" i="1"/>
  <c r="J226" i="1"/>
  <c r="I226" i="1"/>
  <c r="I122" i="1"/>
  <c r="I221" i="1"/>
  <c r="J221" i="1" s="1"/>
  <c r="I224" i="1"/>
  <c r="J224" i="1" s="1"/>
  <c r="I223" i="1"/>
  <c r="J223" i="1" s="1"/>
  <c r="I222" i="1"/>
  <c r="J222" i="1" s="1"/>
  <c r="I220" i="1"/>
  <c r="J220" i="1" s="1"/>
  <c r="I212" i="1"/>
  <c r="I211" i="1"/>
  <c r="I210" i="1"/>
  <c r="I209" i="1"/>
  <c r="G212" i="1"/>
  <c r="G211" i="1"/>
  <c r="G210" i="1"/>
  <c r="G209" i="1"/>
  <c r="I204" i="1"/>
  <c r="I203" i="1"/>
  <c r="I202" i="1"/>
  <c r="I200" i="1"/>
  <c r="I199" i="1"/>
  <c r="I198" i="1"/>
  <c r="K198" i="1" s="1"/>
  <c r="I206" i="1"/>
  <c r="J206" i="1" s="1"/>
  <c r="I205" i="1"/>
  <c r="I201" i="1"/>
  <c r="K201" i="1" s="1"/>
  <c r="I179" i="1"/>
  <c r="I187" i="1"/>
  <c r="I190" i="1"/>
  <c r="J190" i="1" s="1"/>
  <c r="K96" i="1"/>
  <c r="J96" i="1"/>
  <c r="I96" i="1"/>
  <c r="J289" i="1" l="1"/>
  <c r="L685" i="1" s="1"/>
  <c r="I846" i="1"/>
  <c r="J846" i="1" s="1"/>
  <c r="J205" i="1"/>
  <c r="I615" i="1"/>
  <c r="J615" i="1" s="1"/>
  <c r="D431" i="1"/>
  <c r="G431" i="1" s="1"/>
  <c r="I422" i="1"/>
  <c r="D419" i="1" s="1"/>
  <c r="D422" i="1" s="1"/>
  <c r="G422" i="1" s="1"/>
  <c r="I351" i="1"/>
  <c r="D348" i="1" s="1"/>
  <c r="G348" i="1" s="1"/>
  <c r="D436" i="1"/>
  <c r="G436" i="1" s="1"/>
  <c r="I466" i="1"/>
  <c r="D463" i="1" s="1"/>
  <c r="G463" i="1" s="1"/>
  <c r="I410" i="1"/>
  <c r="D407" i="1" s="1"/>
  <c r="G407" i="1" s="1"/>
  <c r="N412" i="1"/>
  <c r="O412" i="1" s="1"/>
  <c r="P412" i="1" s="1"/>
  <c r="Q412" i="1" s="1"/>
  <c r="I462" i="1"/>
  <c r="D459" i="1" s="1"/>
  <c r="G459" i="1" s="1"/>
  <c r="M460" i="1"/>
  <c r="O460" i="1" s="1"/>
  <c r="P460" i="1" s="1"/>
  <c r="Q460" i="1" s="1"/>
  <c r="I369" i="1"/>
  <c r="D366" i="1" s="1"/>
  <c r="G366" i="1" s="1"/>
  <c r="I418" i="1"/>
  <c r="D415" i="1" s="1"/>
  <c r="G415" i="1" s="1"/>
  <c r="G455" i="1"/>
  <c r="D458" i="1"/>
  <c r="G458" i="1" s="1"/>
  <c r="D410" i="1"/>
  <c r="G410" i="1" s="1"/>
  <c r="G411" i="1"/>
  <c r="I365" i="1"/>
  <c r="D362" i="1" s="1"/>
  <c r="D365" i="1" s="1"/>
  <c r="G365" i="1" s="1"/>
  <c r="I347" i="1"/>
  <c r="D344" i="1" s="1"/>
  <c r="G344" i="1" s="1"/>
  <c r="I337" i="1"/>
  <c r="D332" i="1" s="1"/>
  <c r="D337" i="1" s="1"/>
  <c r="G337" i="1" s="1"/>
  <c r="G341" i="1"/>
  <c r="D343" i="1"/>
  <c r="G343" i="1" s="1"/>
  <c r="I331" i="1"/>
  <c r="D327" i="1" s="1"/>
  <c r="D331" i="1" s="1"/>
  <c r="G331" i="1" s="1"/>
  <c r="I320" i="1"/>
  <c r="D316" i="1" s="1"/>
  <c r="D320" i="1" s="1"/>
  <c r="G320" i="1" s="1"/>
  <c r="I326" i="1"/>
  <c r="D321" i="1" s="1"/>
  <c r="D326" i="1" s="1"/>
  <c r="G326" i="1" s="1"/>
  <c r="L239" i="1"/>
  <c r="I340" i="1"/>
  <c r="D338" i="1" s="1"/>
  <c r="D340" i="1" s="1"/>
  <c r="G340" i="1" s="1"/>
  <c r="I315" i="1"/>
  <c r="D310" i="1" s="1"/>
  <c r="D315" i="1" s="1"/>
  <c r="G315" i="1" s="1"/>
  <c r="L267" i="1"/>
  <c r="M266" i="1"/>
  <c r="L259" i="1"/>
  <c r="M259" i="1" s="1"/>
  <c r="N259" i="1" s="1"/>
  <c r="O259" i="1" s="1"/>
  <c r="P259" i="1" s="1"/>
  <c r="M253" i="1"/>
  <c r="M238" i="1"/>
  <c r="L254" i="1"/>
  <c r="L200" i="1"/>
  <c r="N226" i="1"/>
  <c r="K199" i="1"/>
  <c r="K202" i="1"/>
  <c r="M197" i="1"/>
  <c r="I188" i="1"/>
  <c r="J188" i="1" s="1"/>
  <c r="J187" i="1"/>
  <c r="G179" i="1"/>
  <c r="G190" i="1"/>
  <c r="G189" i="1"/>
  <c r="G188" i="1"/>
  <c r="G187" i="1"/>
  <c r="I183" i="1"/>
  <c r="J183" i="1" s="1"/>
  <c r="I170" i="1"/>
  <c r="J170" i="1" s="1"/>
  <c r="K170" i="1" s="1"/>
  <c r="G170" i="1"/>
  <c r="G169" i="1"/>
  <c r="G183" i="1"/>
  <c r="G182" i="1"/>
  <c r="I181" i="1"/>
  <c r="J181" i="1" s="1"/>
  <c r="G181" i="1"/>
  <c r="G180" i="1"/>
  <c r="G177" i="1"/>
  <c r="G176" i="1"/>
  <c r="G163" i="1"/>
  <c r="L147" i="1"/>
  <c r="J147" i="1"/>
  <c r="I157" i="1"/>
  <c r="J157" i="1" s="1"/>
  <c r="K157" i="1" s="1"/>
  <c r="G157" i="1"/>
  <c r="G156" i="1"/>
  <c r="I155" i="1"/>
  <c r="G155" i="1"/>
  <c r="I154" i="1"/>
  <c r="G154" i="1"/>
  <c r="G153" i="1"/>
  <c r="G151" i="1"/>
  <c r="G150" i="1"/>
  <c r="G149" i="1"/>
  <c r="G148" i="1"/>
  <c r="G147" i="1"/>
  <c r="I144" i="1"/>
  <c r="J144" i="1" s="1"/>
  <c r="K144" i="1" s="1"/>
  <c r="G144" i="1"/>
  <c r="G143" i="1"/>
  <c r="I142" i="1"/>
  <c r="G142" i="1"/>
  <c r="I141" i="1"/>
  <c r="G141" i="1"/>
  <c r="I140" i="1"/>
  <c r="G140" i="1"/>
  <c r="I127" i="1"/>
  <c r="I126" i="1"/>
  <c r="I125" i="1"/>
  <c r="I124" i="1"/>
  <c r="G127" i="1"/>
  <c r="G126" i="1"/>
  <c r="G125" i="1"/>
  <c r="G124" i="1"/>
  <c r="K132" i="1"/>
  <c r="L132" i="1" s="1"/>
  <c r="I132" i="1"/>
  <c r="J132" i="1" s="1"/>
  <c r="I136" i="1"/>
  <c r="J136" i="1" s="1"/>
  <c r="D351" i="1" l="1"/>
  <c r="G351" i="1" s="1"/>
  <c r="G419" i="1"/>
  <c r="D462" i="1"/>
  <c r="G462" i="1" s="1"/>
  <c r="G362" i="1"/>
  <c r="D466" i="1"/>
  <c r="G466" i="1" s="1"/>
  <c r="D418" i="1"/>
  <c r="G418" i="1" s="1"/>
  <c r="D369" i="1"/>
  <c r="G369" i="1" s="1"/>
  <c r="G332" i="1"/>
  <c r="D347" i="1"/>
  <c r="G347" i="1" s="1"/>
  <c r="G327" i="1"/>
  <c r="G321" i="1"/>
  <c r="G316" i="1"/>
  <c r="G338" i="1"/>
  <c r="G310" i="1"/>
  <c r="M147" i="1"/>
  <c r="M149" i="1"/>
  <c r="M132" i="1"/>
  <c r="I133" i="1" l="1"/>
  <c r="J133" i="1" s="1"/>
  <c r="G135" i="1"/>
  <c r="G134" i="1"/>
  <c r="G133" i="1"/>
  <c r="G132" i="1"/>
  <c r="M122" i="1"/>
  <c r="L122" i="1"/>
  <c r="K122" i="1"/>
  <c r="J122" i="1"/>
  <c r="I120" i="1"/>
  <c r="J120" i="1" s="1"/>
  <c r="I108" i="1"/>
  <c r="I107" i="1"/>
  <c r="I106" i="1"/>
  <c r="I105" i="1"/>
  <c r="G108" i="1"/>
  <c r="G107" i="1"/>
  <c r="I117" i="1"/>
  <c r="J117" i="1" s="1"/>
  <c r="I116" i="1"/>
  <c r="J116" i="1" s="1"/>
  <c r="I119" i="1"/>
  <c r="J119" i="1" s="1"/>
  <c r="I118" i="1"/>
  <c r="J118" i="1" s="1"/>
  <c r="N122" i="1" l="1"/>
  <c r="O122" i="1" s="1"/>
  <c r="I102" i="1"/>
  <c r="J102" i="1" s="1"/>
  <c r="I101" i="1"/>
  <c r="J101" i="1" s="1"/>
  <c r="G102" i="1"/>
  <c r="I100" i="1"/>
  <c r="I99" i="1"/>
  <c r="J98" i="1"/>
  <c r="I98" i="1"/>
  <c r="J97" i="1"/>
  <c r="J94" i="1"/>
  <c r="J95" i="1"/>
  <c r="I97" i="1"/>
  <c r="I95" i="1"/>
  <c r="K97" i="1" l="1"/>
  <c r="K95" i="1"/>
  <c r="K98" i="1"/>
  <c r="L96" i="1"/>
  <c r="L93" i="1"/>
  <c r="I94" i="1"/>
  <c r="K94" i="1" s="1"/>
  <c r="K93" i="1"/>
  <c r="J93" i="1"/>
  <c r="I93" i="1"/>
  <c r="G99" i="1"/>
  <c r="G100" i="1"/>
  <c r="G101" i="1"/>
  <c r="G94" i="1"/>
  <c r="G95" i="1"/>
  <c r="G96" i="1"/>
  <c r="G97" i="1"/>
  <c r="G98" i="1"/>
  <c r="M93" i="1" l="1"/>
  <c r="G1707" i="1"/>
  <c r="C19" i="2" s="1"/>
  <c r="G1648" i="1"/>
  <c r="C18" i="2" s="1"/>
  <c r="G1546" i="1"/>
  <c r="G1545" i="1"/>
  <c r="G1543" i="1"/>
  <c r="G1541" i="1"/>
  <c r="G1539" i="1"/>
  <c r="G1538" i="1"/>
  <c r="G1535" i="1"/>
  <c r="D69" i="1" l="1"/>
  <c r="I65" i="1"/>
  <c r="F27" i="1"/>
  <c r="G1589" i="1" l="1"/>
  <c r="C17" i="2" s="1"/>
  <c r="G34" i="1"/>
  <c r="G33" i="1"/>
  <c r="G1459" i="1"/>
  <c r="G1458" i="1"/>
  <c r="G1457" i="1"/>
  <c r="G1456" i="1"/>
  <c r="G1455" i="1"/>
  <c r="G1454" i="1"/>
  <c r="G1453" i="1"/>
  <c r="D1305" i="1"/>
  <c r="G1305" i="1" s="1"/>
  <c r="D1304" i="1"/>
  <c r="G1304" i="1" s="1"/>
  <c r="D1303" i="1"/>
  <c r="G1303" i="1" s="1"/>
  <c r="D1302" i="1"/>
  <c r="G1302" i="1" s="1"/>
  <c r="D1301" i="1"/>
  <c r="G1301" i="1" s="1"/>
  <c r="D1300" i="1"/>
  <c r="G1300" i="1" s="1"/>
  <c r="D1299" i="1"/>
  <c r="G1299" i="1" s="1"/>
  <c r="G1298" i="1"/>
  <c r="G1297" i="1"/>
  <c r="G1296" i="1"/>
  <c r="G1295" i="1"/>
  <c r="G1294" i="1"/>
  <c r="G1293" i="1"/>
  <c r="G1292" i="1"/>
  <c r="G1291" i="1"/>
  <c r="D1290" i="1"/>
  <c r="G1290" i="1" s="1"/>
  <c r="G1289" i="1"/>
  <c r="G1288" i="1"/>
  <c r="G1287" i="1"/>
  <c r="G1286" i="1"/>
  <c r="G1285" i="1"/>
  <c r="G1284" i="1"/>
  <c r="G1283" i="1"/>
  <c r="G1282" i="1"/>
  <c r="G1281" i="1"/>
  <c r="G1280" i="1"/>
  <c r="G1279" i="1"/>
  <c r="G1278" i="1"/>
  <c r="G1277" i="1"/>
  <c r="G1276" i="1"/>
  <c r="G1275" i="1"/>
  <c r="D1246" i="1"/>
  <c r="K961" i="1"/>
  <c r="I961" i="1"/>
  <c r="J961" i="1"/>
  <c r="I989" i="1"/>
  <c r="I985" i="1"/>
  <c r="D984" i="1"/>
  <c r="I980" i="1"/>
  <c r="I956" i="1"/>
  <c r="J989" i="1" l="1"/>
  <c r="L961" i="1"/>
  <c r="G760" i="1"/>
  <c r="G759" i="1"/>
  <c r="D754" i="1"/>
  <c r="J717" i="1"/>
  <c r="I717" i="1"/>
  <c r="J710" i="1"/>
  <c r="K710" i="1"/>
  <c r="I710" i="1"/>
  <c r="I762" i="1"/>
  <c r="K762" i="1" s="1"/>
  <c r="I900" i="1"/>
  <c r="J900" i="1" s="1"/>
  <c r="J899" i="1"/>
  <c r="I888" i="1"/>
  <c r="J886" i="1"/>
  <c r="J883" i="1"/>
  <c r="G914" i="1"/>
  <c r="G903" i="1"/>
  <c r="G902" i="1"/>
  <c r="G900" i="1"/>
  <c r="L583" i="1"/>
  <c r="M571" i="1"/>
  <c r="I451" i="1"/>
  <c r="G451" i="1"/>
  <c r="J901" i="1" l="1"/>
  <c r="K901" i="1" s="1"/>
  <c r="I453" i="1"/>
  <c r="D450" i="1" s="1"/>
  <c r="R666" i="1"/>
  <c r="L710" i="1"/>
  <c r="R450" i="1"/>
  <c r="M583" i="1"/>
  <c r="K367" i="1"/>
  <c r="L367" i="1" s="1"/>
  <c r="L359" i="1"/>
  <c r="N359" i="1" s="1"/>
  <c r="G244" i="1"/>
  <c r="G243" i="1"/>
  <c r="I235" i="1"/>
  <c r="G138" i="1"/>
  <c r="G137" i="1"/>
  <c r="G136" i="1"/>
  <c r="G450" i="1" l="1"/>
  <c r="D453" i="1"/>
  <c r="G453" i="1" s="1"/>
  <c r="M359" i="1"/>
  <c r="O359" i="1" s="1"/>
  <c r="G1087" i="1" l="1"/>
  <c r="K112" i="1" l="1"/>
  <c r="L112" i="1" l="1"/>
  <c r="G849" i="1" l="1"/>
  <c r="G689" i="1"/>
  <c r="G1261" i="1" l="1"/>
  <c r="G1265" i="1"/>
  <c r="G1227" i="1"/>
  <c r="G1223" i="1"/>
  <c r="G1112" i="1"/>
  <c r="D1111" i="1"/>
  <c r="G1111" i="1" s="1"/>
  <c r="G1110" i="1"/>
  <c r="D1109" i="1"/>
  <c r="G1109" i="1" s="1"/>
  <c r="G1108" i="1"/>
  <c r="D1107" i="1"/>
  <c r="G1107" i="1" s="1"/>
  <c r="D1106" i="1"/>
  <c r="G1106" i="1" s="1"/>
  <c r="G1105" i="1"/>
  <c r="G1104" i="1"/>
  <c r="D1090" i="1"/>
  <c r="G1090" i="1" s="1"/>
  <c r="D1088" i="1"/>
  <c r="G1088" i="1" s="1"/>
  <c r="D1086" i="1"/>
  <c r="G1086" i="1" s="1"/>
  <c r="D1085" i="1"/>
  <c r="G1085" i="1" s="1"/>
  <c r="G1091" i="1"/>
  <c r="G1089" i="1"/>
  <c r="G715" i="1"/>
  <c r="G772" i="1"/>
  <c r="L759" i="1" l="1"/>
  <c r="D1051" i="1"/>
  <c r="G965" i="1"/>
  <c r="G1096" i="1" l="1"/>
  <c r="G589" i="1"/>
  <c r="G588" i="1"/>
  <c r="G587" i="1"/>
  <c r="G586" i="1"/>
  <c r="K589" i="1" l="1"/>
  <c r="G891" i="1" l="1"/>
  <c r="G890" i="1"/>
  <c r="G1452" i="1" l="1"/>
  <c r="G1449" i="1"/>
  <c r="G1448" i="1"/>
  <c r="G1446" i="1"/>
  <c r="G1445" i="1"/>
  <c r="G1442" i="1"/>
  <c r="G1441" i="1"/>
  <c r="G1440" i="1"/>
  <c r="G1439" i="1"/>
  <c r="G1438" i="1"/>
  <c r="G1437" i="1"/>
  <c r="G1436" i="1"/>
  <c r="G1435" i="1"/>
  <c r="G1530" i="1" l="1"/>
  <c r="C16" i="2" s="1"/>
  <c r="I374" i="1"/>
  <c r="I1016" i="1"/>
  <c r="G1016" i="1"/>
  <c r="G1271" i="1"/>
  <c r="D1273" i="1"/>
  <c r="G1273" i="1" s="1"/>
  <c r="D1272" i="1"/>
  <c r="G1272" i="1" s="1"/>
  <c r="G1270" i="1"/>
  <c r="G1268" i="1"/>
  <c r="G1267" i="1"/>
  <c r="G1266" i="1"/>
  <c r="G1264" i="1"/>
  <c r="G1263" i="1"/>
  <c r="G1262" i="1"/>
  <c r="G1260" i="1"/>
  <c r="G1259" i="1"/>
  <c r="G1258" i="1"/>
  <c r="G1257" i="1"/>
  <c r="G1256" i="1"/>
  <c r="D1245" i="1"/>
  <c r="G1245" i="1" s="1"/>
  <c r="G1246" i="1"/>
  <c r="D1244" i="1"/>
  <c r="D1243" i="1"/>
  <c r="D1242" i="1"/>
  <c r="D1240" i="1"/>
  <c r="G1237" i="1"/>
  <c r="G1236" i="1"/>
  <c r="G1235" i="1"/>
  <c r="G1220" i="1"/>
  <c r="G1221" i="1"/>
  <c r="G1101" i="1"/>
  <c r="G1100" i="1"/>
  <c r="G1084" i="1"/>
  <c r="G1083" i="1"/>
  <c r="G1082" i="1"/>
  <c r="D1049" i="1" l="1"/>
  <c r="G1049" i="1" s="1"/>
  <c r="G1051" i="1"/>
  <c r="G1050" i="1"/>
  <c r="D1048" i="1"/>
  <c r="G1048" i="1" s="1"/>
  <c r="G1047" i="1"/>
  <c r="J1046" i="1"/>
  <c r="G1046" i="1"/>
  <c r="G1045" i="1"/>
  <c r="G1043" i="1"/>
  <c r="G1042" i="1"/>
  <c r="G1002" i="1"/>
  <c r="J985" i="1"/>
  <c r="G985" i="1"/>
  <c r="G1022" i="1"/>
  <c r="G960" i="1"/>
  <c r="G961" i="1"/>
  <c r="G959" i="1"/>
  <c r="G756" i="1"/>
  <c r="J770" i="1"/>
  <c r="I770" i="1"/>
  <c r="G718" i="1"/>
  <c r="G717" i="1"/>
  <c r="G714" i="1"/>
  <c r="G669" i="1"/>
  <c r="G668" i="1"/>
  <c r="G667" i="1"/>
  <c r="G666" i="1"/>
  <c r="D654" i="1"/>
  <c r="D591" i="1" s="1"/>
  <c r="G620" i="1"/>
  <c r="G899" i="1"/>
  <c r="G888" i="1"/>
  <c r="G585" i="1"/>
  <c r="G584" i="1"/>
  <c r="G568" i="1"/>
  <c r="G581" i="1"/>
  <c r="G582" i="1"/>
  <c r="G583" i="1"/>
  <c r="G590" i="1"/>
  <c r="G592" i="1"/>
  <c r="I396" i="1"/>
  <c r="G396" i="1"/>
  <c r="I389" i="1"/>
  <c r="I380" i="1"/>
  <c r="I379" i="1"/>
  <c r="I392" i="1"/>
  <c r="I393" i="1"/>
  <c r="G393" i="1"/>
  <c r="G392" i="1"/>
  <c r="G389" i="1"/>
  <c r="G383" i="1"/>
  <c r="I424" i="1"/>
  <c r="I425" i="1" s="1"/>
  <c r="D423" i="1" s="1"/>
  <c r="G424" i="1"/>
  <c r="G968" i="1" l="1"/>
  <c r="G591" i="1"/>
  <c r="K717" i="1"/>
  <c r="K770" i="1"/>
  <c r="L657" i="1"/>
  <c r="N657" i="1" s="1"/>
  <c r="J888" i="1"/>
  <c r="I394" i="1"/>
  <c r="D391" i="1" s="1"/>
  <c r="D394" i="1" s="1"/>
  <c r="G394" i="1" s="1"/>
  <c r="I390" i="1"/>
  <c r="D387" i="1" s="1"/>
  <c r="I398" i="1"/>
  <c r="D395" i="1" s="1"/>
  <c r="G395" i="1" s="1"/>
  <c r="G423" i="1"/>
  <c r="D425" i="1"/>
  <c r="G425" i="1" s="1"/>
  <c r="I404" i="1"/>
  <c r="I405" i="1" s="1"/>
  <c r="D403" i="1" s="1"/>
  <c r="G404" i="1"/>
  <c r="I381" i="1"/>
  <c r="D378" i="1" s="1"/>
  <c r="D381" i="1" s="1"/>
  <c r="G381" i="1" s="1"/>
  <c r="G380" i="1"/>
  <c r="G379" i="1"/>
  <c r="G359" i="1"/>
  <c r="I355" i="1"/>
  <c r="J308" i="1"/>
  <c r="G308" i="1"/>
  <c r="G305" i="1"/>
  <c r="J235" i="1"/>
  <c r="K235" i="1" s="1"/>
  <c r="G235" i="1"/>
  <c r="G234" i="1"/>
  <c r="G232" i="1"/>
  <c r="G231" i="1"/>
  <c r="G230" i="1"/>
  <c r="G226" i="1"/>
  <c r="G225" i="1"/>
  <c r="G224" i="1"/>
  <c r="G223" i="1"/>
  <c r="G222" i="1"/>
  <c r="G221" i="1"/>
  <c r="G220" i="1"/>
  <c r="G215" i="1"/>
  <c r="G214" i="1"/>
  <c r="G199" i="1"/>
  <c r="G198" i="1"/>
  <c r="G197" i="1"/>
  <c r="G122" i="1"/>
  <c r="G121" i="1"/>
  <c r="G120" i="1"/>
  <c r="G119" i="1"/>
  <c r="G118" i="1"/>
  <c r="G117" i="1"/>
  <c r="G116" i="1"/>
  <c r="G129" i="1"/>
  <c r="G128" i="1"/>
  <c r="G112" i="1"/>
  <c r="G111" i="1"/>
  <c r="I129" i="1"/>
  <c r="J129" i="1" s="1"/>
  <c r="K129" i="1" s="1"/>
  <c r="K883" i="1" l="1"/>
  <c r="J889" i="1"/>
  <c r="L889" i="1" s="1"/>
  <c r="G391" i="1"/>
  <c r="I309" i="1"/>
  <c r="G387" i="1"/>
  <c r="D390" i="1"/>
  <c r="G390" i="1" s="1"/>
  <c r="D398" i="1"/>
  <c r="G398" i="1" s="1"/>
  <c r="I386" i="1"/>
  <c r="D382" i="1" s="1"/>
  <c r="D405" i="1"/>
  <c r="G405" i="1" s="1"/>
  <c r="G403" i="1"/>
  <c r="G378" i="1"/>
  <c r="L698" i="1"/>
  <c r="K698" i="1"/>
  <c r="K699" i="1"/>
  <c r="G382" i="1" l="1"/>
  <c r="D386" i="1"/>
  <c r="G386" i="1" s="1"/>
  <c r="M698" i="1"/>
  <c r="N699" i="1" s="1"/>
  <c r="O699" i="1" s="1"/>
  <c r="K700" i="1"/>
  <c r="L700" i="1" s="1"/>
  <c r="M700" i="1" s="1"/>
  <c r="G1229" i="1" l="1"/>
  <c r="G1230" i="1"/>
  <c r="G1172" i="1"/>
  <c r="G1173" i="1"/>
  <c r="D1001" i="1"/>
  <c r="G1001" i="1" s="1"/>
  <c r="G1000" i="1"/>
  <c r="G687" i="1"/>
  <c r="G686" i="1"/>
  <c r="G685" i="1"/>
  <c r="G664" i="1"/>
  <c r="G663" i="1"/>
  <c r="G662" i="1"/>
  <c r="G784" i="1"/>
  <c r="G646" i="1"/>
  <c r="G645" i="1"/>
  <c r="G684" i="1"/>
  <c r="L714" i="1" l="1"/>
  <c r="I360" i="1" l="1"/>
  <c r="G360" i="1"/>
  <c r="I356" i="1"/>
  <c r="G356" i="1"/>
  <c r="G355" i="1"/>
  <c r="I357" i="1" l="1"/>
  <c r="I361" i="1"/>
  <c r="D304" i="1"/>
  <c r="D66" i="1"/>
  <c r="G989" i="1" l="1"/>
  <c r="G988" i="1"/>
  <c r="G987" i="1"/>
  <c r="G720" i="1"/>
  <c r="G1255" i="1" l="1"/>
  <c r="G1015" i="1"/>
  <c r="G1067" i="1" s="1"/>
  <c r="G710" i="1"/>
  <c r="G707" i="1"/>
  <c r="G706" i="1"/>
  <c r="G754" i="1"/>
  <c r="G770" i="1"/>
  <c r="G767" i="1"/>
  <c r="J754" i="1"/>
  <c r="I754" i="1"/>
  <c r="G748" i="1"/>
  <c r="K754" i="1" l="1"/>
  <c r="M191" i="1" l="1"/>
  <c r="D358" i="1" l="1"/>
  <c r="D354" i="1"/>
  <c r="G358" i="1" l="1"/>
  <c r="D361" i="1"/>
  <c r="G361" i="1" s="1"/>
  <c r="G354" i="1"/>
  <c r="D357" i="1"/>
  <c r="G357" i="1" s="1"/>
  <c r="I55" i="1" l="1"/>
  <c r="G32" i="1"/>
  <c r="L374" i="1" l="1"/>
  <c r="G1115" i="1" l="1"/>
  <c r="G1114" i="1"/>
  <c r="G1254" i="1" l="1"/>
  <c r="G1244" i="1"/>
  <c r="G1232" i="1" l="1"/>
  <c r="G654" i="1" l="1"/>
  <c r="G659" i="1" l="1"/>
  <c r="G658" i="1"/>
  <c r="G657" i="1"/>
  <c r="G656" i="1"/>
  <c r="G661" i="1"/>
  <c r="M762" i="1" l="1"/>
  <c r="G886" i="1" l="1"/>
  <c r="G883" i="1"/>
  <c r="G946" i="1" l="1"/>
  <c r="G106" i="1"/>
  <c r="G105" i="1"/>
  <c r="G1225" i="1" l="1"/>
  <c r="G1234" i="1"/>
  <c r="G1228" i="1"/>
  <c r="G1224" i="1"/>
  <c r="G1226" i="1"/>
  <c r="I766" i="1" l="1"/>
  <c r="G762" i="1"/>
  <c r="I371" i="1" l="1"/>
  <c r="G374" i="1"/>
  <c r="D309" i="1"/>
  <c r="G309" i="1" s="1"/>
  <c r="I375" i="1" l="1"/>
  <c r="I372" i="1"/>
  <c r="G1238" i="1" l="1"/>
  <c r="G1241" i="1"/>
  <c r="G1242" i="1"/>
  <c r="G1243" i="1"/>
  <c r="G1217" i="1"/>
  <c r="G1216" i="1"/>
  <c r="G1218" i="1"/>
  <c r="G1222" i="1"/>
  <c r="G1231" i="1"/>
  <c r="G1233" i="1"/>
  <c r="G371" i="1"/>
  <c r="D373" i="1"/>
  <c r="G1239" i="1" l="1"/>
  <c r="G1240" i="1"/>
  <c r="D370" i="1"/>
  <c r="D375" i="1"/>
  <c r="G375" i="1" s="1"/>
  <c r="G373" i="1"/>
  <c r="G1423" i="1" l="1"/>
  <c r="C15" i="2" s="1"/>
  <c r="D372" i="1"/>
  <c r="G372" i="1" s="1"/>
  <c r="G370" i="1"/>
  <c r="G23" i="1" l="1"/>
  <c r="G1095" i="1" l="1"/>
  <c r="G1094" i="1"/>
  <c r="G1093" i="1"/>
  <c r="G1081" i="1"/>
  <c r="G1080" i="1"/>
  <c r="G1079" i="1"/>
  <c r="G1077" i="1"/>
  <c r="G1202" i="1" l="1"/>
  <c r="C13" i="2"/>
  <c r="G980" i="1" l="1"/>
  <c r="G713" i="1" l="1"/>
  <c r="G705" i="1"/>
  <c r="G871" i="1" l="1"/>
  <c r="G619" i="1"/>
  <c r="G617" i="1"/>
  <c r="G352" i="1" l="1"/>
  <c r="G110" i="1"/>
  <c r="G109" i="1"/>
  <c r="G93" i="1"/>
  <c r="G90" i="1"/>
  <c r="G70" i="1"/>
  <c r="G69" i="1"/>
  <c r="G68" i="1"/>
  <c r="G67" i="1"/>
  <c r="G66" i="1"/>
  <c r="G65" i="1"/>
  <c r="G61" i="1"/>
  <c r="G60" i="1"/>
  <c r="G59" i="1"/>
  <c r="G58" i="1"/>
  <c r="G57" i="1"/>
  <c r="G56" i="1"/>
  <c r="G55" i="1"/>
  <c r="G54" i="1"/>
  <c r="G53" i="1"/>
  <c r="G52" i="1"/>
  <c r="G51" i="1"/>
  <c r="G24" i="1"/>
  <c r="G25" i="1"/>
  <c r="G26" i="1"/>
  <c r="G27" i="1"/>
  <c r="G984" i="1" l="1"/>
  <c r="G983" i="1"/>
  <c r="G979" i="1"/>
  <c r="G978" i="1"/>
  <c r="G22" i="1"/>
  <c r="G1006" i="1" l="1"/>
  <c r="G31" i="1"/>
  <c r="G30" i="1"/>
  <c r="G28" i="1"/>
  <c r="G44" i="1" l="1"/>
  <c r="C5" i="2" s="1"/>
  <c r="C14" i="2"/>
  <c r="C10" i="2"/>
  <c r="G618" i="1" l="1"/>
  <c r="G615" i="1" l="1"/>
  <c r="G694" i="1" s="1"/>
  <c r="C11" i="2" l="1"/>
  <c r="G1215" i="1" l="1"/>
  <c r="G81" i="1" l="1"/>
  <c r="C6" i="2" l="1"/>
  <c r="G304" i="1" l="1"/>
  <c r="C12" i="2" l="1"/>
  <c r="C9" i="2" l="1"/>
  <c r="C8" i="2" l="1"/>
  <c r="G604" i="1"/>
  <c r="C7" i="2" s="1"/>
  <c r="C20" i="2" l="1"/>
  <c r="C21" i="2" s="1"/>
  <c r="C22" i="2" s="1"/>
  <c r="F17" i="2" l="1"/>
  <c r="F20" i="2"/>
  <c r="F19" i="2"/>
</calcChain>
</file>

<file path=xl/sharedStrings.xml><?xml version="1.0" encoding="utf-8"?>
<sst xmlns="http://schemas.openxmlformats.org/spreadsheetml/2006/main" count="2743" uniqueCount="592">
  <si>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</si>
  <si>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</si>
  <si>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</si>
  <si>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</si>
  <si>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</si>
  <si>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</si>
  <si>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</si>
  <si>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</si>
  <si>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</si>
  <si>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</si>
  <si>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</si>
  <si>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</si>
  <si>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</si>
  <si>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</si>
  <si>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</si>
  <si>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</si>
  <si>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</si>
  <si>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</si>
  <si>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</si>
  <si>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</si>
  <si>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</si>
  <si>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</si>
  <si>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</si>
  <si>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</si>
  <si>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</si>
  <si>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</si>
  <si>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</si>
  <si>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</si>
  <si>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</si>
  <si>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</si>
  <si>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</si>
  <si>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</si>
  <si>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</si>
  <si>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</si>
  <si>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</si>
  <si>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</si>
  <si>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</si>
  <si>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</si>
  <si>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</si>
  <si>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</si>
  <si>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</si>
  <si>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</si>
  <si>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</si>
  <si>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</si>
  <si>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</si>
  <si>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</si>
  <si>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</si>
  <si>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</si>
  <si>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</si>
  <si>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</si>
  <si>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</si>
  <si>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</si>
  <si>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</si>
  <si>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</si>
  <si>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</si>
  <si>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</si>
  <si>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</si>
  <si>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</si>
  <si>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</si>
  <si>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</si>
  <si>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</si>
  <si>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</si>
  <si>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</si>
  <si>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</si>
  <si>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</si>
  <si>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</si>
  <si>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</si>
  <si>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</si>
  <si>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</si>
  <si>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</si>
  <si>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</si>
  <si>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</si>
  <si>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</si>
  <si>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</si>
  <si>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</si>
  <si>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</si>
  <si>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</si>
  <si>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</si>
  <si>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</si>
  <si>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</si>
  <si>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</si>
  <si>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</si>
  <si>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</si>
  <si>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</si>
  <si>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</si>
  <si>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</si>
  <si>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</si>
  <si>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</si>
  <si>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</si>
  <si>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</si>
  <si>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</si>
  <si>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</si>
  <si>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</si>
  <si>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</si>
  <si>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</si>
  <si>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</si>
  <si>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</si>
  <si>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</si>
  <si>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</si>
  <si>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</si>
  <si>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</si>
  <si>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</si>
  <si>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</si>
  <si>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</si>
  <si>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</si>
  <si>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</si>
  <si>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</si>
  <si>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</si>
  <si>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</si>
  <si>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</si>
  <si>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</si>
  <si>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</si>
  <si>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</si>
  <si>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</si>
  <si>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</si>
  <si>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</si>
  <si>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</si>
  <si>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</si>
  <si>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</si>
  <si>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</si>
  <si>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</si>
  <si>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</si>
  <si>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</si>
  <si>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</si>
  <si>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</si>
  <si>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</si>
  <si>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</si>
  <si>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</si>
  <si>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</si>
  <si>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</si>
  <si>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</si>
  <si>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</si>
  <si>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</si>
  <si>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</si>
  <si>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</si>
  <si>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</si>
  <si>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</si>
  <si>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</si>
  <si>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</si>
  <si>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</si>
  <si>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</si>
  <si>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</si>
  <si>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</si>
  <si>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</si>
  <si>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</si>
  <si>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</si>
  <si>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</si>
  <si>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</si>
  <si>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</si>
  <si>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</si>
  <si>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</si>
  <si>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</si>
  <si>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</si>
  <si>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</si>
  <si>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</si>
  <si>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</si>
  <si>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</si>
  <si>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</si>
  <si>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</si>
  <si>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</si>
  <si>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</si>
  <si>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</si>
  <si>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</si>
  <si>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</si>
  <si>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</si>
  <si>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</si>
  <si>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</si>
  <si>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</si>
  <si>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</si>
  <si>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</si>
  <si>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</si>
  <si>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</si>
  <si>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</si>
  <si>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</si>
  <si>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</si>
  <si>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</si>
  <si>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</si>
  <si>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</si>
  <si>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</si>
  <si>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</si>
  <si>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</si>
  <si>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</si>
  <si>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</si>
  <si>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BILL No: 11 - ELECTRICAL INSTALLATIONS</t>
  </si>
  <si>
    <t xml:space="preserve">Floor drain with trap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</si>
  <si>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</si>
  <si>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</si>
  <si>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</si>
  <si>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</si>
  <si>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</si>
  <si>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</si>
  <si>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</si>
  <si>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</si>
  <si>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</si>
  <si>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</si>
  <si>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</si>
  <si>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</si>
  <si>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</si>
  <si>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</si>
  <si>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t>TOTAL OF BILL No: 04 - Carried over to summary</t>
  </si>
  <si>
    <t>R.C.C. GROUND FLOOR SLAB</t>
  </si>
  <si>
    <t>OTHER CONCRETE WORKS</t>
  </si>
  <si>
    <t>FLOORING</t>
  </si>
  <si>
    <t>Charges for Piping for  fresh water Pipe work</t>
  </si>
  <si>
    <t>Charges for Piping for Ground water supply pipe work.</t>
  </si>
  <si>
    <t>DRAINAGE</t>
  </si>
  <si>
    <t>GROUND FLOOR SLAB</t>
  </si>
  <si>
    <t>Foundations</t>
  </si>
  <si>
    <t>(e) All doors and windows shall be  accordance with  door/window drawing details.</t>
  </si>
  <si>
    <t xml:space="preserve">50mm thick Floor Screeding </t>
  </si>
  <si>
    <t>TILE ADHESIVE</t>
  </si>
  <si>
    <t>ELECTRIC BOARDS</t>
  </si>
  <si>
    <t>ELECTRIC FIXTURES</t>
  </si>
  <si>
    <t xml:space="preserve">ELECTRICAL WIRING </t>
  </si>
  <si>
    <t>Cabling to TV points</t>
  </si>
  <si>
    <t>Cabling to Telephone  points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</si>
  <si>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</si>
  <si>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</si>
  <si>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</si>
  <si>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</si>
  <si>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</si>
  <si>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</si>
  <si>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</si>
  <si>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</si>
  <si>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</si>
  <si>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</si>
  <si>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</si>
  <si>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</si>
  <si>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STEP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</si>
  <si>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</si>
  <si>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</si>
  <si>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</si>
  <si>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</si>
  <si>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</si>
  <si>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</si>
  <si>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D )</t>
  </si>
  <si>
    <t>(c) Rates shall include for 9mm thick Cement board fixed on 35 x 50mm Timber frame,trimming, nails, screws,hooks, hangers,  clips and similar.</t>
  </si>
  <si>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</si>
  <si>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</si>
  <si>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</si>
  <si>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</si>
  <si>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</si>
  <si>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</si>
  <si>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</si>
  <si>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200x100x50mm MCPW solid 
block wall above all foundation beams.</t>
  </si>
  <si>
    <t>15mm thick Plastering</t>
  </si>
  <si>
    <t>Homogeneous/Porcelain Step Tiles</t>
  </si>
  <si>
    <t>300 x 300mm Non slip Ceramic Tiles</t>
  </si>
  <si>
    <t>300 x 600mm Polished Ceramic Wall Tiles.  (Rate shall include for 300 x 100mm Design border tiles @ 1200mm high on toilet walls)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</si>
  <si>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</si>
  <si>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</si>
  <si>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</si>
  <si>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</si>
  <si>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(c) Ground water connection shall be made as 
specified in the drawings.</t>
  </si>
  <si>
    <t>(e) All pipes shall be High Pressure  uPVC 
"Mutha" or equivalent brand.</t>
  </si>
  <si>
    <t>Stair case</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</si>
  <si>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</si>
  <si>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</si>
  <si>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</si>
  <si>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</si>
  <si>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</si>
  <si>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</si>
  <si>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</si>
  <si>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</si>
  <si>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</si>
  <si>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</si>
  <si>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</si>
  <si>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</si>
  <si>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</si>
  <si>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</si>
  <si>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Ceiling Light - L15</t>
  </si>
  <si>
    <t>Cabling to Data Network points</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</si>
  <si>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</si>
  <si>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</si>
  <si>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</si>
  <si>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</si>
  <si>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100mm thick R.C. slab</t>
  </si>
  <si>
    <t>R.c.c. Staircase</t>
  </si>
  <si>
    <t>SLAB BEAMS</t>
  </si>
  <si>
    <t>FLOOR SLAB</t>
  </si>
  <si>
    <t>150mm thick R.c.c. Floor Slab</t>
  </si>
  <si>
    <t>4.4</t>
  </si>
  <si>
    <t>TB1</t>
  </si>
  <si>
    <t>TB2</t>
  </si>
  <si>
    <t>SLAB BEAM</t>
  </si>
  <si>
    <t>e )</t>
  </si>
  <si>
    <t>20mm dia deformed bars - 6m</t>
  </si>
  <si>
    <t>25mm dia deformed bars - 6m</t>
  </si>
  <si>
    <t>4.5</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</si>
  <si>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</si>
  <si>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</si>
  <si>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</si>
  <si>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</si>
  <si>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</si>
  <si>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</si>
  <si>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External walls 150mm thick</t>
  </si>
  <si>
    <t xml:space="preserve">Internal surface of external wall </t>
  </si>
  <si>
    <t>Class rooms</t>
  </si>
  <si>
    <t>Staircase</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</si>
  <si>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</si>
  <si>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</si>
  <si>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</si>
  <si>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ROOFING</t>
  </si>
  <si>
    <t>Mtr</t>
  </si>
  <si>
    <t>50mm thick double side Aluminium Foiled Rock wool Insulation laid as heat resistant below roofing sheet.</t>
  </si>
  <si>
    <t>25mm grid G.I. mesh laid as support to under the Rock wool insulation</t>
  </si>
  <si>
    <t xml:space="preserve">Roof Covering - Supply and Fixing BHP Lysaght Roofing sheet </t>
  </si>
  <si>
    <t>Capping -  Supply and Fixing 600mm wide Lysaght Ridge Capping</t>
  </si>
  <si>
    <t>mtr</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</si>
  <si>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</si>
  <si>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</si>
  <si>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</si>
  <si>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</si>
  <si>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</si>
  <si>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</si>
  <si>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</si>
  <si>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</si>
  <si>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</si>
  <si>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</si>
  <si>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</si>
  <si>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</si>
  <si>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</si>
  <si>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</si>
  <si>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</si>
  <si>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TV  Socket outlet - T10</t>
  </si>
  <si>
    <t>Speaker - T11</t>
  </si>
  <si>
    <t>VGA Sockets - VGA 01 &amp; VGA 02</t>
  </si>
  <si>
    <t>Multimedia Project with Stand - MP01</t>
  </si>
  <si>
    <t>Cabling to Multi media Projectors</t>
  </si>
  <si>
    <t>Cabling to Speaker System</t>
  </si>
  <si>
    <t xml:space="preserve"> TOTAL           Mrf</t>
  </si>
  <si>
    <t>6% GST           Mrf</t>
  </si>
  <si>
    <t>GRAND TOTAL          Mrf</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</si>
  <si>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</si>
  <si>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</si>
  <si>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</si>
  <si>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</si>
  <si>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</si>
  <si>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</si>
  <si>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</si>
  <si>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</si>
  <si>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</si>
  <si>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</si>
  <si>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</si>
  <si>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</si>
  <si>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</si>
  <si>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</si>
  <si>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</si>
  <si>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</si>
  <si>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</si>
  <si>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</si>
  <si>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</si>
  <si>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</si>
  <si>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</si>
  <si>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</si>
  <si>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</si>
  <si>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</si>
  <si>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</si>
  <si>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</si>
  <si>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</si>
  <si>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</si>
  <si>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</si>
  <si>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</si>
  <si>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13</t>
  </si>
  <si>
    <t>14</t>
  </si>
  <si>
    <t>ADDITIONS</t>
  </si>
  <si>
    <t>OMISSIONS</t>
  </si>
  <si>
    <t>Provision  to include quantities as per the drawing which is missed in the bill of quantities.</t>
  </si>
  <si>
    <t>BILL No: 13</t>
  </si>
  <si>
    <t>Provision to remove excess quantity given in the bill quantities than the drawing details</t>
  </si>
  <si>
    <t>TOTAL OF BILL No: 13 - Carried over to summary</t>
  </si>
  <si>
    <t>BILL No: 14</t>
  </si>
  <si>
    <t>TOTAL OF BILL No: 14 - Carried over to summary</t>
  </si>
  <si>
    <t>Exhaust Fan (Mechanical Ventiator)</t>
  </si>
  <si>
    <t>1 Gang 1 way Switch - P19</t>
  </si>
  <si>
    <t>MINISTRY OF EDUCATION</t>
  </si>
  <si>
    <t>REPUBLIC OF MALDIVES</t>
  </si>
  <si>
    <t>CLIENT</t>
  </si>
  <si>
    <t>PLASTERING ADMIXTURE</t>
  </si>
  <si>
    <t>WC with basin (Cotto brand)</t>
  </si>
  <si>
    <t>Wash basin with trap (Cotto brand)</t>
  </si>
  <si>
    <t>Wash basin tap (Watertec brand)</t>
  </si>
  <si>
    <t>Muslim Shower (Watertec brand)</t>
  </si>
  <si>
    <t>Water taps (Watertec brand)</t>
  </si>
  <si>
    <t>(f)All Switches &amp; Sockets shall be  ABB OR CLIPSAL brand.</t>
  </si>
  <si>
    <t>Mirror set (1.5mtr L x 600mm H)</t>
  </si>
  <si>
    <t>(b) All painting work shall be carried in accordance with the Specifications</t>
  </si>
  <si>
    <t>(e) Rates shall include for supply and complete installation of fittings and fixtures.</t>
  </si>
  <si>
    <t>(d) Each Light/ light fixture and its switch is measured as one one point; similarly each fan or each socket outlet is measured as one point;</t>
  </si>
  <si>
    <t>BILL OF QUANTITIES</t>
  </si>
  <si>
    <r>
      <t>m</t>
    </r>
    <r>
      <rPr>
        <vertAlign val="superscript"/>
        <sz val="9"/>
        <color theme="1"/>
        <rFont val="Arial"/>
        <family val="2"/>
      </rPr>
      <t>3</t>
    </r>
  </si>
  <si>
    <r>
      <t>m</t>
    </r>
    <r>
      <rPr>
        <vertAlign val="superscript"/>
        <sz val="9"/>
        <rFont val="Arial"/>
        <family val="2"/>
      </rPr>
      <t>2</t>
    </r>
  </si>
  <si>
    <r>
      <t xml:space="preserve">Apply Rubberised bitumin water proofing paint, </t>
    </r>
    <r>
      <rPr>
        <b/>
        <sz val="9"/>
        <color theme="1"/>
        <rFont val="Arial"/>
        <family val="2"/>
      </rPr>
      <t>Conmix</t>
    </r>
    <r>
      <rPr>
        <sz val="9"/>
        <color theme="1"/>
        <rFont val="Arial"/>
        <family val="2"/>
      </rPr>
      <t xml:space="preserve"> </t>
    </r>
    <r>
      <rPr>
        <b/>
        <sz val="9"/>
        <color theme="1"/>
        <rFont val="Arial"/>
        <family val="2"/>
      </rPr>
      <t>Moya Shield RBE,</t>
    </r>
    <r>
      <rPr>
        <sz val="9"/>
        <color theme="1"/>
        <rFont val="Arial"/>
        <family val="2"/>
      </rPr>
      <t xml:space="preserve"> 2 coats to all exposed concrete and masonry surface below ground level.</t>
    </r>
  </si>
  <si>
    <r>
      <t>m</t>
    </r>
    <r>
      <rPr>
        <vertAlign val="superscript"/>
        <sz val="9"/>
        <color theme="1"/>
        <rFont val="Arial"/>
        <family val="2"/>
      </rPr>
      <t>2</t>
    </r>
  </si>
  <si>
    <r>
      <t xml:space="preserve">Add approved water proofing admixture </t>
    </r>
    <r>
      <rPr>
        <b/>
        <sz val="9"/>
        <color theme="1"/>
        <rFont val="Arial"/>
        <family val="2"/>
      </rPr>
      <t>Conmix</t>
    </r>
    <r>
      <rPr>
        <sz val="9"/>
        <color theme="1"/>
        <rFont val="Arial"/>
        <family val="2"/>
      </rPr>
      <t xml:space="preserve"> </t>
    </r>
    <r>
      <rPr>
        <b/>
        <sz val="9"/>
        <color theme="1"/>
        <rFont val="Arial"/>
        <family val="2"/>
      </rPr>
      <t>Mega Add WL1</t>
    </r>
    <r>
      <rPr>
        <sz val="9"/>
        <color theme="1"/>
        <rFont val="Arial"/>
        <family val="2"/>
      </rPr>
      <t xml:space="preserve"> as per specification to all concrete below ground level.</t>
    </r>
  </si>
  <si>
    <r>
      <t xml:space="preserve">Add Plasticiser admixture </t>
    </r>
    <r>
      <rPr>
        <b/>
        <sz val="9"/>
        <color theme="1"/>
        <rFont val="Arial"/>
        <family val="2"/>
      </rPr>
      <t>Conmix</t>
    </r>
    <r>
      <rPr>
        <sz val="9"/>
        <color theme="1"/>
        <rFont val="Arial"/>
        <family val="2"/>
      </rPr>
      <t xml:space="preserve"> </t>
    </r>
    <r>
      <rPr>
        <b/>
        <sz val="9"/>
        <color theme="1"/>
        <rFont val="Arial"/>
        <family val="2"/>
      </rPr>
      <t>Mega Flow P</t>
    </r>
    <r>
      <rPr>
        <sz val="9"/>
        <color theme="1"/>
        <rFont val="Arial"/>
        <family val="2"/>
      </rPr>
      <t xml:space="preserve"> as per specification to all concrete Substreucture and Super structure.</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</si>
  <si>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Arial"/>
        <family val="2"/>
      </rPr>
      <t>Quantity is measured including concrete surfaces - Parapetwalls, Liftwalls, columns &amp; beams.</t>
    </r>
  </si>
  <si>
    <r>
      <t xml:space="preserve">Charges for Plastering admixture </t>
    </r>
    <r>
      <rPr>
        <b/>
        <sz val="9"/>
        <color theme="1"/>
        <rFont val="Arial"/>
        <family val="2"/>
      </rPr>
      <t>Conmix Megaflow MP</t>
    </r>
    <r>
      <rPr>
        <sz val="9"/>
        <color theme="1"/>
        <rFont val="Arial"/>
        <family val="2"/>
      </rPr>
      <t xml:space="preserve"> to be mixed with the plastering mortar to all External and Interior plastering works.</t>
    </r>
  </si>
  <si>
    <r>
      <t xml:space="preserve">(c) Tiles for bed rooms, offices, Kitchen, Living, Dining, corridors, all general areas shall be </t>
    </r>
    <r>
      <rPr>
        <b/>
        <sz val="9"/>
        <rFont val="Arial"/>
        <family val="2"/>
      </rPr>
      <t>600 x 600mm Polished Porcelain/Homogeneous tiles.</t>
    </r>
  </si>
  <si>
    <r>
      <t xml:space="preserve">Charges for supplying special tiles adhesive  </t>
    </r>
    <r>
      <rPr>
        <b/>
        <sz val="9"/>
        <rFont val="Arial"/>
        <family val="2"/>
      </rPr>
      <t>Conmix C500</t>
    </r>
    <r>
      <rPr>
        <sz val="9"/>
        <rFont val="Arial"/>
        <family val="2"/>
      </rPr>
      <t xml:space="preserve"> for fixing Ceramic tiles.</t>
    </r>
  </si>
  <si>
    <r>
      <t xml:space="preserve">(c)Rate shall include for </t>
    </r>
    <r>
      <rPr>
        <b/>
        <sz val="9"/>
        <rFont val="Arial"/>
        <family val="2"/>
      </rPr>
      <t>Nippon brand weather proof  pain</t>
    </r>
    <r>
      <rPr>
        <sz val="9"/>
        <rFont val="Arial"/>
        <family val="2"/>
      </rPr>
      <t xml:space="preserve">t finish for </t>
    </r>
    <r>
      <rPr>
        <b/>
        <sz val="9"/>
        <rFont val="Arial"/>
        <family val="2"/>
      </rPr>
      <t>exterior surfaces of the wall</t>
    </r>
    <r>
      <rPr>
        <sz val="9"/>
        <rFont val="Arial"/>
        <family val="2"/>
      </rPr>
      <t xml:space="preserve"> complete including application of  two coats of oil based wall sealer and two coats of weather bond paint </t>
    </r>
  </si>
  <si>
    <r>
      <t xml:space="preserve">(d)Rate shall include for </t>
    </r>
    <r>
      <rPr>
        <b/>
        <sz val="9"/>
        <rFont val="Arial"/>
        <family val="2"/>
      </rPr>
      <t>Conmix Conputty</t>
    </r>
    <r>
      <rPr>
        <sz val="9"/>
        <rFont val="Arial"/>
        <family val="2"/>
      </rPr>
      <t xml:space="preserve"> and </t>
    </r>
    <r>
      <rPr>
        <b/>
        <sz val="9"/>
        <rFont val="Arial"/>
        <family val="2"/>
      </rPr>
      <t>Nippon brand Emulsion paint</t>
    </r>
    <r>
      <rPr>
        <sz val="9"/>
        <rFont val="Arial"/>
        <family val="2"/>
      </rPr>
      <t xml:space="preserve"> finish for </t>
    </r>
    <r>
      <rPr>
        <b/>
        <sz val="9"/>
        <rFont val="Arial"/>
        <family val="2"/>
      </rPr>
      <t>interior surfaces of the wall and ceilings</t>
    </r>
    <r>
      <rPr>
        <sz val="9"/>
        <rFont val="Arial"/>
        <family val="2"/>
      </rPr>
      <t xml:space="preserve"> complete including application of  two coats of wall sealer, two coats of  putty finish and two coats of  emulsion paint finish on top for Interior painting.</t>
    </r>
  </si>
  <si>
    <r>
      <t xml:space="preserve">Painting, </t>
    </r>
    <r>
      <rPr>
        <b/>
        <sz val="9"/>
        <rFont val="Arial"/>
        <family val="2"/>
      </rPr>
      <t xml:space="preserve">Nippon brand weather bond paint, </t>
    </r>
    <r>
      <rPr>
        <sz val="9"/>
        <rFont val="Arial"/>
        <family val="2"/>
      </rPr>
      <t>exterior surfaces of External Wall, Columns &amp; beams.</t>
    </r>
  </si>
  <si>
    <r>
      <t xml:space="preserve">Painting, </t>
    </r>
    <r>
      <rPr>
        <b/>
        <sz val="9"/>
        <rFont val="Arial"/>
        <family val="2"/>
      </rPr>
      <t>Nippon brand Emulsion paint,</t>
    </r>
    <r>
      <rPr>
        <sz val="9"/>
        <rFont val="Arial"/>
        <family val="2"/>
      </rPr>
      <t xml:space="preserve">  on interior surfaces (Wall, Columns &amp; beams) </t>
    </r>
  </si>
  <si>
    <r>
      <rPr>
        <b/>
        <u/>
        <sz val="9"/>
        <rFont val="Arial"/>
        <family val="2"/>
      </rPr>
      <t>SEWERAGE &amp; DRAINAGE</t>
    </r>
    <r>
      <rPr>
        <sz val="9"/>
        <rFont val="Arial"/>
        <family val="2"/>
      </rPr>
      <t>: Charges for piping for all discharge pipes, sewerage and drainage pipes including connection Main junctions from the Fixtures.</t>
    </r>
  </si>
  <si>
    <r>
      <rPr>
        <b/>
        <u/>
        <sz val="9"/>
        <rFont val="Arial"/>
        <family val="2"/>
      </rPr>
      <t xml:space="preserve">INSPECTION CHAMBERS: </t>
    </r>
    <r>
      <rPr>
        <sz val="9"/>
        <rFont val="Arial"/>
        <family val="2"/>
      </rPr>
      <t>Charges for construction and Pipe connection of Inspection chambers as per drawing</t>
    </r>
  </si>
  <si>
    <r>
      <rPr>
        <b/>
        <u/>
        <sz val="9"/>
        <rFont val="Arial"/>
        <family val="2"/>
      </rPr>
      <t xml:space="preserve">SOAK PIT : </t>
    </r>
    <r>
      <rPr>
        <sz val="9"/>
        <rFont val="Arial"/>
        <family val="2"/>
      </rPr>
      <t>Charges for Construction and  Installation of 1800mm dia. R.c.c. Soak Pit as per drawing details. Rate shall include for; Excavation, form work, reinforcement, Lifting hooks, gravel filling etc complete.</t>
    </r>
  </si>
  <si>
    <r>
      <rPr>
        <b/>
        <u/>
        <sz val="9"/>
        <rFont val="Arial"/>
        <family val="2"/>
      </rPr>
      <t>RAINWATER DOWN PIPES</t>
    </r>
    <r>
      <rPr>
        <sz val="9"/>
        <rFont val="Arial"/>
        <family val="2"/>
      </rPr>
      <t>: Charges for piping for all discharge pipes and Drainage pipes including fittings and fixtures from the Gutter to Ground floor.</t>
    </r>
  </si>
  <si>
    <r>
      <t>2.5mm</t>
    </r>
    <r>
      <rPr>
        <vertAlign val="superscript"/>
        <sz val="9"/>
        <rFont val="Arial"/>
        <family val="2"/>
      </rPr>
      <t>2</t>
    </r>
    <r>
      <rPr>
        <sz val="9"/>
        <rFont val="Arial"/>
        <family val="2"/>
      </rPr>
      <t xml:space="preserve">  Wiring to Light Points</t>
    </r>
  </si>
  <si>
    <r>
      <t>2.5mm</t>
    </r>
    <r>
      <rPr>
        <vertAlign val="superscript"/>
        <sz val="9"/>
        <rFont val="Arial"/>
        <family val="2"/>
      </rPr>
      <t xml:space="preserve">2  </t>
    </r>
    <r>
      <rPr>
        <sz val="9"/>
        <rFont val="Arial"/>
        <family val="2"/>
      </rPr>
      <t>Wiring to Power  Points</t>
    </r>
  </si>
  <si>
    <r>
      <t>16mm</t>
    </r>
    <r>
      <rPr>
        <vertAlign val="superscript"/>
        <sz val="9"/>
        <rFont val="Arial"/>
        <family val="2"/>
      </rPr>
      <t>2</t>
    </r>
    <r>
      <rPr>
        <sz val="9"/>
        <rFont val="Arial"/>
        <family val="2"/>
      </rPr>
      <t xml:space="preserve">  Cabling to DBs</t>
    </r>
  </si>
  <si>
    <t>a ) Rates shall include for cleaning out cavities, forming rebated reveals and pointing and cleaning down to  reveals where necessary; fractional size blocks, all necessary machine cutting, cutting or forming chases or edges of  floor slabs.</t>
  </si>
  <si>
    <t>b ) Cutting or leaving holes and openings as recesses for and building in pipes, conduits , sleeves and similar as required for all trades; leaving surfaces rough or raking out joints for  plastering and flashings, bedding frames or plates, building in joints.</t>
  </si>
  <si>
    <t>Toilet -  W/C</t>
  </si>
  <si>
    <t>Toilet walls @ 2.6M height</t>
  </si>
  <si>
    <t>300 x 600mm Polished Ceramic Wall Tiles 2.6m height.   (Rate shall include for 300 x 100mm Design border tiles @ 1200mm high on toilet walls)</t>
  </si>
  <si>
    <t>Supply and Installation of  STELCO approved (ABB or LEGRAND brand) Distribution board (Power &amp; Lights Distribution board Separately)</t>
  </si>
  <si>
    <t>Supply and Installation of  STELCO approved (ABB or LEGRAND brand) Distribution board (Power &amp; Light Distribution board Separately)</t>
  </si>
  <si>
    <t>1.6</t>
  </si>
  <si>
    <t>SAFETY ON SITE</t>
  </si>
  <si>
    <t>Safety on site:- Providing and maintainingadequate safety measure on site for all workers and all authorized visitors on site and protecting adjoining properties and people against falling objects or other with regard to the construction 
works</t>
  </si>
  <si>
    <t>LOGISTICS</t>
  </si>
  <si>
    <t>Charges for supply of materials to the site including transportation, Loading and unloading of materials,  for the project construction.</t>
  </si>
  <si>
    <t>6mm dia Round bars - 6m</t>
  </si>
  <si>
    <t>13.3.1</t>
  </si>
  <si>
    <t>MASONRY - BLOCK WORK</t>
  </si>
  <si>
    <t xml:space="preserve">a ) </t>
  </si>
  <si>
    <t>300 x 150 x 150mm Solid Block work</t>
  </si>
  <si>
    <t>DOORS &amp; WINDOWS</t>
  </si>
  <si>
    <t>Below ground floor - Bitumen paint</t>
  </si>
  <si>
    <t>15</t>
  </si>
  <si>
    <t xml:space="preserve">PROJECT: FEYDHOO  SCHOOL </t>
  </si>
  <si>
    <t>FEYDHOO SCHOOL</t>
  </si>
  <si>
    <t>F1 - 1300 x 1800 x 350mm x 03nos.</t>
  </si>
  <si>
    <t>ST1 &amp; FB1 - 27545 x 3100mm x 01no:</t>
  </si>
  <si>
    <t>F2 - 750 x 750 x 350mm x 03nos.</t>
  </si>
  <si>
    <t>Tie beam TB1, 400 x 550mm</t>
  </si>
  <si>
    <t>Tie beam TB2, 250 x 400mm</t>
  </si>
  <si>
    <t>ST2 &amp; FB2 - 3300 x 2800mm x 2nos</t>
  </si>
  <si>
    <t>ST3 &amp; FB3 - 3100 x 2600mm x 2nos</t>
  </si>
  <si>
    <t>ST5 &amp; FB5 - 7000 x 2400mm x 01no:</t>
  </si>
  <si>
    <t>ST6 &amp; FB6 - 5100 x 2950mm x 01no:</t>
  </si>
  <si>
    <t>B1 , 250 x 500mm</t>
  </si>
  <si>
    <t>B2 , 350 x 800mm</t>
  </si>
  <si>
    <t>B4 , 250 x 500mm</t>
  </si>
  <si>
    <t>B5 , 250 x 500mm</t>
  </si>
  <si>
    <t>CB1 , 250 x 500mm</t>
  </si>
  <si>
    <t>C1 , 250 x 250mm x 7nos: (3915mm H)</t>
  </si>
  <si>
    <t>C2 , 600 x 350mm x 18nos: (3915mm H)</t>
  </si>
  <si>
    <t>C3 , 450 x 250mm x 3nos: (3915mm H)</t>
  </si>
  <si>
    <t>C4 , 350 x 350mm x 3nos: (3915mm H)</t>
  </si>
  <si>
    <t>C1 , 250 x 250mm x 5nos: (3360mm H)</t>
  </si>
  <si>
    <t>C2 , 600 x 350mm x 18nos: (3360mm H)</t>
  </si>
  <si>
    <t>C3 , 450 x 250mm x 3nos: (3360mm H)</t>
  </si>
  <si>
    <t>B3 , 350 x 800mm</t>
  </si>
  <si>
    <t>B6 , 250 x 500mm</t>
  </si>
  <si>
    <t>B7 , 250 x 500mm</t>
  </si>
  <si>
    <t>C4 , 350 x 350mm x 3nos: (3360mm H)</t>
  </si>
  <si>
    <t>THIRD FLOOR</t>
  </si>
  <si>
    <t>B7, 250 x 500mm</t>
  </si>
  <si>
    <t>B6, 250 x 500mm</t>
  </si>
  <si>
    <t>B2, 350 x 800mm</t>
  </si>
  <si>
    <t>B1, 250 x 500mm</t>
  </si>
  <si>
    <t>6.3</t>
  </si>
  <si>
    <t>6.4</t>
  </si>
  <si>
    <t>6.5</t>
  </si>
  <si>
    <t>FOURTH FLOOR</t>
  </si>
  <si>
    <t>7.0</t>
  </si>
  <si>
    <t>B8, 350 x 650mm</t>
  </si>
  <si>
    <t>GUTTER WALL</t>
  </si>
  <si>
    <t>300mm H x 150mm thick R.c.c. Gutter wall</t>
  </si>
  <si>
    <t>7.4</t>
  </si>
  <si>
    <t>1350mm H x 150mm thick R.c.c. Parapet wall</t>
  </si>
  <si>
    <t>8.0</t>
  </si>
  <si>
    <t>STAIR ROOF</t>
  </si>
  <si>
    <t>8.2</t>
  </si>
  <si>
    <t>B5, 250 x 500mm</t>
  </si>
  <si>
    <t>ST4 &amp; FB4 - 8000 x 4400mm x 01no:</t>
  </si>
  <si>
    <t>C1 , 250 x 250mm x 4nos: (2990mm H)</t>
  </si>
  <si>
    <t>6.2</t>
  </si>
  <si>
    <t>ST1</t>
  </si>
  <si>
    <t>ST2</t>
  </si>
  <si>
    <t>ST3</t>
  </si>
  <si>
    <t>ST4</t>
  </si>
  <si>
    <t>ST5</t>
  </si>
  <si>
    <t>ST6</t>
  </si>
  <si>
    <t>F1</t>
  </si>
  <si>
    <t>F2</t>
  </si>
  <si>
    <t>C1 , 250 x 250mm x 07nos:</t>
  </si>
  <si>
    <t>C2, 600 x 350mm x 18nos</t>
  </si>
  <si>
    <t>C3, 450 x 250mm x  03nos</t>
  </si>
  <si>
    <t>C1 , 250 x 250mm x 05nos:</t>
  </si>
  <si>
    <t>C4, 350 x 350mm x  03nos</t>
  </si>
  <si>
    <t>B4, 250 x 500mm</t>
  </si>
  <si>
    <t>B3, 350 x 800mm</t>
  </si>
  <si>
    <t>10mm dia deformed bars - 6m (Wastage B2)</t>
  </si>
  <si>
    <t>B8, 300 x 650mm</t>
  </si>
  <si>
    <t>CB1, 250 x 500mm</t>
  </si>
  <si>
    <t>10mm dia deformed bars - 6m (wastage B2)</t>
  </si>
  <si>
    <t>4.6</t>
  </si>
  <si>
    <t>4.7</t>
  </si>
  <si>
    <t>10mm dia deformed bars - 6m(WASTAGE B2)</t>
  </si>
  <si>
    <t>C1 , 250 x 250mm x 04nos:</t>
  </si>
  <si>
    <t>D4 - Solid Timber framed door with Soild Timber door panel, 700 x 2100mm.</t>
  </si>
  <si>
    <t>D2 - Solid Timber framed door with Soild Timber door panel, 950 x 2750mm.</t>
  </si>
  <si>
    <t>D3 - Solid Timber framed door with Soild Timber door panel, 900 x 2100mm.</t>
  </si>
  <si>
    <t>D1 -80 micron White Powder coated Aluminium framed door with 6mm thick Laminated Blue glass panels, 1850 x 2750mm.</t>
  </si>
  <si>
    <t>W4 - White powder Coated Aluminium framed Window with Fixed aluminium louvered panels, 700 x 600mm</t>
  </si>
  <si>
    <t>150mm thick Block wall with 300 x 150 x 150mm thick Solid blocks.</t>
  </si>
  <si>
    <t>W2 - White Powder Coated Aluminium framed Window with Openable glass panels and Fixed glass panels at top , 1850 x  1750mm</t>
  </si>
  <si>
    <t>W1 - White Powder Coated Aluminium framed Window with Sliding glass panels and Fixed Louvered &amp; glass panels at top , 2450 x  1750mm</t>
  </si>
  <si>
    <t>W3 - White Powder Coated Aluminium framed Window with Sliding glass panels and Fixed glass panels at top , 1575 x  1750mm</t>
  </si>
  <si>
    <t>Hall</t>
  </si>
  <si>
    <t>Corridor</t>
  </si>
  <si>
    <t>Toilet (Stage)</t>
  </si>
  <si>
    <t>Control room</t>
  </si>
  <si>
    <t>Room below Staircase</t>
  </si>
  <si>
    <t>Balcony</t>
  </si>
  <si>
    <t>Entrance Lobby</t>
  </si>
  <si>
    <t>Roof Terrace / Gutter</t>
  </si>
  <si>
    <t>Roof Top</t>
  </si>
  <si>
    <t>600 x 600mm Polished Ceramic tiles</t>
  </si>
  <si>
    <t>Control Room</t>
  </si>
  <si>
    <t>Toilet -  W/C &amp; wash</t>
  </si>
  <si>
    <t>Vanity Counter</t>
  </si>
  <si>
    <t>600 x 600mm Non Slip Ceramic tiles</t>
  </si>
  <si>
    <t>Toilet  @ 2.4M height</t>
  </si>
  <si>
    <t xml:space="preserve"> Vanity Counter</t>
  </si>
  <si>
    <t>600 x 600mm Non slip Ceramic tiles</t>
  </si>
  <si>
    <t>Toilet -  W/C / wash area</t>
  </si>
  <si>
    <t xml:space="preserve">Corridor </t>
  </si>
  <si>
    <t>Terrace /  Gutter slab</t>
  </si>
  <si>
    <t>Roof top slab</t>
  </si>
  <si>
    <t xml:space="preserve">WALL TILING </t>
  </si>
  <si>
    <t>300mm high Wall tiling on inside surface of Gutter wall &amp; Parapet wall</t>
  </si>
  <si>
    <t>1)</t>
  </si>
  <si>
    <t>Fourth floor - Class room</t>
  </si>
  <si>
    <t>Ground floor - Toilet</t>
  </si>
  <si>
    <t>First floor - Toilet</t>
  </si>
  <si>
    <t>Second floor  - Toilet</t>
  </si>
  <si>
    <t>Third floor  - Toilet</t>
  </si>
  <si>
    <t>Fourth - Toilet</t>
  </si>
  <si>
    <r>
      <t xml:space="preserve">Painting, </t>
    </r>
    <r>
      <rPr>
        <b/>
        <sz val="9"/>
        <rFont val="Arial"/>
        <family val="2"/>
      </rPr>
      <t>Nippon brand Emulsion paint</t>
    </r>
    <r>
      <rPr>
        <sz val="9"/>
        <rFont val="Arial"/>
        <family val="2"/>
      </rPr>
      <t>,  Soffit of Slab / Ceiling.</t>
    </r>
  </si>
  <si>
    <t>Roof Truss - Supply, Fabrication and Fixing Roof Trusses complete with  Base plates, Bolts, nuts, Washers etc including  Paint Finishes. Refer drawing detail    S 18</t>
  </si>
  <si>
    <t>Supply and Fixing C - Purlins 100 10 (GI) @ 750mm spacing</t>
  </si>
  <si>
    <t>Mirror set (1.2mtr L x 600mm H)</t>
  </si>
  <si>
    <t>Ceiling Light - L 06</t>
  </si>
  <si>
    <t xml:space="preserve">Supply and Installation of STELCO approved Main Panel board with 5nos KWH meters. </t>
  </si>
  <si>
    <t xml:space="preserve">1 x 13A Power Socket - P01 </t>
  </si>
  <si>
    <t>2 x 13A Power Socket - P03</t>
  </si>
  <si>
    <t>Date Socket outlet - T04</t>
  </si>
  <si>
    <t>Sound system - Speaker - T03</t>
  </si>
  <si>
    <t>Data Socket outlet - T02</t>
  </si>
  <si>
    <t>STAGE</t>
  </si>
  <si>
    <t>13.1.1</t>
  </si>
  <si>
    <t xml:space="preserve">Below Stage </t>
  </si>
  <si>
    <t>Both sides of the wall below stage</t>
  </si>
  <si>
    <t>D6 - Solid Tilmber door</t>
  </si>
  <si>
    <t>Timber Joists -  75 x 150mm @ 400mm c/c</t>
  </si>
  <si>
    <t>FLOOR FINISHES</t>
  </si>
  <si>
    <t>Novilon floor finish on the stage</t>
  </si>
  <si>
    <t>25mm thick Plywood Decking</t>
  </si>
  <si>
    <t>BILL No: 14 - ADDITIONS</t>
  </si>
  <si>
    <t>BILL No: 15</t>
  </si>
  <si>
    <t>BILL No: 15 - OMISSIONS</t>
  </si>
  <si>
    <t>TOTAL OF BILL No: 15 - Carried over to summary</t>
  </si>
  <si>
    <t>Charges for construction of 100mm thick R.c.c.Parapet wall at First floor to 4th floor as per details. Rate shall include for Shuttering and Reinforcement work complete.</t>
  </si>
  <si>
    <t>G.I. PIPE Railing  - Staircase</t>
  </si>
  <si>
    <t xml:space="preserve">Supply, Fabrication and Fixing RAILING G.I.PIPE complete including paint finishes - Fixed at Middle of the Staircase as per details </t>
  </si>
  <si>
    <t xml:space="preserve">Supply, Fabrication and Fixing RAILING G.I.PIPE complete including paint finishes Fixed at both Sides of the Staircase as per details </t>
  </si>
  <si>
    <t>G.I. PIPE Railing  - BALCONY</t>
  </si>
  <si>
    <t xml:space="preserve">Supply, Fabrication and Fixing RAILING G.I.PIPE complete including paint finishes </t>
  </si>
  <si>
    <t>BILL No: 13 - STAGE</t>
  </si>
  <si>
    <t>5.6</t>
  </si>
  <si>
    <t>GLASS BLOCK</t>
  </si>
  <si>
    <t>Charges for Supply &amp; Fixing Glass blocks on stair wall Ground floor to Fourth Floor</t>
  </si>
  <si>
    <t>T1 - 4.15mtr length</t>
  </si>
  <si>
    <t>T2 - 5.65mtr length</t>
  </si>
  <si>
    <t>TYPE 01 - Coated Aluminium frame with Louvered aluminium panels, 2850 x 650mm</t>
  </si>
  <si>
    <t>Skirting - 600 x 100mm Ceramic Tiles</t>
  </si>
  <si>
    <t>5.7</t>
  </si>
  <si>
    <t>WATER PROOFING</t>
  </si>
  <si>
    <t>Charges for Apply two coats of water proofing compound Conmix WS2 / HF.</t>
  </si>
  <si>
    <t>Ground floor Toilet</t>
  </si>
  <si>
    <t>Firstfloor - Toilets</t>
  </si>
  <si>
    <t>Second floor - Toilets</t>
  </si>
  <si>
    <t>Third floor - Toilets</t>
  </si>
  <si>
    <t>Fourth floor - Toilets</t>
  </si>
  <si>
    <t>Terrace - Gutter /  Open Slab</t>
  </si>
  <si>
    <t>D5 - 40mm dia. G.I.Pipe gate complete including paint finishes 1340 x 2100mm.</t>
  </si>
  <si>
    <t>Ceiling Fan, dia. 1500</t>
  </si>
  <si>
    <t>PROJECT : FEYDHOO SCHOOL -  TWELVE CLASS ROOM BLOCK</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</si>
</sst>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00_-;\-* #,##0.00_-;_-* &quot;-&quot;??_-;_-@_-"/>
    <numFmt numFmtId="165" formatCode="_(* #,##0.0_);_(* \(#,##0.0\);_(* &quot;-&quot;??_);_(@_)"/>
    <numFmt numFmtId="166" formatCode="_(* #,##0.000_);_(* \(#,##0.000\);_(* &quot;-&quot;???_);_(@_)"/>
    <numFmt numFmtId="167" formatCode="_(* #,##0.00_);_(* \(#,##0.00\);_(* \-??_);_(@_)"/>
    <numFmt numFmtId="168" formatCode="0.0"/>
    <numFmt numFmtId="169" formatCode="_(\$* #,##0.00_);_(\$* \(#,##0.00\);_(\$* \-??_);_(@_)"/>
    <numFmt numFmtId="170" formatCode="\(0\)"/>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12"/>
      <name val="Times New Roman"/>
      <family val="1"/>
    </font>
    <font>
      <b/>
      <sz val="22"/>
      <name val="Arial Black"/>
      <family val="2"/>
    </font>
    <font>
      <sz val="11"/>
      <name val="Calibri"/>
      <family val="2"/>
      <scheme val="minor"/>
    </font>
    <font>
      <sz val="11"/>
      <name val="Arial Black"/>
      <family val="2"/>
    </font>
    <font>
      <b/>
      <sz val="16"/>
      <name val="Arial Black"/>
      <family val="2"/>
    </font>
    <font>
      <b/>
      <u/>
      <sz val="11"/>
      <name val="Arial Black"/>
      <family val="2"/>
    </font>
    <font>
      <b/>
      <sz val="11"/>
      <name val="Arial Black"/>
      <family val="2"/>
    </font>
    <font>
      <b/>
      <sz val="9"/>
      <color theme="1"/>
      <name val="Arial"/>
      <family val="2"/>
    </font>
    <font>
      <sz val="9"/>
      <color theme="1"/>
      <name val="Arial"/>
      <family val="2"/>
    </font>
    <font>
      <sz val="9"/>
      <name val="Arial"/>
      <family val="2"/>
    </font>
    <font>
      <b/>
      <u/>
      <sz val="9"/>
      <name val="Arial"/>
      <family val="2"/>
    </font>
    <font>
      <b/>
      <sz val="9"/>
      <name val="Arial"/>
      <family val="2"/>
    </font>
    <font>
      <b/>
      <sz val="9"/>
      <color rgb="FFFF0000"/>
      <name val="Arial"/>
      <family val="2"/>
    </font>
    <font>
      <u/>
      <sz val="9"/>
      <name val="Arial"/>
      <family val="2"/>
    </font>
    <font>
      <b/>
      <u/>
      <sz val="9"/>
      <color theme="1"/>
      <name val="Arial"/>
      <family val="2"/>
    </font>
    <font>
      <vertAlign val="superscript"/>
      <sz val="9"/>
      <color theme="1"/>
      <name val="Arial"/>
      <family val="2"/>
    </font>
    <font>
      <vertAlign val="superscript"/>
      <sz val="9"/>
      <name val="Arial"/>
      <family val="2"/>
    </font>
    <font>
      <u/>
      <sz val="9"/>
      <color theme="1"/>
      <name val="Arial"/>
      <family val="2"/>
    </font>
    <font>
      <b/>
      <sz val="9"/>
      <color indexed="9"/>
      <name val="Arial"/>
      <family val="2"/>
    </font>
    <font>
      <sz val="10"/>
      <name val="Arial"/>
    </font>
    <font>
      <b/>
      <u/>
      <sz val="10"/>
      <name val="Arial"/>
      <family val="2"/>
    </font>
    <font>
      <b/>
      <sz val="10"/>
      <name val="Arial"/>
      <family val="2"/>
    </font>
    <font>
      <sz val="10"/>
      <color theme="1"/>
      <name val="Arial"/>
      <family val="2"/>
    </font>
    <font>
      <sz val="10"/>
      <color theme="1"/>
      <name val="Calibri"/>
      <family val="2"/>
      <scheme val="minor"/>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indexed="9"/>
        <bgColor indexed="26"/>
      </patternFill>
    </fill>
  </fills>
  <borders count="3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right style="thin">
        <color indexed="64"/>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s>
  <cellStyleXfs count="7">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167" fontId="27" fillId="0" borderId="0" applyFill="0" applyBorder="0" applyAlignment="0" applyProtection="0"/>
    <xf numFmtId="0" fontId="27" fillId="0" borderId="0"/>
    <xf numFmtId="169" fontId="27" fillId="0" borderId="0" applyFill="0" applyBorder="0" applyAlignment="0" applyProtection="0"/>
  </cellStyleXfs>
  <cellXfs count="450">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3" fillId="2" borderId="4" xfId="0" applyNumberFormat="1" applyFont="1" applyFill="1" applyBorder="1"/>
    <xf numFmtId="0" fontId="8" fillId="2" borderId="5" xfId="0" applyFont="1" applyFill="1" applyBorder="1" applyAlignment="1">
      <alignment horizontal="center"/>
    </xf>
    <xf numFmtId="43" fontId="8" fillId="2" borderId="6" xfId="0" applyNumberFormat="1" applyFont="1" applyFill="1" applyBorder="1" applyAlignment="1">
      <alignment horizontal="center"/>
    </xf>
    <xf numFmtId="164" fontId="0" fillId="0" borderId="0" xfId="0" applyNumberFormat="1"/>
    <xf numFmtId="0" fontId="9" fillId="0" borderId="0" xfId="0" applyFont="1" applyAlignment="1">
      <alignment horizontal="center"/>
    </xf>
    <xf numFmtId="0" fontId="10" fillId="0" borderId="0" xfId="0" applyFont="1"/>
    <xf numFmtId="0" fontId="11" fillId="0" borderId="0" xfId="0" applyFont="1"/>
    <xf numFmtId="0" fontId="12" fillId="0" borderId="0" xfId="0" applyFont="1" applyAlignment="1">
      <alignment horizontal="center"/>
    </xf>
    <xf numFmtId="0" fontId="9" fillId="0" borderId="0" xfId="0" applyFont="1" applyAlignment="1">
      <alignment horizontal="center" vertical="center"/>
    </xf>
    <xf numFmtId="0" fontId="10" fillId="0" borderId="0" xfId="0" applyFont="1" applyAlignment="1">
      <alignment vertical="center"/>
    </xf>
    <xf numFmtId="0" fontId="13" fillId="0" borderId="0" xfId="0" applyFont="1" applyAlignment="1">
      <alignment horizontal="center"/>
    </xf>
    <xf numFmtId="0" fontId="11" fillId="0" borderId="0" xfId="0" applyFont="1" applyAlignment="1">
      <alignment horizontal="center"/>
    </xf>
    <xf numFmtId="0" fontId="14" fillId="0" borderId="0" xfId="0" applyFont="1" applyAlignment="1">
      <alignment horizontal="center"/>
    </xf>
    <xf numFmtId="0" fontId="15" fillId="0" borderId="0" xfId="0" applyFont="1"/>
    <xf numFmtId="49" fontId="16" fillId="0" borderId="0" xfId="0" applyNumberFormat="1" applyFont="1"/>
    <xf numFmtId="0" fontId="16" fillId="0" borderId="0" xfId="0" applyFont="1"/>
    <xf numFmtId="0" fontId="16" fillId="0" borderId="0" xfId="0" applyFont="1" applyAlignment="1">
      <alignment horizontal="center"/>
    </xf>
    <xf numFmtId="43" fontId="16" fillId="0" borderId="0" xfId="1" applyNumberFormat="1" applyFont="1"/>
    <xf numFmtId="165" fontId="16" fillId="0" borderId="0" xfId="1" applyNumberFormat="1" applyFont="1"/>
    <xf numFmtId="43" fontId="16" fillId="0" borderId="0" xfId="1" applyFont="1"/>
    <xf numFmtId="49" fontId="16" fillId="0" borderId="25" xfId="0" applyNumberFormat="1" applyFont="1" applyBorder="1" applyAlignment="1">
      <alignment horizontal="center" vertical="center"/>
    </xf>
    <xf numFmtId="0" fontId="16" fillId="0" borderId="26" xfId="0" applyFont="1" applyBorder="1" applyAlignment="1">
      <alignment horizontal="center" vertical="center"/>
    </xf>
    <xf numFmtId="43" fontId="16" fillId="0" borderId="26" xfId="1" applyNumberFormat="1" applyFont="1" applyBorder="1" applyAlignment="1">
      <alignment horizontal="center" vertical="center"/>
    </xf>
    <xf numFmtId="165" fontId="16" fillId="0" borderId="26" xfId="1" applyNumberFormat="1" applyFont="1" applyBorder="1" applyAlignment="1">
      <alignment horizontal="center" vertical="center" wrapText="1"/>
    </xf>
    <xf numFmtId="43" fontId="16" fillId="0" borderId="26" xfId="1" applyFont="1" applyBorder="1" applyAlignment="1">
      <alignment horizontal="center" vertical="center" wrapText="1"/>
    </xf>
    <xf numFmtId="43" fontId="16" fillId="0" borderId="27" xfId="1" applyFont="1" applyBorder="1" applyAlignment="1">
      <alignment horizontal="center" vertical="center" wrapText="1"/>
    </xf>
    <xf numFmtId="0" fontId="16" fillId="0" borderId="0" xfId="0" applyFont="1" applyAlignment="1">
      <alignment horizontal="center" vertical="center"/>
    </xf>
    <xf numFmtId="49" fontId="17" fillId="2" borderId="20" xfId="2" applyNumberFormat="1" applyFont="1" applyFill="1" applyBorder="1" applyAlignment="1">
      <alignment horizontal="center" vertical="justify"/>
    </xf>
    <xf numFmtId="0" fontId="18" fillId="2" borderId="21" xfId="2" quotePrefix="1" applyNumberFormat="1" applyFont="1" applyFill="1" applyBorder="1" applyAlignment="1">
      <alignment horizontal="center"/>
    </xf>
    <xf numFmtId="43" fontId="19" fillId="2" borderId="21" xfId="2" applyFont="1" applyFill="1" applyBorder="1" applyAlignment="1">
      <alignment horizontal="center"/>
    </xf>
    <xf numFmtId="43" fontId="19" fillId="3" borderId="21" xfId="1" applyNumberFormat="1" applyFont="1" applyFill="1" applyBorder="1" applyAlignment="1">
      <alignment horizontal="center"/>
    </xf>
    <xf numFmtId="165" fontId="17" fillId="2" borderId="21" xfId="1" applyNumberFormat="1" applyFont="1" applyFill="1" applyBorder="1" applyAlignment="1">
      <alignment horizontal="center"/>
    </xf>
    <xf numFmtId="43" fontId="16" fillId="0" borderId="21" xfId="1" applyFont="1" applyBorder="1" applyAlignment="1">
      <alignment horizontal="center" vertical="center" wrapText="1"/>
    </xf>
    <xf numFmtId="43" fontId="16" fillId="0" borderId="22" xfId="1" applyFont="1" applyBorder="1" applyAlignment="1">
      <alignment horizontal="center" vertical="center" wrapText="1"/>
    </xf>
    <xf numFmtId="0" fontId="20" fillId="0" borderId="0" xfId="0" applyFont="1" applyAlignment="1">
      <alignment horizontal="center" vertical="center"/>
    </xf>
    <xf numFmtId="0" fontId="15" fillId="0" borderId="0" xfId="0" applyFont="1" applyAlignment="1">
      <alignment horizontal="center" vertical="center"/>
    </xf>
    <xf numFmtId="0" fontId="18" fillId="2" borderId="21" xfId="2" applyNumberFormat="1" applyFont="1" applyFill="1" applyBorder="1" applyAlignment="1">
      <alignment horizontal="center"/>
    </xf>
    <xf numFmtId="0" fontId="19" fillId="2" borderId="21" xfId="2" applyNumberFormat="1" applyFont="1" applyFill="1" applyBorder="1" applyAlignment="1">
      <alignment horizontal="left"/>
    </xf>
    <xf numFmtId="0" fontId="18" fillId="2" borderId="21" xfId="2" applyNumberFormat="1" applyFont="1" applyFill="1" applyBorder="1" applyAlignment="1">
      <alignment horizontal="left"/>
    </xf>
    <xf numFmtId="49" fontId="17" fillId="2" borderId="20" xfId="2" quotePrefix="1" applyNumberFormat="1" applyFont="1" applyFill="1" applyBorder="1" applyAlignment="1">
      <alignment horizontal="center" vertical="justify"/>
    </xf>
    <xf numFmtId="0" fontId="21" fillId="2" borderId="21" xfId="2" applyNumberFormat="1" applyFont="1" applyFill="1" applyBorder="1" applyAlignment="1">
      <alignment horizontal="left"/>
    </xf>
    <xf numFmtId="0" fontId="17" fillId="2" borderId="21" xfId="2" applyNumberFormat="1" applyFont="1" applyFill="1" applyBorder="1" applyAlignment="1">
      <alignment horizontal="left"/>
    </xf>
    <xf numFmtId="0" fontId="18" fillId="2" borderId="21" xfId="2" applyNumberFormat="1" applyFont="1" applyFill="1" applyBorder="1"/>
    <xf numFmtId="43" fontId="17" fillId="2" borderId="21" xfId="2" applyFont="1" applyFill="1" applyBorder="1" applyAlignment="1">
      <alignment horizontal="center"/>
    </xf>
    <xf numFmtId="43" fontId="17" fillId="3" borderId="21" xfId="1" applyNumberFormat="1" applyFont="1" applyFill="1" applyBorder="1" applyAlignment="1">
      <alignment horizontal="center"/>
    </xf>
    <xf numFmtId="0" fontId="17" fillId="2" borderId="21" xfId="2" applyNumberFormat="1" applyFont="1" applyFill="1" applyBorder="1" applyAlignment="1">
      <alignment horizontal="justify"/>
    </xf>
    <xf numFmtId="43" fontId="16" fillId="0" borderId="21" xfId="1" applyFont="1" applyBorder="1"/>
    <xf numFmtId="43" fontId="16" fillId="0" borderId="22" xfId="1" applyFont="1" applyBorder="1"/>
    <xf numFmtId="0" fontId="17" fillId="2" borderId="21" xfId="2" applyNumberFormat="1" applyFont="1" applyFill="1" applyBorder="1"/>
    <xf numFmtId="0" fontId="17" fillId="2" borderId="21" xfId="2" applyNumberFormat="1" applyFont="1" applyFill="1" applyBorder="1" applyAlignment="1">
      <alignment wrapText="1"/>
    </xf>
    <xf numFmtId="49" fontId="17" fillId="2" borderId="20" xfId="2" applyNumberFormat="1" applyFont="1" applyFill="1" applyBorder="1" applyAlignment="1">
      <alignment horizontal="center" vertical="top"/>
    </xf>
    <xf numFmtId="0" fontId="18" fillId="2" borderId="21" xfId="2" applyNumberFormat="1" applyFont="1" applyFill="1" applyBorder="1" applyAlignment="1">
      <alignment vertical="top"/>
    </xf>
    <xf numFmtId="43" fontId="17" fillId="2" borderId="21" xfId="2" applyFont="1" applyFill="1" applyBorder="1" applyAlignment="1">
      <alignment horizontal="center" vertical="top"/>
    </xf>
    <xf numFmtId="43" fontId="17" fillId="3" borderId="21" xfId="1" applyNumberFormat="1" applyFont="1" applyFill="1" applyBorder="1" applyAlignment="1">
      <alignment horizontal="center" vertical="top"/>
    </xf>
    <xf numFmtId="0" fontId="17" fillId="2" borderId="21" xfId="2" applyNumberFormat="1" applyFont="1" applyFill="1" applyBorder="1" applyAlignment="1">
      <alignment vertical="top" wrapText="1"/>
    </xf>
    <xf numFmtId="49" fontId="17" fillId="2" borderId="25" xfId="2" applyNumberFormat="1" applyFont="1" applyFill="1" applyBorder="1" applyAlignment="1">
      <alignment horizontal="center" vertical="justify"/>
    </xf>
    <xf numFmtId="0" fontId="19" fillId="2" borderId="26" xfId="2" quotePrefix="1" applyNumberFormat="1" applyFont="1" applyFill="1" applyBorder="1" applyAlignment="1">
      <alignment horizontal="left"/>
    </xf>
    <xf numFmtId="0" fontId="17" fillId="3" borderId="26" xfId="3" applyFont="1" applyFill="1" applyBorder="1" applyAlignment="1">
      <alignment horizontal="center"/>
    </xf>
    <xf numFmtId="43" fontId="17" fillId="3" borderId="26" xfId="1" applyNumberFormat="1" applyFont="1" applyFill="1" applyBorder="1" applyAlignment="1">
      <alignment horizontal="center"/>
    </xf>
    <xf numFmtId="165" fontId="17" fillId="2" borderId="26" xfId="1" applyNumberFormat="1" applyFont="1" applyFill="1" applyBorder="1" applyAlignment="1">
      <alignment horizontal="center"/>
    </xf>
    <xf numFmtId="49" fontId="17" fillId="2" borderId="28" xfId="2" applyNumberFormat="1" applyFont="1" applyFill="1" applyBorder="1" applyAlignment="1">
      <alignment horizontal="center" vertical="justify"/>
    </xf>
    <xf numFmtId="0" fontId="19" fillId="2" borderId="24" xfId="2" quotePrefix="1" applyNumberFormat="1" applyFont="1" applyFill="1" applyBorder="1" applyAlignment="1">
      <alignment horizontal="left"/>
    </xf>
    <xf numFmtId="0" fontId="17" fillId="4" borderId="24" xfId="3" applyFont="1" applyFill="1" applyBorder="1" applyAlignment="1">
      <alignment horizontal="center"/>
    </xf>
    <xf numFmtId="43" fontId="17" fillId="3" borderId="24" xfId="1" applyNumberFormat="1" applyFont="1" applyFill="1" applyBorder="1" applyAlignment="1">
      <alignment horizontal="center"/>
    </xf>
    <xf numFmtId="165" fontId="17" fillId="2" borderId="24" xfId="1" applyNumberFormat="1" applyFont="1" applyFill="1" applyBorder="1" applyAlignment="1">
      <alignment horizontal="center"/>
    </xf>
    <xf numFmtId="43" fontId="16" fillId="0" borderId="24" xfId="1" applyFont="1" applyBorder="1" applyAlignment="1">
      <alignment horizontal="center" vertical="center" wrapText="1"/>
    </xf>
    <xf numFmtId="43" fontId="15" fillId="0" borderId="29" xfId="1" applyFont="1" applyBorder="1" applyAlignment="1">
      <alignment horizontal="center" vertical="center" wrapText="1"/>
    </xf>
    <xf numFmtId="0" fontId="19" fillId="2" borderId="21" xfId="2" quotePrefix="1" applyNumberFormat="1" applyFont="1" applyFill="1" applyBorder="1" applyAlignment="1">
      <alignment horizontal="left"/>
    </xf>
    <xf numFmtId="0" fontId="17" fillId="3" borderId="21" xfId="3" applyFont="1" applyFill="1" applyBorder="1" applyAlignment="1">
      <alignment horizontal="center"/>
    </xf>
    <xf numFmtId="0" fontId="17" fillId="2" borderId="21" xfId="2" quotePrefix="1" applyNumberFormat="1" applyFont="1" applyFill="1" applyBorder="1" applyAlignment="1">
      <alignment wrapText="1"/>
    </xf>
    <xf numFmtId="0" fontId="17" fillId="2" borderId="21" xfId="2" quotePrefix="1" applyNumberFormat="1" applyFont="1" applyFill="1" applyBorder="1" applyAlignment="1"/>
    <xf numFmtId="0" fontId="17" fillId="2" borderId="22" xfId="2" quotePrefix="1" applyNumberFormat="1" applyFont="1" applyFill="1" applyBorder="1" applyAlignment="1"/>
    <xf numFmtId="49" fontId="16" fillId="0" borderId="20" xfId="0" applyNumberFormat="1" applyFont="1" applyBorder="1" applyAlignment="1">
      <alignment horizontal="center" vertical="center"/>
    </xf>
    <xf numFmtId="0" fontId="16" fillId="0" borderId="21" xfId="0" applyFont="1" applyBorder="1" applyAlignment="1">
      <alignment horizontal="center" vertical="center"/>
    </xf>
    <xf numFmtId="43" fontId="16" fillId="0" borderId="21" xfId="0" applyNumberFormat="1" applyFont="1" applyBorder="1" applyAlignment="1">
      <alignment horizontal="center" vertical="center"/>
    </xf>
    <xf numFmtId="165" fontId="16" fillId="0" borderId="21" xfId="0" applyNumberFormat="1" applyFont="1" applyBorder="1" applyAlignment="1">
      <alignment horizontal="center" vertical="center"/>
    </xf>
    <xf numFmtId="0" fontId="16" fillId="0" borderId="22" xfId="0" applyFont="1" applyBorder="1" applyAlignment="1">
      <alignment horizontal="center" vertical="center"/>
    </xf>
    <xf numFmtId="0" fontId="18" fillId="2" borderId="21" xfId="2" applyNumberFormat="1" applyFont="1" applyFill="1" applyBorder="1" applyAlignment="1">
      <alignment horizontal="justify"/>
    </xf>
    <xf numFmtId="43" fontId="16" fillId="0" borderId="21" xfId="1" applyNumberFormat="1" applyFont="1" applyBorder="1"/>
    <xf numFmtId="165" fontId="16" fillId="0" borderId="21" xfId="1" applyNumberFormat="1" applyFont="1" applyBorder="1"/>
    <xf numFmtId="43" fontId="17" fillId="3" borderId="21" xfId="2" applyNumberFormat="1" applyFont="1" applyFill="1" applyBorder="1" applyAlignment="1">
      <alignment horizontal="center"/>
    </xf>
    <xf numFmtId="43" fontId="18" fillId="2" borderId="21" xfId="2" applyFont="1" applyFill="1" applyBorder="1" applyAlignment="1">
      <alignment horizontal="justify" vertical="top"/>
    </xf>
    <xf numFmtId="43" fontId="17" fillId="3" borderId="21" xfId="1" applyNumberFormat="1" applyFont="1" applyFill="1" applyBorder="1" applyAlignment="1">
      <alignment horizontal="right"/>
    </xf>
    <xf numFmtId="43" fontId="17" fillId="2" borderId="21" xfId="2" applyFont="1" applyFill="1" applyBorder="1" applyAlignment="1">
      <alignment horizontal="justify" vertical="top"/>
    </xf>
    <xf numFmtId="0" fontId="17" fillId="2" borderId="21" xfId="2" applyNumberFormat="1" applyFont="1" applyFill="1" applyBorder="1" applyAlignment="1">
      <alignment horizontal="justify" vertical="top" wrapText="1"/>
    </xf>
    <xf numFmtId="0" fontId="18" fillId="2" borderId="21" xfId="2" applyNumberFormat="1" applyFont="1" applyFill="1" applyBorder="1" applyAlignment="1">
      <alignment horizontal="justify" vertical="top"/>
    </xf>
    <xf numFmtId="0" fontId="17" fillId="2" borderId="21" xfId="2" quotePrefix="1" applyNumberFormat="1" applyFont="1" applyFill="1" applyBorder="1" applyAlignment="1">
      <alignment vertical="justify"/>
    </xf>
    <xf numFmtId="0" fontId="21" fillId="2" borderId="21" xfId="2" quotePrefix="1" applyNumberFormat="1" applyFont="1" applyFill="1" applyBorder="1" applyAlignment="1">
      <alignment horizontal="left" vertical="top"/>
    </xf>
    <xf numFmtId="49" fontId="17" fillId="2" borderId="20" xfId="2" applyNumberFormat="1" applyFont="1" applyFill="1" applyBorder="1" applyAlignment="1">
      <alignment horizontal="center"/>
    </xf>
    <xf numFmtId="0" fontId="17" fillId="2" borderId="21" xfId="2" applyNumberFormat="1" applyFont="1" applyFill="1" applyBorder="1" applyAlignment="1">
      <alignment horizontal="left" wrapText="1"/>
    </xf>
    <xf numFmtId="43" fontId="16" fillId="0" borderId="21" xfId="1" applyFont="1" applyBorder="1" applyAlignment="1"/>
    <xf numFmtId="43" fontId="16" fillId="0" borderId="22" xfId="1" applyFont="1" applyBorder="1" applyAlignment="1"/>
    <xf numFmtId="0" fontId="17" fillId="2" borderId="21" xfId="2" applyNumberFormat="1" applyFont="1" applyFill="1" applyBorder="1" applyAlignment="1">
      <alignment horizontal="left" vertical="top" wrapText="1"/>
    </xf>
    <xf numFmtId="0" fontId="18" fillId="2" borderId="21" xfId="2" applyNumberFormat="1" applyFont="1" applyFill="1" applyBorder="1" applyAlignment="1">
      <alignment horizontal="left" vertical="top" wrapText="1"/>
    </xf>
    <xf numFmtId="0" fontId="17" fillId="2" borderId="21" xfId="2" quotePrefix="1" applyNumberFormat="1" applyFont="1" applyFill="1" applyBorder="1" applyAlignment="1">
      <alignment vertical="top" wrapText="1"/>
    </xf>
    <xf numFmtId="0" fontId="17" fillId="2" borderId="21" xfId="2" quotePrefix="1" applyNumberFormat="1" applyFont="1" applyFill="1" applyBorder="1" applyAlignment="1">
      <alignment vertical="top"/>
    </xf>
    <xf numFmtId="0" fontId="17" fillId="2" borderId="21" xfId="2" applyNumberFormat="1" applyFont="1" applyFill="1" applyBorder="1" applyAlignment="1">
      <alignment vertical="top"/>
    </xf>
    <xf numFmtId="0" fontId="17" fillId="2" borderId="21" xfId="2" applyNumberFormat="1" applyFont="1" applyFill="1" applyBorder="1" applyAlignment="1">
      <alignment horizontal="justify" vertical="top"/>
    </xf>
    <xf numFmtId="0" fontId="17" fillId="2" borderId="21" xfId="2" quotePrefix="1" applyNumberFormat="1" applyFont="1" applyFill="1" applyBorder="1" applyAlignment="1">
      <alignment horizontal="justify" vertical="top"/>
    </xf>
    <xf numFmtId="43" fontId="16" fillId="0" borderId="0" xfId="0" applyNumberFormat="1" applyFont="1" applyAlignment="1">
      <alignment horizontal="center" vertical="center"/>
    </xf>
    <xf numFmtId="43" fontId="17" fillId="2" borderId="26" xfId="2" applyFont="1" applyFill="1" applyBorder="1" applyAlignment="1">
      <alignment horizontal="center"/>
    </xf>
    <xf numFmtId="43" fontId="17" fillId="2" borderId="24" xfId="2" applyFont="1" applyFill="1" applyBorder="1" applyAlignment="1">
      <alignment horizontal="center"/>
    </xf>
    <xf numFmtId="43" fontId="15" fillId="0" borderId="22" xfId="1" applyFont="1" applyBorder="1" applyAlignment="1">
      <alignment horizontal="center" vertical="center" wrapText="1"/>
    </xf>
    <xf numFmtId="0" fontId="18" fillId="2" borderId="21" xfId="2" applyNumberFormat="1" applyFont="1" applyFill="1" applyBorder="1" applyAlignment="1">
      <alignment horizontal="center" vertical="top"/>
    </xf>
    <xf numFmtId="0" fontId="17" fillId="2" borderId="22" xfId="2" quotePrefix="1" applyNumberFormat="1" applyFont="1" applyFill="1" applyBorder="1" applyAlignment="1">
      <alignment vertical="top"/>
    </xf>
    <xf numFmtId="49" fontId="19" fillId="5" borderId="20" xfId="2" applyNumberFormat="1" applyFont="1" applyFill="1" applyBorder="1" applyAlignment="1">
      <alignment horizontal="center" vertical="justify"/>
    </xf>
    <xf numFmtId="0" fontId="18" fillId="5" borderId="21" xfId="2" applyNumberFormat="1" applyFont="1" applyFill="1" applyBorder="1" applyAlignment="1">
      <alignment horizontal="justify" vertical="top"/>
    </xf>
    <xf numFmtId="43" fontId="17" fillId="5" borderId="21" xfId="2" applyNumberFormat="1" applyFont="1" applyFill="1" applyBorder="1" applyAlignment="1">
      <alignment horizontal="center"/>
    </xf>
    <xf numFmtId="43" fontId="17" fillId="5" borderId="21" xfId="1" applyNumberFormat="1" applyFont="1" applyFill="1" applyBorder="1" applyAlignment="1">
      <alignment horizontal="center"/>
    </xf>
    <xf numFmtId="165" fontId="17" fillId="5" borderId="21" xfId="1" applyNumberFormat="1" applyFont="1" applyFill="1" applyBorder="1" applyAlignment="1">
      <alignment horizontal="center"/>
    </xf>
    <xf numFmtId="43" fontId="16" fillId="5" borderId="21" xfId="1" applyFont="1" applyFill="1" applyBorder="1" applyAlignment="1">
      <alignment horizontal="center" vertical="center" wrapText="1"/>
    </xf>
    <xf numFmtId="43" fontId="16" fillId="5" borderId="22" xfId="1" applyFont="1" applyFill="1" applyBorder="1" applyAlignment="1">
      <alignment horizontal="center" vertical="center" wrapText="1"/>
    </xf>
    <xf numFmtId="165" fontId="17" fillId="2" borderId="21" xfId="1" applyNumberFormat="1" applyFont="1" applyFill="1" applyBorder="1" applyAlignment="1">
      <alignment horizontal="center" vertical="top"/>
    </xf>
    <xf numFmtId="43" fontId="16" fillId="0" borderId="21" xfId="1" applyFont="1" applyBorder="1" applyAlignment="1">
      <alignment horizontal="center" vertical="top" wrapText="1"/>
    </xf>
    <xf numFmtId="43" fontId="16" fillId="0" borderId="22" xfId="1" applyFont="1" applyBorder="1" applyAlignment="1">
      <alignment horizontal="center" vertical="top" wrapText="1"/>
    </xf>
    <xf numFmtId="0" fontId="16" fillId="0" borderId="0" xfId="0" applyFont="1" applyAlignment="1">
      <alignment horizontal="center" vertical="top"/>
    </xf>
    <xf numFmtId="49" fontId="17" fillId="5" borderId="20" xfId="2" applyNumberFormat="1" applyFont="1" applyFill="1" applyBorder="1" applyAlignment="1">
      <alignment horizontal="center"/>
    </xf>
    <xf numFmtId="0" fontId="18" fillId="5" borderId="21" xfId="2" applyNumberFormat="1" applyFont="1" applyFill="1" applyBorder="1" applyAlignment="1">
      <alignment horizontal="left" vertical="top"/>
    </xf>
    <xf numFmtId="43" fontId="17" fillId="5" borderId="21" xfId="2" applyFont="1" applyFill="1" applyBorder="1" applyAlignment="1">
      <alignment horizontal="center"/>
    </xf>
    <xf numFmtId="49" fontId="15" fillId="6" borderId="20" xfId="0" applyNumberFormat="1" applyFont="1" applyFill="1" applyBorder="1"/>
    <xf numFmtId="0" fontId="22" fillId="6" borderId="21" xfId="0" applyFont="1" applyFill="1" applyBorder="1" applyAlignment="1">
      <alignment wrapText="1"/>
    </xf>
    <xf numFmtId="0" fontId="15" fillId="6" borderId="21" xfId="0" applyFont="1" applyFill="1" applyBorder="1" applyAlignment="1">
      <alignment horizontal="center"/>
    </xf>
    <xf numFmtId="43" fontId="15" fillId="6" borderId="21" xfId="1" applyNumberFormat="1" applyFont="1" applyFill="1" applyBorder="1"/>
    <xf numFmtId="165" fontId="15" fillId="6" borderId="21" xfId="1" applyNumberFormat="1" applyFont="1" applyFill="1" applyBorder="1"/>
    <xf numFmtId="43" fontId="15" fillId="6" borderId="21" xfId="1" applyFont="1" applyFill="1" applyBorder="1"/>
    <xf numFmtId="43" fontId="15" fillId="6" borderId="22" xfId="1" applyFont="1" applyFill="1" applyBorder="1"/>
    <xf numFmtId="43" fontId="16" fillId="0" borderId="0" xfId="0" applyNumberFormat="1" applyFont="1"/>
    <xf numFmtId="164" fontId="16" fillId="0" borderId="0" xfId="0" applyNumberFormat="1" applyFont="1" applyAlignment="1">
      <alignment horizontal="center" vertical="center"/>
    </xf>
    <xf numFmtId="49" fontId="16" fillId="0" borderId="20" xfId="0" applyNumberFormat="1" applyFont="1" applyBorder="1"/>
    <xf numFmtId="0" fontId="16" fillId="0" borderId="21" xfId="0" applyFont="1" applyBorder="1" applyAlignment="1">
      <alignment wrapText="1"/>
    </xf>
    <xf numFmtId="0" fontId="16" fillId="0" borderId="21" xfId="0" applyFont="1" applyBorder="1" applyAlignment="1">
      <alignment horizontal="center"/>
    </xf>
    <xf numFmtId="49" fontId="15" fillId="0" borderId="20" xfId="0" applyNumberFormat="1" applyFont="1" applyBorder="1"/>
    <xf numFmtId="0" fontId="22" fillId="0" borderId="21" xfId="0" applyFont="1" applyBorder="1" applyAlignment="1">
      <alignment wrapText="1"/>
    </xf>
    <xf numFmtId="0" fontId="15" fillId="0" borderId="21" xfId="0" applyFont="1" applyBorder="1" applyAlignment="1">
      <alignment horizontal="center"/>
    </xf>
    <xf numFmtId="43" fontId="15" fillId="0" borderId="21" xfId="1" applyNumberFormat="1" applyFont="1" applyBorder="1"/>
    <xf numFmtId="165" fontId="15" fillId="0" borderId="21" xfId="1" applyNumberFormat="1" applyFont="1" applyBorder="1"/>
    <xf numFmtId="43" fontId="15" fillId="0" borderId="21" xfId="1" applyFont="1" applyBorder="1"/>
    <xf numFmtId="43" fontId="15" fillId="0" borderId="22" xfId="1" applyFont="1" applyBorder="1"/>
    <xf numFmtId="49" fontId="16" fillId="0" borderId="28" xfId="0" applyNumberFormat="1" applyFont="1" applyBorder="1"/>
    <xf numFmtId="0" fontId="16" fillId="0" borderId="24" xfId="0" applyFont="1" applyBorder="1" applyAlignment="1">
      <alignment wrapText="1"/>
    </xf>
    <xf numFmtId="0" fontId="16" fillId="0" borderId="24" xfId="0" applyFont="1" applyBorder="1" applyAlignment="1">
      <alignment horizontal="center"/>
    </xf>
    <xf numFmtId="43" fontId="16" fillId="0" borderId="24" xfId="1" applyNumberFormat="1" applyFont="1" applyBorder="1"/>
    <xf numFmtId="43" fontId="16" fillId="0" borderId="24" xfId="1" applyFont="1" applyBorder="1"/>
    <xf numFmtId="43" fontId="16" fillId="0" borderId="29" xfId="1" applyFont="1" applyBorder="1"/>
    <xf numFmtId="0" fontId="18" fillId="5" borderId="21" xfId="2" applyNumberFormat="1" applyFont="1" applyFill="1" applyBorder="1" applyAlignment="1">
      <alignment horizontal="center" vertical="top"/>
    </xf>
    <xf numFmtId="43" fontId="19" fillId="5" borderId="22" xfId="1" applyNumberFormat="1" applyFont="1" applyFill="1" applyBorder="1"/>
    <xf numFmtId="0" fontId="17" fillId="2" borderId="22" xfId="2" applyNumberFormat="1" applyFont="1" applyFill="1" applyBorder="1" applyAlignment="1">
      <alignment vertical="top" wrapText="1"/>
    </xf>
    <xf numFmtId="0" fontId="17" fillId="2" borderId="22" xfId="2" applyNumberFormat="1" applyFont="1" applyFill="1" applyBorder="1" applyAlignment="1">
      <alignment wrapText="1"/>
    </xf>
    <xf numFmtId="49" fontId="17" fillId="2" borderId="21" xfId="2" applyNumberFormat="1" applyFont="1" applyFill="1" applyBorder="1" applyAlignment="1">
      <alignment horizontal="center"/>
    </xf>
    <xf numFmtId="49" fontId="17" fillId="2" borderId="24" xfId="2" applyNumberFormat="1" applyFont="1" applyFill="1" applyBorder="1" applyAlignment="1">
      <alignment horizontal="center"/>
    </xf>
    <xf numFmtId="0" fontId="16" fillId="6" borderId="21" xfId="0" applyFont="1" applyFill="1" applyBorder="1" applyAlignment="1">
      <alignment horizontal="center"/>
    </xf>
    <xf numFmtId="43" fontId="16" fillId="6" borderId="21" xfId="1" applyNumberFormat="1" applyFont="1" applyFill="1" applyBorder="1"/>
    <xf numFmtId="165" fontId="16" fillId="6" borderId="21" xfId="1" applyNumberFormat="1" applyFont="1" applyFill="1" applyBorder="1"/>
    <xf numFmtId="43" fontId="16" fillId="6" borderId="21" xfId="1" applyFont="1" applyFill="1" applyBorder="1"/>
    <xf numFmtId="43" fontId="16" fillId="6" borderId="22" xfId="1" applyFont="1" applyFill="1" applyBorder="1"/>
    <xf numFmtId="0" fontId="25" fillId="0" borderId="21" xfId="0" applyFont="1" applyBorder="1" applyAlignment="1">
      <alignment wrapText="1"/>
    </xf>
    <xf numFmtId="164" fontId="16" fillId="0" borderId="0" xfId="0" applyNumberFormat="1" applyFont="1"/>
    <xf numFmtId="49" fontId="15" fillId="3" borderId="20" xfId="0" applyNumberFormat="1" applyFont="1" applyFill="1" applyBorder="1"/>
    <xf numFmtId="0" fontId="22" fillId="3" borderId="21" xfId="0" applyFont="1" applyFill="1" applyBorder="1" applyAlignment="1">
      <alignment wrapText="1"/>
    </xf>
    <xf numFmtId="0" fontId="15" fillId="3" borderId="21" xfId="0" applyFont="1" applyFill="1" applyBorder="1" applyAlignment="1">
      <alignment horizontal="center"/>
    </xf>
    <xf numFmtId="43" fontId="15" fillId="3" borderId="21" xfId="1" applyNumberFormat="1" applyFont="1" applyFill="1" applyBorder="1"/>
    <xf numFmtId="165" fontId="15" fillId="3" borderId="21" xfId="1" applyNumberFormat="1" applyFont="1" applyFill="1" applyBorder="1"/>
    <xf numFmtId="0" fontId="16" fillId="3" borderId="0" xfId="0" applyFont="1" applyFill="1"/>
    <xf numFmtId="166" fontId="16" fillId="0" borderId="0" xfId="0" applyNumberFormat="1" applyFont="1"/>
    <xf numFmtId="49" fontId="16" fillId="3" borderId="20" xfId="0" applyNumberFormat="1" applyFont="1" applyFill="1" applyBorder="1"/>
    <xf numFmtId="0" fontId="16" fillId="3" borderId="21" xfId="0" applyFont="1" applyFill="1" applyBorder="1" applyAlignment="1">
      <alignment horizontal="center"/>
    </xf>
    <xf numFmtId="43" fontId="16" fillId="3" borderId="21" xfId="1" applyNumberFormat="1" applyFont="1" applyFill="1" applyBorder="1"/>
    <xf numFmtId="165" fontId="16" fillId="3" borderId="21" xfId="1" applyNumberFormat="1" applyFont="1" applyFill="1" applyBorder="1"/>
    <xf numFmtId="43" fontId="16" fillId="3" borderId="21" xfId="1" applyFont="1" applyFill="1" applyBorder="1"/>
    <xf numFmtId="0" fontId="16" fillId="3" borderId="21" xfId="0" applyFont="1" applyFill="1" applyBorder="1" applyAlignment="1">
      <alignment wrapText="1"/>
    </xf>
    <xf numFmtId="165" fontId="16" fillId="0" borderId="24" xfId="1" applyNumberFormat="1" applyFont="1" applyBorder="1"/>
    <xf numFmtId="165" fontId="16" fillId="3" borderId="24" xfId="1" applyNumberFormat="1" applyFont="1" applyFill="1" applyBorder="1"/>
    <xf numFmtId="43" fontId="16" fillId="3" borderId="24" xfId="1" applyFont="1" applyFill="1" applyBorder="1"/>
    <xf numFmtId="49" fontId="15" fillId="0" borderId="20" xfId="0" applyNumberFormat="1" applyFont="1" applyBorder="1" applyAlignment="1">
      <alignment vertical="top"/>
    </xf>
    <xf numFmtId="49" fontId="16" fillId="0" borderId="20" xfId="0" applyNumberFormat="1" applyFont="1" applyBorder="1" applyAlignment="1">
      <alignment vertical="top"/>
    </xf>
    <xf numFmtId="0" fontId="17" fillId="3" borderId="21" xfId="3" applyFont="1" applyFill="1" applyBorder="1" applyAlignment="1">
      <alignment horizontal="left" wrapText="1"/>
    </xf>
    <xf numFmtId="43" fontId="17" fillId="3" borderId="21" xfId="1" applyFont="1" applyFill="1" applyBorder="1" applyAlignment="1">
      <alignment horizontal="center"/>
    </xf>
    <xf numFmtId="0" fontId="15" fillId="0" borderId="21" xfId="0" applyFont="1" applyBorder="1" applyAlignment="1">
      <alignment wrapText="1"/>
    </xf>
    <xf numFmtId="43" fontId="16" fillId="0" borderId="26" xfId="1" applyFont="1" applyBorder="1"/>
    <xf numFmtId="43" fontId="16" fillId="0" borderId="27" xfId="1" applyFont="1" applyBorder="1"/>
    <xf numFmtId="43" fontId="15" fillId="0" borderId="29" xfId="1" applyFont="1" applyBorder="1"/>
    <xf numFmtId="49" fontId="19" fillId="2" borderId="20" xfId="2" applyNumberFormat="1" applyFont="1" applyFill="1" applyBorder="1" applyAlignment="1">
      <alignment horizontal="center" vertical="justify"/>
    </xf>
    <xf numFmtId="0" fontId="17" fillId="2" borderId="21" xfId="2" applyNumberFormat="1" applyFont="1" applyFill="1" applyBorder="1" applyAlignment="1"/>
    <xf numFmtId="0" fontId="17" fillId="2" borderId="22" xfId="2" applyNumberFormat="1" applyFont="1" applyFill="1" applyBorder="1" applyAlignment="1"/>
    <xf numFmtId="0" fontId="22" fillId="0" borderId="21" xfId="0" applyFont="1" applyBorder="1"/>
    <xf numFmtId="0" fontId="22" fillId="6" borderId="21" xfId="0" applyFont="1" applyFill="1" applyBorder="1"/>
    <xf numFmtId="0" fontId="15" fillId="0" borderId="21" xfId="0" applyFont="1" applyBorder="1"/>
    <xf numFmtId="0" fontId="16" fillId="0" borderId="21" xfId="0" applyFont="1" applyBorder="1"/>
    <xf numFmtId="0" fontId="18" fillId="5" borderId="21" xfId="2" applyNumberFormat="1" applyFont="1" applyFill="1" applyBorder="1" applyAlignment="1">
      <alignment horizontal="center"/>
    </xf>
    <xf numFmtId="43" fontId="19" fillId="5" borderId="22" xfId="2" applyFont="1" applyFill="1" applyBorder="1"/>
    <xf numFmtId="43" fontId="15" fillId="0" borderId="21" xfId="1" applyFont="1" applyBorder="1" applyAlignment="1"/>
    <xf numFmtId="0" fontId="16" fillId="0" borderId="0" xfId="0" applyFont="1" applyAlignment="1"/>
    <xf numFmtId="49" fontId="19" fillId="3" borderId="20" xfId="2" applyNumberFormat="1" applyFont="1" applyFill="1" applyBorder="1" applyAlignment="1">
      <alignment horizontal="center" vertical="justify"/>
    </xf>
    <xf numFmtId="0" fontId="18" fillId="3" borderId="21" xfId="2" quotePrefix="1" applyNumberFormat="1" applyFont="1" applyFill="1" applyBorder="1" applyAlignment="1">
      <alignment horizontal="center"/>
    </xf>
    <xf numFmtId="43" fontId="19" fillId="3" borderId="21" xfId="2" applyFont="1" applyFill="1" applyBorder="1" applyAlignment="1">
      <alignment horizontal="center"/>
    </xf>
    <xf numFmtId="165" fontId="17" fillId="3" borderId="21" xfId="1" applyNumberFormat="1" applyFont="1" applyFill="1" applyBorder="1" applyAlignment="1">
      <alignment horizontal="center"/>
    </xf>
    <xf numFmtId="0" fontId="18" fillId="3" borderId="21" xfId="2" applyNumberFormat="1" applyFont="1" applyFill="1" applyBorder="1" applyAlignment="1">
      <alignment horizontal="center"/>
    </xf>
    <xf numFmtId="49" fontId="19" fillId="10" borderId="20" xfId="2" applyNumberFormat="1" applyFont="1" applyFill="1" applyBorder="1" applyAlignment="1">
      <alignment horizontal="center"/>
    </xf>
    <xf numFmtId="0" fontId="18" fillId="10" borderId="21" xfId="2" applyNumberFormat="1" applyFont="1" applyFill="1" applyBorder="1" applyAlignment="1">
      <alignment horizontal="left" wrapText="1"/>
    </xf>
    <xf numFmtId="43" fontId="19" fillId="10" borderId="21" xfId="2" applyFont="1" applyFill="1" applyBorder="1" applyAlignment="1">
      <alignment horizontal="center"/>
    </xf>
    <xf numFmtId="43" fontId="19" fillId="10" borderId="21" xfId="1" applyNumberFormat="1" applyFont="1" applyFill="1" applyBorder="1" applyAlignment="1">
      <alignment horizontal="center"/>
    </xf>
    <xf numFmtId="165" fontId="17" fillId="10" borderId="21" xfId="1" applyNumberFormat="1" applyFont="1" applyFill="1" applyBorder="1" applyAlignment="1">
      <alignment horizontal="center"/>
    </xf>
    <xf numFmtId="43" fontId="16" fillId="10" borderId="21" xfId="1" applyFont="1" applyFill="1" applyBorder="1"/>
    <xf numFmtId="43" fontId="16" fillId="10" borderId="22" xfId="1" applyFont="1" applyFill="1" applyBorder="1"/>
    <xf numFmtId="43" fontId="16" fillId="3" borderId="22" xfId="1" applyFont="1" applyFill="1" applyBorder="1"/>
    <xf numFmtId="43" fontId="17" fillId="10" borderId="21" xfId="2" applyFont="1" applyFill="1" applyBorder="1" applyAlignment="1">
      <alignment horizontal="center"/>
    </xf>
    <xf numFmtId="43" fontId="17" fillId="10" borderId="21" xfId="1" applyNumberFormat="1" applyFont="1" applyFill="1" applyBorder="1" applyAlignment="1">
      <alignment horizontal="center"/>
    </xf>
    <xf numFmtId="49" fontId="19" fillId="2" borderId="20" xfId="2" applyNumberFormat="1" applyFont="1" applyFill="1" applyBorder="1" applyAlignment="1">
      <alignment horizontal="center"/>
    </xf>
    <xf numFmtId="165" fontId="17" fillId="6" borderId="21" xfId="1" applyNumberFormat="1" applyFont="1" applyFill="1" applyBorder="1" applyAlignment="1">
      <alignment horizontal="center"/>
    </xf>
    <xf numFmtId="0" fontId="17" fillId="2" borderId="1" xfId="2" applyNumberFormat="1" applyFont="1" applyFill="1" applyBorder="1" applyAlignment="1">
      <alignment horizontal="left" wrapText="1"/>
    </xf>
    <xf numFmtId="0" fontId="16" fillId="0" borderId="1" xfId="0" applyFont="1" applyBorder="1" applyAlignment="1">
      <alignment horizontal="center"/>
    </xf>
    <xf numFmtId="43" fontId="17" fillId="3" borderId="1" xfId="1" applyNumberFormat="1" applyFont="1" applyFill="1" applyBorder="1" applyAlignment="1">
      <alignment horizontal="center"/>
    </xf>
    <xf numFmtId="165" fontId="16" fillId="0" borderId="1" xfId="1" applyNumberFormat="1" applyFont="1" applyBorder="1"/>
    <xf numFmtId="43" fontId="16" fillId="0" borderId="1" xfId="1" applyFont="1" applyBorder="1"/>
    <xf numFmtId="43" fontId="16" fillId="0" borderId="2" xfId="1" applyFont="1" applyBorder="1"/>
    <xf numFmtId="0" fontId="17" fillId="2" borderId="0" xfId="2" applyNumberFormat="1" applyFont="1" applyFill="1" applyBorder="1" applyAlignment="1">
      <alignment horizontal="left" wrapText="1"/>
    </xf>
    <xf numFmtId="0" fontId="16" fillId="0" borderId="0" xfId="0" applyFont="1" applyBorder="1" applyAlignment="1">
      <alignment horizontal="center"/>
    </xf>
    <xf numFmtId="43" fontId="17" fillId="3" borderId="0" xfId="1" applyNumberFormat="1" applyFont="1" applyFill="1" applyBorder="1" applyAlignment="1">
      <alignment horizontal="center"/>
    </xf>
    <xf numFmtId="165" fontId="16" fillId="0" borderId="0" xfId="1" applyNumberFormat="1" applyFont="1" applyBorder="1"/>
    <xf numFmtId="43" fontId="16" fillId="0" borderId="0" xfId="1" applyFont="1" applyBorder="1"/>
    <xf numFmtId="49" fontId="19" fillId="5" borderId="20" xfId="2" applyNumberFormat="1" applyFont="1" applyFill="1" applyBorder="1" applyAlignment="1">
      <alignment horizontal="center"/>
    </xf>
    <xf numFmtId="0" fontId="18" fillId="5" borderId="21" xfId="2" applyNumberFormat="1" applyFont="1" applyFill="1" applyBorder="1" applyAlignment="1">
      <alignment horizontal="left" wrapText="1"/>
    </xf>
    <xf numFmtId="43" fontId="16" fillId="5" borderId="21" xfId="1" applyFont="1" applyFill="1" applyBorder="1"/>
    <xf numFmtId="43" fontId="16" fillId="5" borderId="22" xfId="1" applyFont="1" applyFill="1" applyBorder="1"/>
    <xf numFmtId="49" fontId="19" fillId="3" borderId="20" xfId="2" applyNumberFormat="1" applyFont="1" applyFill="1" applyBorder="1" applyAlignment="1">
      <alignment horizontal="center"/>
    </xf>
    <xf numFmtId="0" fontId="17" fillId="3" borderId="21" xfId="2" applyNumberFormat="1" applyFont="1" applyFill="1" applyBorder="1" applyAlignment="1">
      <alignment horizontal="left" wrapText="1"/>
    </xf>
    <xf numFmtId="49" fontId="17" fillId="3" borderId="20" xfId="2" applyNumberFormat="1" applyFont="1" applyFill="1" applyBorder="1" applyAlignment="1">
      <alignment horizontal="center" vertical="top"/>
    </xf>
    <xf numFmtId="49" fontId="19" fillId="6" borderId="20" xfId="2" applyNumberFormat="1" applyFont="1" applyFill="1" applyBorder="1" applyAlignment="1">
      <alignment horizontal="center" vertical="justify"/>
    </xf>
    <xf numFmtId="0" fontId="18" fillId="6" borderId="21" xfId="2" applyNumberFormat="1" applyFont="1" applyFill="1" applyBorder="1" applyAlignment="1">
      <alignment horizontal="left" vertical="top"/>
    </xf>
    <xf numFmtId="43" fontId="17" fillId="6" borderId="21" xfId="2" applyFont="1" applyFill="1" applyBorder="1" applyAlignment="1">
      <alignment horizontal="center"/>
    </xf>
    <xf numFmtId="43" fontId="17" fillId="6" borderId="21" xfId="1" applyNumberFormat="1" applyFont="1" applyFill="1" applyBorder="1" applyAlignment="1">
      <alignment horizontal="center"/>
    </xf>
    <xf numFmtId="49" fontId="19" fillId="8" borderId="20" xfId="2" applyNumberFormat="1" applyFont="1" applyFill="1" applyBorder="1" applyAlignment="1">
      <alignment horizontal="center" vertical="justify"/>
    </xf>
    <xf numFmtId="0" fontId="18" fillId="8" borderId="21" xfId="2" applyNumberFormat="1" applyFont="1" applyFill="1" applyBorder="1" applyAlignment="1">
      <alignment horizontal="left" vertical="top"/>
    </xf>
    <xf numFmtId="43" fontId="17" fillId="8" borderId="21" xfId="2" applyFont="1" applyFill="1" applyBorder="1" applyAlignment="1">
      <alignment horizontal="center"/>
    </xf>
    <xf numFmtId="43" fontId="17" fillId="8" borderId="21" xfId="1" applyNumberFormat="1" applyFont="1" applyFill="1" applyBorder="1" applyAlignment="1">
      <alignment horizontal="center"/>
    </xf>
    <xf numFmtId="165" fontId="17" fillId="8" borderId="21" xfId="1" applyNumberFormat="1" applyFont="1" applyFill="1" applyBorder="1" applyAlignment="1">
      <alignment horizontal="center"/>
    </xf>
    <xf numFmtId="43" fontId="16" fillId="8" borderId="21" xfId="1" applyFont="1" applyFill="1" applyBorder="1"/>
    <xf numFmtId="43" fontId="16" fillId="8" borderId="22" xfId="1" applyFont="1" applyFill="1" applyBorder="1"/>
    <xf numFmtId="0" fontId="17" fillId="0" borderId="21" xfId="3" applyFont="1" applyBorder="1" applyAlignment="1">
      <alignment horizontal="left" wrapText="1"/>
    </xf>
    <xf numFmtId="0" fontId="17" fillId="0" borderId="21" xfId="3" applyFont="1" applyFill="1" applyBorder="1" applyAlignment="1">
      <alignment horizontal="center"/>
    </xf>
    <xf numFmtId="164" fontId="16" fillId="0" borderId="0" xfId="0" applyNumberFormat="1" applyFont="1" applyAlignment="1"/>
    <xf numFmtId="43" fontId="16" fillId="0" borderId="0" xfId="0" applyNumberFormat="1" applyFont="1" applyAlignment="1"/>
    <xf numFmtId="49" fontId="19" fillId="2" borderId="25" xfId="2" applyNumberFormat="1" applyFont="1" applyFill="1" applyBorder="1" applyAlignment="1">
      <alignment horizontal="center" vertical="justify"/>
    </xf>
    <xf numFmtId="43" fontId="19" fillId="2" borderId="26" xfId="2" applyFont="1" applyFill="1" applyBorder="1" applyAlignment="1">
      <alignment horizontal="center"/>
    </xf>
    <xf numFmtId="43" fontId="19" fillId="3" borderId="26" xfId="1" applyNumberFormat="1" applyFont="1" applyFill="1" applyBorder="1" applyAlignment="1">
      <alignment horizontal="center"/>
    </xf>
    <xf numFmtId="49" fontId="19" fillId="2" borderId="28" xfId="2" applyNumberFormat="1" applyFont="1" applyFill="1" applyBorder="1" applyAlignment="1">
      <alignment horizontal="center" vertical="justify"/>
    </xf>
    <xf numFmtId="43" fontId="19" fillId="2" borderId="24" xfId="2" applyFont="1" applyFill="1" applyBorder="1" applyAlignment="1">
      <alignment horizontal="center"/>
    </xf>
    <xf numFmtId="43" fontId="19" fillId="3" borderId="24" xfId="1" applyNumberFormat="1" applyFont="1" applyFill="1" applyBorder="1" applyAlignment="1">
      <alignment horizontal="center"/>
    </xf>
    <xf numFmtId="0" fontId="17" fillId="7" borderId="21" xfId="1" applyNumberFormat="1" applyFont="1" applyFill="1" applyBorder="1" applyAlignment="1">
      <alignment vertical="center" wrapText="1"/>
    </xf>
    <xf numFmtId="0" fontId="17" fillId="7" borderId="21" xfId="1" applyNumberFormat="1" applyFont="1" applyFill="1" applyBorder="1" applyAlignment="1">
      <alignment vertical="center"/>
    </xf>
    <xf numFmtId="0" fontId="17" fillId="7" borderId="22" xfId="1" applyNumberFormat="1" applyFont="1" applyFill="1" applyBorder="1" applyAlignment="1">
      <alignment vertical="center"/>
    </xf>
    <xf numFmtId="0" fontId="17" fillId="0" borderId="21" xfId="0" applyFont="1" applyBorder="1" applyAlignment="1">
      <alignment vertical="center" wrapText="1"/>
    </xf>
    <xf numFmtId="0" fontId="17" fillId="0" borderId="22" xfId="0" applyFont="1" applyBorder="1" applyAlignment="1">
      <alignment vertical="center" wrapText="1"/>
    </xf>
    <xf numFmtId="0" fontId="17" fillId="2" borderId="21" xfId="3" applyNumberFormat="1" applyFont="1" applyFill="1" applyBorder="1" applyAlignment="1">
      <alignment wrapText="1"/>
    </xf>
    <xf numFmtId="0" fontId="17" fillId="2" borderId="22" xfId="3" applyNumberFormat="1" applyFont="1" applyFill="1" applyBorder="1" applyAlignment="1">
      <alignment wrapText="1"/>
    </xf>
    <xf numFmtId="0" fontId="18" fillId="5" borderId="21" xfId="2" applyNumberFormat="1" applyFont="1" applyFill="1" applyBorder="1" applyAlignment="1">
      <alignment horizontal="left"/>
    </xf>
    <xf numFmtId="0" fontId="19" fillId="6" borderId="21" xfId="3" applyFont="1" applyFill="1" applyBorder="1" applyAlignment="1">
      <alignment horizontal="center"/>
    </xf>
    <xf numFmtId="43" fontId="19" fillId="6" borderId="21" xfId="1" applyNumberFormat="1" applyFont="1" applyFill="1" applyBorder="1" applyAlignment="1">
      <alignment horizontal="center"/>
    </xf>
    <xf numFmtId="165" fontId="19" fillId="6" borderId="21" xfId="1" applyNumberFormat="1" applyFont="1" applyFill="1" applyBorder="1" applyAlignment="1">
      <alignment horizontal="center"/>
    </xf>
    <xf numFmtId="0" fontId="17" fillId="3" borderId="21" xfId="2" applyNumberFormat="1" applyFont="1" applyFill="1" applyBorder="1" applyAlignment="1">
      <alignment horizontal="justify"/>
    </xf>
    <xf numFmtId="0" fontId="16" fillId="0" borderId="1" xfId="0" applyFont="1" applyBorder="1"/>
    <xf numFmtId="43" fontId="16" fillId="0" borderId="1" xfId="1" applyNumberFormat="1" applyFont="1" applyBorder="1"/>
    <xf numFmtId="0" fontId="17" fillId="2" borderId="22" xfId="2" applyNumberFormat="1" applyFont="1" applyFill="1" applyBorder="1" applyAlignment="1">
      <alignment vertical="top"/>
    </xf>
    <xf numFmtId="0" fontId="16" fillId="0" borderId="0" xfId="0" applyFont="1" applyAlignment="1">
      <alignment vertical="top"/>
    </xf>
    <xf numFmtId="43" fontId="15" fillId="0" borderId="1" xfId="1" applyNumberFormat="1" applyFont="1" applyBorder="1"/>
    <xf numFmtId="0" fontId="22" fillId="6" borderId="1" xfId="0" applyFont="1" applyFill="1" applyBorder="1"/>
    <xf numFmtId="43" fontId="15" fillId="6" borderId="1" xfId="1" applyNumberFormat="1" applyFont="1" applyFill="1" applyBorder="1"/>
    <xf numFmtId="0" fontId="17" fillId="2" borderId="21" xfId="3" applyFont="1" applyFill="1" applyBorder="1" applyAlignment="1">
      <alignment horizontal="left" wrapText="1"/>
    </xf>
    <xf numFmtId="0" fontId="17" fillId="0" borderId="21" xfId="3" applyFont="1" applyBorder="1" applyAlignment="1">
      <alignment horizontal="center"/>
    </xf>
    <xf numFmtId="43" fontId="16" fillId="0" borderId="0" xfId="1" applyNumberFormat="1" applyFont="1" applyBorder="1"/>
    <xf numFmtId="0" fontId="18" fillId="6" borderId="21" xfId="2" applyNumberFormat="1" applyFont="1" applyFill="1" applyBorder="1" applyAlignment="1">
      <alignment horizontal="left"/>
    </xf>
    <xf numFmtId="0" fontId="17" fillId="6" borderId="21" xfId="2" applyNumberFormat="1" applyFont="1" applyFill="1" applyBorder="1" applyAlignment="1">
      <alignment horizontal="center"/>
    </xf>
    <xf numFmtId="43" fontId="17" fillId="6" borderId="22" xfId="2" applyFont="1" applyFill="1" applyBorder="1"/>
    <xf numFmtId="49" fontId="19" fillId="2" borderId="20" xfId="3" applyNumberFormat="1" applyFont="1" applyFill="1" applyBorder="1" applyAlignment="1">
      <alignment horizontal="center"/>
    </xf>
    <xf numFmtId="0" fontId="18" fillId="0" borderId="21" xfId="3" applyFont="1" applyFill="1" applyBorder="1" applyAlignment="1">
      <alignment horizontal="left" wrapText="1"/>
    </xf>
    <xf numFmtId="0" fontId="26" fillId="0" borderId="21" xfId="3" applyFont="1" applyFill="1" applyBorder="1" applyAlignment="1">
      <alignment horizontal="center"/>
    </xf>
    <xf numFmtId="43" fontId="26" fillId="3" borderId="21" xfId="1" applyNumberFormat="1" applyFont="1" applyFill="1" applyBorder="1" applyAlignment="1">
      <alignment horizontal="center"/>
    </xf>
    <xf numFmtId="165" fontId="19" fillId="2" borderId="21" xfId="1" applyNumberFormat="1" applyFont="1" applyFill="1" applyBorder="1" applyAlignment="1">
      <alignment horizontal="center"/>
    </xf>
    <xf numFmtId="49" fontId="19" fillId="6" borderId="20" xfId="1" applyNumberFormat="1" applyFont="1" applyFill="1" applyBorder="1" applyAlignment="1">
      <alignment horizontal="left" vertical="justify"/>
    </xf>
    <xf numFmtId="0" fontId="18" fillId="6" borderId="21" xfId="2" applyNumberFormat="1" applyFont="1" applyFill="1" applyBorder="1" applyAlignment="1">
      <alignment horizontal="justify"/>
    </xf>
    <xf numFmtId="43" fontId="19" fillId="6" borderId="21" xfId="2" applyFont="1" applyFill="1" applyBorder="1" applyAlignment="1">
      <alignment horizontal="center"/>
    </xf>
    <xf numFmtId="43" fontId="19" fillId="6" borderId="21" xfId="1" applyFont="1" applyFill="1" applyBorder="1" applyAlignment="1">
      <alignment horizontal="center"/>
    </xf>
    <xf numFmtId="49" fontId="19" fillId="10" borderId="20" xfId="1" applyNumberFormat="1" applyFont="1" applyFill="1" applyBorder="1" applyAlignment="1">
      <alignment horizontal="left" vertical="justify"/>
    </xf>
    <xf numFmtId="0" fontId="18" fillId="10" borderId="21" xfId="2" applyNumberFormat="1" applyFont="1" applyFill="1" applyBorder="1" applyAlignment="1">
      <alignment horizontal="justify"/>
    </xf>
    <xf numFmtId="43" fontId="17" fillId="10" borderId="21" xfId="1" applyFont="1" applyFill="1" applyBorder="1" applyAlignment="1">
      <alignment horizontal="center"/>
    </xf>
    <xf numFmtId="43" fontId="19" fillId="10" borderId="22" xfId="2" applyFont="1" applyFill="1" applyBorder="1"/>
    <xf numFmtId="49" fontId="17" fillId="3" borderId="20" xfId="1" applyNumberFormat="1" applyFont="1" applyFill="1" applyBorder="1" applyAlignment="1">
      <alignment horizontal="left" vertical="justify"/>
    </xf>
    <xf numFmtId="0" fontId="18" fillId="10" borderId="21" xfId="2" applyNumberFormat="1" applyFont="1" applyFill="1" applyBorder="1" applyAlignment="1">
      <alignment horizontal="left"/>
    </xf>
    <xf numFmtId="0" fontId="17" fillId="3" borderId="1" xfId="3" applyFont="1" applyFill="1" applyBorder="1" applyAlignment="1">
      <alignment horizontal="left" wrapText="1"/>
    </xf>
    <xf numFmtId="0" fontId="18" fillId="10" borderId="21" xfId="3" applyFont="1" applyFill="1" applyBorder="1" applyAlignment="1">
      <alignment horizontal="left" wrapText="1"/>
    </xf>
    <xf numFmtId="0" fontId="19" fillId="10" borderId="21" xfId="3" applyFont="1" applyFill="1" applyBorder="1" applyAlignment="1">
      <alignment horizontal="center"/>
    </xf>
    <xf numFmtId="49" fontId="19" fillId="2" borderId="20" xfId="2" applyNumberFormat="1" applyFont="1" applyFill="1" applyBorder="1" applyAlignment="1">
      <alignment horizontal="left" vertical="justify"/>
    </xf>
    <xf numFmtId="43" fontId="17" fillId="2" borderId="21" xfId="1" applyNumberFormat="1" applyFont="1" applyFill="1" applyBorder="1" applyAlignment="1">
      <alignment horizontal="center"/>
    </xf>
    <xf numFmtId="49" fontId="17" fillId="2" borderId="20" xfId="2" applyNumberFormat="1" applyFont="1" applyFill="1" applyBorder="1" applyAlignment="1">
      <alignment horizontal="left" vertical="justify"/>
    </xf>
    <xf numFmtId="49" fontId="17" fillId="2" borderId="20" xfId="2" applyNumberFormat="1" applyFont="1" applyFill="1" applyBorder="1" applyAlignment="1">
      <alignment horizontal="left"/>
    </xf>
    <xf numFmtId="0" fontId="19" fillId="2" borderId="21" xfId="2" applyNumberFormat="1" applyFont="1" applyFill="1" applyBorder="1" applyAlignment="1">
      <alignment wrapText="1"/>
    </xf>
    <xf numFmtId="49" fontId="19" fillId="9" borderId="20" xfId="1" applyNumberFormat="1" applyFont="1" applyFill="1" applyBorder="1" applyAlignment="1">
      <alignment horizontal="left" vertical="justify"/>
    </xf>
    <xf numFmtId="0" fontId="18" fillId="9" borderId="21" xfId="2" applyNumberFormat="1" applyFont="1" applyFill="1" applyBorder="1" applyAlignment="1">
      <alignment horizontal="justify"/>
    </xf>
    <xf numFmtId="43" fontId="19" fillId="9" borderId="21" xfId="2" applyFont="1" applyFill="1" applyBorder="1" applyAlignment="1">
      <alignment horizontal="center"/>
    </xf>
    <xf numFmtId="43" fontId="19" fillId="9" borderId="21" xfId="1" applyFont="1" applyFill="1" applyBorder="1" applyAlignment="1">
      <alignment horizontal="center"/>
    </xf>
    <xf numFmtId="165" fontId="19" fillId="9" borderId="21" xfId="1" applyNumberFormat="1" applyFont="1" applyFill="1" applyBorder="1" applyAlignment="1">
      <alignment horizontal="center"/>
    </xf>
    <xf numFmtId="43" fontId="16" fillId="9" borderId="21" xfId="1" applyFont="1" applyFill="1" applyBorder="1"/>
    <xf numFmtId="43" fontId="16" fillId="9" borderId="22" xfId="1" applyFont="1" applyFill="1" applyBorder="1"/>
    <xf numFmtId="43" fontId="17" fillId="3" borderId="21" xfId="1" applyNumberFormat="1" applyFont="1" applyFill="1" applyBorder="1" applyAlignment="1"/>
    <xf numFmtId="43" fontId="15" fillId="3" borderId="22" xfId="1" applyFont="1" applyFill="1" applyBorder="1" applyAlignment="1"/>
    <xf numFmtId="43" fontId="15" fillId="3" borderId="22" xfId="1" applyFont="1" applyFill="1" applyBorder="1"/>
    <xf numFmtId="43" fontId="17" fillId="3" borderId="24" xfId="1" applyNumberFormat="1" applyFont="1" applyFill="1" applyBorder="1" applyAlignment="1"/>
    <xf numFmtId="43" fontId="15" fillId="3" borderId="29" xfId="1" applyFont="1" applyFill="1" applyBorder="1"/>
    <xf numFmtId="0" fontId="16" fillId="0" borderId="26" xfId="0" applyFont="1" applyBorder="1" applyAlignment="1">
      <alignment horizontal="center"/>
    </xf>
    <xf numFmtId="43" fontId="16" fillId="0" borderId="26" xfId="1" applyNumberFormat="1" applyFont="1" applyBorder="1"/>
    <xf numFmtId="165" fontId="16" fillId="0" borderId="26" xfId="1" applyNumberFormat="1" applyFont="1" applyBorder="1"/>
    <xf numFmtId="165" fontId="17" fillId="2" borderId="20" xfId="1" applyNumberFormat="1" applyFont="1" applyFill="1" applyBorder="1" applyAlignment="1">
      <alignment horizontal="left" vertical="justify"/>
    </xf>
    <xf numFmtId="165" fontId="19" fillId="5" borderId="20" xfId="1" applyNumberFormat="1" applyFont="1" applyFill="1" applyBorder="1" applyAlignment="1">
      <alignment horizontal="left" vertical="justify"/>
    </xf>
    <xf numFmtId="0" fontId="17" fillId="5" borderId="21" xfId="3" applyFont="1" applyFill="1" applyBorder="1" applyAlignment="1">
      <alignment horizontal="center"/>
    </xf>
    <xf numFmtId="43" fontId="17" fillId="5" borderId="21" xfId="1" applyFont="1" applyFill="1" applyBorder="1" applyAlignment="1">
      <alignment horizontal="center"/>
    </xf>
    <xf numFmtId="165" fontId="19" fillId="2" borderId="20" xfId="1" applyNumberFormat="1" applyFont="1" applyFill="1" applyBorder="1" applyAlignment="1">
      <alignment horizontal="left" vertical="justify"/>
    </xf>
    <xf numFmtId="0" fontId="19" fillId="0" borderId="21" xfId="3" applyFont="1" applyBorder="1" applyAlignment="1">
      <alignment horizontal="left" wrapText="1"/>
    </xf>
    <xf numFmtId="0" fontId="19" fillId="0" borderId="21" xfId="3" applyFont="1" applyBorder="1" applyAlignment="1">
      <alignment horizontal="center"/>
    </xf>
    <xf numFmtId="43" fontId="19" fillId="3" borderId="21" xfId="1" applyFont="1" applyFill="1" applyBorder="1" applyAlignment="1">
      <alignment horizontal="center"/>
    </xf>
    <xf numFmtId="165" fontId="19" fillId="11" borderId="20" xfId="1" applyNumberFormat="1" applyFont="1" applyFill="1" applyBorder="1" applyAlignment="1">
      <alignment horizontal="left" vertical="justify"/>
    </xf>
    <xf numFmtId="0" fontId="19" fillId="11" borderId="21" xfId="3" applyFont="1" applyFill="1" applyBorder="1" applyAlignment="1">
      <alignment horizontal="left" wrapText="1"/>
    </xf>
    <xf numFmtId="0" fontId="19" fillId="11" borderId="21" xfId="3" applyFont="1" applyFill="1" applyBorder="1" applyAlignment="1">
      <alignment horizontal="center"/>
    </xf>
    <xf numFmtId="43" fontId="19" fillId="11" borderId="21" xfId="1" applyFont="1" applyFill="1" applyBorder="1" applyAlignment="1">
      <alignment horizontal="center"/>
    </xf>
    <xf numFmtId="165" fontId="19" fillId="11" borderId="21" xfId="1" applyNumberFormat="1" applyFont="1" applyFill="1" applyBorder="1" applyAlignment="1">
      <alignment horizontal="center"/>
    </xf>
    <xf numFmtId="43" fontId="15" fillId="11" borderId="21" xfId="1" applyFont="1" applyFill="1" applyBorder="1"/>
    <xf numFmtId="43" fontId="15" fillId="11" borderId="22" xfId="1" applyFont="1" applyFill="1" applyBorder="1"/>
    <xf numFmtId="165" fontId="19" fillId="2" borderId="20" xfId="1" applyNumberFormat="1" applyFont="1" applyFill="1" applyBorder="1" applyAlignment="1">
      <alignment horizontal="left"/>
    </xf>
    <xf numFmtId="0" fontId="18" fillId="0" borderId="21" xfId="3" applyNumberFormat="1" applyFont="1" applyBorder="1" applyAlignment="1">
      <alignment horizontal="left"/>
    </xf>
    <xf numFmtId="165" fontId="19" fillId="3" borderId="20" xfId="1" applyNumberFormat="1" applyFont="1" applyFill="1" applyBorder="1" applyAlignment="1">
      <alignment horizontal="left" vertical="justify"/>
    </xf>
    <xf numFmtId="0" fontId="19" fillId="3" borderId="21" xfId="3" applyFont="1" applyFill="1" applyBorder="1" applyAlignment="1">
      <alignment horizontal="left" wrapText="1"/>
    </xf>
    <xf numFmtId="0" fontId="19" fillId="3" borderId="21" xfId="3" applyFont="1" applyFill="1" applyBorder="1" applyAlignment="1">
      <alignment horizontal="center"/>
    </xf>
    <xf numFmtId="165" fontId="19" fillId="3" borderId="21" xfId="1" applyNumberFormat="1" applyFont="1" applyFill="1" applyBorder="1" applyAlignment="1">
      <alignment horizontal="center"/>
    </xf>
    <xf numFmtId="43" fontId="15" fillId="3" borderId="21" xfId="1" applyFont="1" applyFill="1" applyBorder="1"/>
    <xf numFmtId="165" fontId="17" fillId="2" borderId="25" xfId="1" applyNumberFormat="1" applyFont="1" applyFill="1" applyBorder="1" applyAlignment="1">
      <alignment horizontal="left" vertical="justify"/>
    </xf>
    <xf numFmtId="165" fontId="17" fillId="2" borderId="28" xfId="1" applyNumberFormat="1" applyFont="1" applyFill="1" applyBorder="1" applyAlignment="1">
      <alignment horizontal="left" vertical="justify"/>
    </xf>
    <xf numFmtId="165" fontId="17" fillId="5" borderId="20" xfId="1" applyNumberFormat="1" applyFont="1" applyFill="1" applyBorder="1" applyAlignment="1">
      <alignment horizontal="left" vertical="justify"/>
    </xf>
    <xf numFmtId="165" fontId="17" fillId="3" borderId="20" xfId="1" applyNumberFormat="1" applyFont="1" applyFill="1" applyBorder="1" applyAlignment="1">
      <alignment horizontal="left" vertical="justify"/>
    </xf>
    <xf numFmtId="0" fontId="18" fillId="3" borderId="21" xfId="2" applyNumberFormat="1" applyFont="1" applyFill="1" applyBorder="1" applyAlignment="1">
      <alignment horizontal="left"/>
    </xf>
    <xf numFmtId="0" fontId="16" fillId="0" borderId="2" xfId="0" applyFont="1" applyBorder="1" applyAlignment="1"/>
    <xf numFmtId="49" fontId="17" fillId="3" borderId="20" xfId="0" applyNumberFormat="1" applyFont="1" applyFill="1" applyBorder="1" applyAlignment="1">
      <alignment horizontal="center" vertical="center"/>
    </xf>
    <xf numFmtId="0" fontId="18" fillId="3" borderId="21" xfId="0" applyFont="1" applyFill="1" applyBorder="1" applyAlignment="1">
      <alignment vertical="center" wrapText="1"/>
    </xf>
    <xf numFmtId="0" fontId="17" fillId="3" borderId="21" xfId="0" applyFont="1" applyFill="1" applyBorder="1" applyAlignment="1">
      <alignment horizontal="center" vertical="center"/>
    </xf>
    <xf numFmtId="43" fontId="17" fillId="3" borderId="21" xfId="0" applyNumberFormat="1" applyFont="1" applyFill="1" applyBorder="1" applyAlignment="1">
      <alignment horizontal="center" vertical="center"/>
    </xf>
    <xf numFmtId="49" fontId="17" fillId="6" borderId="20" xfId="0" applyNumberFormat="1" applyFont="1" applyFill="1" applyBorder="1" applyAlignment="1">
      <alignment horizontal="center" vertical="center"/>
    </xf>
    <xf numFmtId="0" fontId="18" fillId="6" borderId="21" xfId="0" applyFont="1" applyFill="1" applyBorder="1" applyAlignment="1">
      <alignment vertical="center" wrapText="1"/>
    </xf>
    <xf numFmtId="0" fontId="17" fillId="6" borderId="21" xfId="0" applyFont="1" applyFill="1" applyBorder="1" applyAlignment="1">
      <alignment horizontal="center" vertical="center"/>
    </xf>
    <xf numFmtId="43" fontId="17" fillId="6" borderId="21" xfId="0" applyNumberFormat="1" applyFont="1" applyFill="1" applyBorder="1" applyAlignment="1">
      <alignment horizontal="center" vertical="center"/>
    </xf>
    <xf numFmtId="0" fontId="17" fillId="3" borderId="21" xfId="0" applyFont="1" applyFill="1" applyBorder="1" applyAlignment="1">
      <alignment vertical="center" wrapText="1"/>
    </xf>
    <xf numFmtId="0" fontId="21" fillId="3" borderId="21" xfId="0" applyFont="1" applyFill="1" applyBorder="1" applyAlignment="1">
      <alignment vertical="center" wrapText="1"/>
    </xf>
    <xf numFmtId="0" fontId="17" fillId="3" borderId="24" xfId="0" applyFont="1" applyFill="1" applyBorder="1" applyAlignment="1">
      <alignment horizontal="center" vertical="center"/>
    </xf>
    <xf numFmtId="43" fontId="17" fillId="3" borderId="24" xfId="0" applyNumberFormat="1" applyFont="1" applyFill="1" applyBorder="1" applyAlignment="1">
      <alignment horizontal="center" vertical="center"/>
    </xf>
    <xf numFmtId="49" fontId="19" fillId="3" borderId="20" xfId="0" applyNumberFormat="1" applyFont="1" applyFill="1" applyBorder="1" applyAlignment="1">
      <alignment horizontal="center" vertical="top"/>
    </xf>
    <xf numFmtId="0" fontId="18" fillId="3" borderId="21" xfId="0" applyFont="1" applyFill="1" applyBorder="1" applyAlignment="1">
      <alignment vertical="justify" wrapText="1"/>
    </xf>
    <xf numFmtId="49" fontId="17" fillId="3" borderId="20" xfId="0" applyNumberFormat="1" applyFont="1" applyFill="1" applyBorder="1" applyAlignment="1">
      <alignment horizontal="center" vertical="top"/>
    </xf>
    <xf numFmtId="0" fontId="17" fillId="3" borderId="21" xfId="0" applyFont="1" applyFill="1" applyBorder="1" applyAlignment="1">
      <alignment wrapText="1"/>
    </xf>
    <xf numFmtId="0" fontId="17" fillId="3" borderId="21" xfId="0" applyFont="1" applyFill="1" applyBorder="1" applyAlignment="1">
      <alignment horizontal="center"/>
    </xf>
    <xf numFmtId="43" fontId="17" fillId="3" borderId="21" xfId="0" applyNumberFormat="1" applyFont="1" applyFill="1" applyBorder="1" applyAlignment="1">
      <alignment horizontal="center"/>
    </xf>
    <xf numFmtId="0" fontId="17" fillId="3" borderId="21" xfId="0" applyFont="1" applyFill="1" applyBorder="1" applyAlignment="1">
      <alignment vertical="justify" wrapText="1"/>
    </xf>
    <xf numFmtId="0" fontId="19" fillId="3" borderId="21" xfId="0" applyFont="1" applyFill="1" applyBorder="1" applyAlignment="1">
      <alignment horizontal="center" vertical="center"/>
    </xf>
    <xf numFmtId="43" fontId="19" fillId="3" borderId="21" xfId="0" applyNumberFormat="1" applyFont="1" applyFill="1" applyBorder="1" applyAlignment="1">
      <alignment horizontal="center" vertical="center"/>
    </xf>
    <xf numFmtId="0" fontId="17" fillId="3" borderId="21" xfId="0" applyFont="1" applyFill="1" applyBorder="1" applyAlignment="1">
      <alignment vertical="top" wrapText="1"/>
    </xf>
    <xf numFmtId="168" fontId="2" fillId="12" borderId="20" xfId="4" applyNumberFormat="1" applyFont="1" applyFill="1" applyBorder="1" applyAlignment="1" applyProtection="1">
      <alignment horizontal="left" wrapText="1"/>
    </xf>
    <xf numFmtId="167" fontId="28" fillId="12" borderId="21" xfId="4" applyFont="1" applyFill="1" applyBorder="1" applyAlignment="1" applyProtection="1">
      <alignment horizontal="justify" wrapText="1"/>
    </xf>
    <xf numFmtId="43" fontId="29" fillId="0" borderId="21" xfId="1" applyFont="1" applyFill="1" applyBorder="1" applyAlignment="1" applyProtection="1">
      <alignment horizontal="center"/>
    </xf>
    <xf numFmtId="0" fontId="29" fillId="0" borderId="21" xfId="5" applyFont="1" applyFill="1" applyBorder="1" applyAlignment="1">
      <alignment horizontal="center"/>
    </xf>
    <xf numFmtId="167" fontId="31" fillId="0" borderId="21" xfId="6" applyNumberFormat="1" applyFont="1" applyFill="1" applyBorder="1" applyAlignment="1" applyProtection="1">
      <alignment horizontal="right"/>
    </xf>
    <xf numFmtId="43" fontId="30" fillId="0" borderId="22" xfId="1" applyFont="1" applyBorder="1"/>
    <xf numFmtId="170" fontId="17" fillId="0" borderId="20" xfId="4" applyNumberFormat="1" applyFont="1" applyFill="1" applyBorder="1" applyAlignment="1" applyProtection="1">
      <alignment horizontal="left" wrapText="1"/>
    </xf>
    <xf numFmtId="167" fontId="16" fillId="12" borderId="21" xfId="4" applyFont="1" applyFill="1" applyBorder="1" applyAlignment="1" applyProtection="1">
      <alignment horizontal="left" wrapText="1"/>
    </xf>
    <xf numFmtId="43" fontId="16" fillId="0" borderId="21" xfId="1" applyFont="1" applyFill="1" applyBorder="1" applyAlignment="1" applyProtection="1">
      <alignment horizontal="center"/>
    </xf>
    <xf numFmtId="167" fontId="16" fillId="0" borderId="21" xfId="6" applyNumberFormat="1" applyFont="1" applyFill="1" applyBorder="1" applyAlignment="1" applyProtection="1">
      <alignment horizontal="right"/>
    </xf>
    <xf numFmtId="0" fontId="18" fillId="2" borderId="21" xfId="2" quotePrefix="1" applyNumberFormat="1" applyFont="1" applyFill="1" applyBorder="1" applyAlignment="1">
      <alignment horizontal="left"/>
    </xf>
    <xf numFmtId="0" fontId="17" fillId="2" borderId="21" xfId="2" quotePrefix="1" applyNumberFormat="1" applyFont="1" applyFill="1" applyBorder="1" applyAlignment="1">
      <alignment horizontal="left"/>
    </xf>
    <xf numFmtId="0" fontId="21" fillId="2" borderId="21" xfId="2" quotePrefix="1" applyNumberFormat="1" applyFont="1" applyFill="1" applyBorder="1" applyAlignment="1">
      <alignment horizontal="left"/>
    </xf>
    <xf numFmtId="0" fontId="16" fillId="3" borderId="24" xfId="0" applyFont="1" applyFill="1" applyBorder="1" applyAlignment="1">
      <alignment horizontal="center"/>
    </xf>
    <xf numFmtId="43" fontId="16" fillId="3" borderId="24" xfId="1" applyNumberFormat="1" applyFont="1" applyFill="1" applyBorder="1"/>
    <xf numFmtId="49" fontId="16" fillId="3" borderId="28" xfId="0" applyNumberFormat="1" applyFont="1" applyFill="1" applyBorder="1"/>
    <xf numFmtId="0" fontId="16" fillId="3" borderId="24" xfId="0" applyFont="1" applyFill="1" applyBorder="1" applyAlignment="1">
      <alignment wrapText="1"/>
    </xf>
    <xf numFmtId="49" fontId="15" fillId="0" borderId="28" xfId="0" applyNumberFormat="1" applyFont="1" applyBorder="1"/>
    <xf numFmtId="0" fontId="16" fillId="0" borderId="24" xfId="0" applyFont="1" applyBorder="1"/>
    <xf numFmtId="49" fontId="17" fillId="3" borderId="28" xfId="0" applyNumberFormat="1" applyFont="1" applyFill="1" applyBorder="1" applyAlignment="1">
      <alignment horizontal="center" vertical="center"/>
    </xf>
    <xf numFmtId="0" fontId="17" fillId="3" borderId="24" xfId="0" applyFont="1" applyFill="1" applyBorder="1" applyAlignment="1">
      <alignment vertical="center" wrapText="1"/>
    </xf>
    <xf numFmtId="43" fontId="16" fillId="3" borderId="29" xfId="1" applyFont="1" applyFill="1" applyBorder="1"/>
    <xf numFmtId="49" fontId="17" fillId="2" borderId="28" xfId="2" applyNumberFormat="1" applyFont="1" applyFill="1" applyBorder="1" applyAlignment="1">
      <alignment horizontal="center" vertical="top"/>
    </xf>
    <xf numFmtId="0" fontId="17" fillId="0" borderId="24" xfId="3" applyFont="1" applyBorder="1" applyAlignment="1">
      <alignment horizontal="left" wrapText="1"/>
    </xf>
    <xf numFmtId="0" fontId="17" fillId="0" borderId="24" xfId="3" applyFont="1" applyFill="1" applyBorder="1" applyAlignment="1">
      <alignment horizontal="center"/>
    </xf>
    <xf numFmtId="43" fontId="16" fillId="0" borderId="24" xfId="1" applyFont="1" applyBorder="1" applyAlignment="1"/>
    <xf numFmtId="43" fontId="16" fillId="0" borderId="29" xfId="1" applyFont="1" applyBorder="1" applyAlignment="1"/>
    <xf numFmtId="0" fontId="17" fillId="2" borderId="24" xfId="3" applyFont="1" applyFill="1" applyBorder="1" applyAlignment="1">
      <alignment horizontal="left" wrapText="1"/>
    </xf>
    <xf numFmtId="0" fontId="17" fillId="0" borderId="24" xfId="3" applyFont="1" applyBorder="1" applyAlignment="1">
      <alignment horizontal="center"/>
    </xf>
    <xf numFmtId="49" fontId="17" fillId="3" borderId="28" xfId="1" applyNumberFormat="1" applyFont="1" applyFill="1" applyBorder="1" applyAlignment="1">
      <alignment horizontal="left" vertical="justify"/>
    </xf>
    <xf numFmtId="0" fontId="17" fillId="3" borderId="24" xfId="3" applyFont="1" applyFill="1" applyBorder="1" applyAlignment="1">
      <alignment horizontal="left" wrapText="1"/>
    </xf>
    <xf numFmtId="0" fontId="17" fillId="3" borderId="24" xfId="3" applyFont="1" applyFill="1" applyBorder="1" applyAlignment="1">
      <alignment horizontal="center"/>
    </xf>
    <xf numFmtId="43" fontId="17" fillId="3" borderId="24" xfId="1" applyFont="1" applyFill="1" applyBorder="1" applyAlignment="1">
      <alignment horizontal="center"/>
    </xf>
    <xf numFmtId="49" fontId="16" fillId="0" borderId="25" xfId="0" applyNumberFormat="1" applyFont="1" applyBorder="1" applyAlignment="1">
      <alignment vertical="top"/>
    </xf>
    <xf numFmtId="0" fontId="16" fillId="0" borderId="26" xfId="0" applyFont="1" applyBorder="1" applyAlignment="1">
      <alignment wrapText="1"/>
    </xf>
    <xf numFmtId="49" fontId="17" fillId="3" borderId="25" xfId="0" applyNumberFormat="1" applyFont="1" applyFill="1" applyBorder="1" applyAlignment="1">
      <alignment horizontal="center" vertical="center"/>
    </xf>
    <xf numFmtId="0" fontId="17" fillId="3" borderId="26" xfId="0" applyFont="1" applyFill="1" applyBorder="1" applyAlignment="1">
      <alignment vertical="center" wrapText="1"/>
    </xf>
    <xf numFmtId="0" fontId="17" fillId="3" borderId="26" xfId="0" applyFont="1" applyFill="1" applyBorder="1" applyAlignment="1">
      <alignment horizontal="center" vertical="center"/>
    </xf>
    <xf numFmtId="43" fontId="17" fillId="3" borderId="26" xfId="0" applyNumberFormat="1" applyFont="1" applyFill="1" applyBorder="1" applyAlignment="1">
      <alignment horizontal="center" vertical="center"/>
    </xf>
    <xf numFmtId="165" fontId="16" fillId="3" borderId="26" xfId="1" applyNumberFormat="1" applyFont="1" applyFill="1" applyBorder="1"/>
    <xf numFmtId="43" fontId="16" fillId="3" borderId="26" xfId="1" applyFont="1" applyFill="1" applyBorder="1"/>
    <xf numFmtId="43" fontId="16" fillId="3" borderId="27" xfId="1" applyFont="1" applyFill="1" applyBorder="1"/>
    <xf numFmtId="0" fontId="11" fillId="0" borderId="0" xfId="0" applyFont="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22" fillId="0" borderId="0" xfId="0" applyNumberFormat="1" applyFont="1" applyAlignment="1">
      <alignment horizontal="center"/>
    </xf>
    <xf numFmtId="0" fontId="19" fillId="2" borderId="21" xfId="2" applyNumberFormat="1" applyFont="1" applyFill="1" applyBorder="1" applyAlignment="1">
      <alignment horizontal="left" wrapText="1"/>
    </xf>
    <xf numFmtId="0" fontId="19" fillId="2" borderId="21" xfId="2" applyNumberFormat="1" applyFont="1" applyFill="1" applyBorder="1" applyAlignment="1">
      <alignment horizontal="left"/>
    </xf>
    <xf numFmtId="0" fontId="19" fillId="2" borderId="22" xfId="2" applyNumberFormat="1" applyFont="1" applyFill="1" applyBorder="1" applyAlignment="1">
      <alignment horizontal="left"/>
    </xf>
    <xf numFmtId="0" fontId="17" fillId="2" borderId="14" xfId="2" applyNumberFormat="1" applyFont="1" applyFill="1" applyBorder="1" applyAlignment="1">
      <alignment horizontal="left" vertical="top" wrapText="1"/>
    </xf>
    <xf numFmtId="0" fontId="17" fillId="2" borderId="15" xfId="2" applyNumberFormat="1" applyFont="1" applyFill="1" applyBorder="1" applyAlignment="1">
      <alignment horizontal="left" vertical="top" wrapText="1"/>
    </xf>
    <xf numFmtId="0" fontId="17" fillId="2" borderId="16" xfId="2" applyNumberFormat="1" applyFont="1" applyFill="1" applyBorder="1" applyAlignment="1">
      <alignment horizontal="left" vertical="top" wrapText="1"/>
    </xf>
    <xf numFmtId="0" fontId="17" fillId="2" borderId="13" xfId="2" applyNumberFormat="1" applyFont="1" applyFill="1" applyBorder="1" applyAlignment="1">
      <alignment horizontal="left" vertical="top" wrapText="1"/>
    </xf>
    <xf numFmtId="0" fontId="17" fillId="2" borderId="0" xfId="2" applyNumberFormat="1" applyFont="1" applyFill="1" applyBorder="1" applyAlignment="1">
      <alignment horizontal="left" vertical="top" wrapText="1"/>
    </xf>
    <xf numFmtId="0" fontId="17" fillId="2" borderId="23" xfId="2" applyNumberFormat="1" applyFont="1" applyFill="1" applyBorder="1" applyAlignment="1">
      <alignment horizontal="left" vertical="top" wrapText="1"/>
    </xf>
    <xf numFmtId="0" fontId="17" fillId="2" borderId="14" xfId="2" applyNumberFormat="1" applyFont="1" applyFill="1" applyBorder="1" applyAlignment="1">
      <alignment horizontal="left" wrapText="1"/>
    </xf>
    <xf numFmtId="0" fontId="17" fillId="2" borderId="15" xfId="2" applyNumberFormat="1" applyFont="1" applyFill="1" applyBorder="1" applyAlignment="1">
      <alignment horizontal="left" wrapText="1"/>
    </xf>
    <xf numFmtId="0" fontId="17" fillId="2" borderId="16" xfId="2" applyNumberFormat="1" applyFont="1" applyFill="1" applyBorder="1" applyAlignment="1">
      <alignment horizontal="left" wrapText="1"/>
    </xf>
    <xf numFmtId="0" fontId="17" fillId="2" borderId="13" xfId="2" applyNumberFormat="1" applyFont="1" applyFill="1" applyBorder="1" applyAlignment="1">
      <alignment horizontal="left" wrapText="1"/>
    </xf>
    <xf numFmtId="0" fontId="17" fillId="2" borderId="0" xfId="2" applyNumberFormat="1" applyFont="1" applyFill="1" applyBorder="1" applyAlignment="1">
      <alignment horizontal="left" wrapText="1"/>
    </xf>
    <xf numFmtId="0" fontId="17" fillId="2" borderId="23" xfId="2" applyNumberFormat="1" applyFont="1" applyFill="1" applyBorder="1" applyAlignment="1">
      <alignment horizontal="left" wrapText="1"/>
    </xf>
    <xf numFmtId="0" fontId="17" fillId="0" borderId="17" xfId="3" applyFont="1" applyBorder="1" applyAlignment="1">
      <alignment horizontal="left" wrapText="1"/>
    </xf>
    <xf numFmtId="0" fontId="17" fillId="0" borderId="18" xfId="3" applyFont="1" applyBorder="1" applyAlignment="1">
      <alignment horizontal="left" wrapText="1"/>
    </xf>
    <xf numFmtId="0" fontId="17" fillId="0" borderId="19" xfId="3" applyFont="1" applyBorder="1" applyAlignment="1">
      <alignment horizontal="left" wrapText="1"/>
    </xf>
    <xf numFmtId="0" fontId="19" fillId="2" borderId="13" xfId="2" applyNumberFormat="1" applyFont="1" applyFill="1" applyBorder="1" applyAlignment="1">
      <alignment horizontal="left" wrapText="1"/>
    </xf>
    <xf numFmtId="0" fontId="19" fillId="2" borderId="0" xfId="2" applyNumberFormat="1" applyFont="1" applyFill="1" applyBorder="1" applyAlignment="1">
      <alignment horizontal="left" wrapText="1"/>
    </xf>
    <xf numFmtId="0" fontId="19" fillId="2" borderId="23" xfId="2" applyNumberFormat="1" applyFont="1" applyFill="1" applyBorder="1" applyAlignment="1">
      <alignment horizontal="left" wrapText="1"/>
    </xf>
    <xf numFmtId="0" fontId="19" fillId="2" borderId="17" xfId="2" applyNumberFormat="1" applyFont="1" applyFill="1" applyBorder="1" applyAlignment="1">
      <alignment horizontal="left" wrapText="1"/>
    </xf>
    <xf numFmtId="0" fontId="19" fillId="2" borderId="18" xfId="2" applyNumberFormat="1" applyFont="1" applyFill="1" applyBorder="1" applyAlignment="1">
      <alignment horizontal="left" wrapText="1"/>
    </xf>
    <xf numFmtId="0" fontId="19" fillId="2" borderId="19" xfId="2" applyNumberFormat="1" applyFont="1" applyFill="1" applyBorder="1" applyAlignment="1">
      <alignment horizontal="left" wrapText="1"/>
    </xf>
    <xf numFmtId="0" fontId="17" fillId="0" borderId="14" xfId="3" applyFont="1" applyBorder="1" applyAlignment="1">
      <alignment horizontal="left" wrapText="1"/>
    </xf>
    <xf numFmtId="0" fontId="17" fillId="0" borderId="15" xfId="3" applyFont="1" applyBorder="1" applyAlignment="1">
      <alignment horizontal="left" wrapText="1"/>
    </xf>
    <xf numFmtId="0" fontId="17" fillId="0" borderId="16" xfId="3" applyFont="1" applyBorder="1" applyAlignment="1">
      <alignment horizontal="left" wrapText="1"/>
    </xf>
    <xf numFmtId="0" fontId="17" fillId="0" borderId="13" xfId="3" applyFont="1" applyBorder="1" applyAlignment="1">
      <alignment horizontal="left" wrapText="1"/>
    </xf>
    <xf numFmtId="0" fontId="17" fillId="0" borderId="0" xfId="3" applyFont="1" applyBorder="1" applyAlignment="1">
      <alignment horizontal="left" wrapText="1"/>
    </xf>
    <xf numFmtId="0" fontId="17" fillId="0" borderId="23" xfId="3" applyFont="1" applyBorder="1" applyAlignment="1">
      <alignment horizontal="left" wrapText="1"/>
    </xf>
  </cellXfs>
  <cellStyles count="7">
    <cellStyle name="Comma" xfId="1" builtinId="3"/>
    <cellStyle name="Comma 2" xfId="2"/>
    <cellStyle name="Comma 2 2" xfId="4"/>
    <cellStyle name="Currency 2 2" xfId="6"/>
    <cellStyle name="Normal" xfId="0" builtinId="0"/>
    <cellStyle name="Normal 2" xfId="3"/>
    <cellStyle name="Normal 7"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2130937</xdr:colOff>
      <xdr:row>29</xdr:row>
      <xdr:rowOff>104775</xdr:rowOff>
    </xdr:from>
    <xdr:to>
      <xdr:col>0</xdr:col>
      <xdr:colOff>4171950</xdr:colOff>
      <xdr:row>30</xdr:row>
      <xdr:rowOff>762000</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30937" y="6972300"/>
          <a:ext cx="2041013"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53</xdr:row>
      <xdr:rowOff>47625</xdr:rowOff>
    </xdr:from>
    <xdr:to>
      <xdr:col>6</xdr:col>
      <xdr:colOff>771525</xdr:colOff>
      <xdr:row>54</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A33"/>
  <sheetViews>
    <sheetView topLeftCell="A7" workbookViewId="0">
      <selection activeCell="A17" sqref="A17"/>
    </sheetView>
  </sheetViews>
  <sheetFormatPr defaultRowHeight="15" x14ac:dyDescent="0.25"/>
  <cols>
    <col min="1" max="1" width="100.85546875" style="18" customWidth="1"/>
    <col min="2" max="16384" width="9.140625" style="18"/>
  </cols>
  <sheetData>
    <row r="10" spans="1:1" ht="33.75" x14ac:dyDescent="0.65">
      <c r="A10" s="17" t="s">
        <v>389</v>
      </c>
    </row>
    <row r="11" spans="1:1" ht="18.75" x14ac:dyDescent="0.4">
      <c r="A11" s="19"/>
    </row>
    <row r="12" spans="1:1" ht="18.75" x14ac:dyDescent="0.4">
      <c r="A12" s="19"/>
    </row>
    <row r="13" spans="1:1" ht="18.75" x14ac:dyDescent="0.4">
      <c r="A13" s="19"/>
    </row>
    <row r="14" spans="1:1" ht="24.75" x14ac:dyDescent="0.5">
      <c r="A14" s="20"/>
    </row>
    <row r="15" spans="1:1" ht="18.75" x14ac:dyDescent="0.4">
      <c r="A15" s="19"/>
    </row>
    <row r="16" spans="1:1" ht="18.75" x14ac:dyDescent="0.4">
      <c r="A16" s="19"/>
    </row>
    <row r="17" spans="1:1" s="22" customFormat="1" ht="47.25" customHeight="1" x14ac:dyDescent="0.25">
      <c r="A17" s="21" t="s">
        <v>432</v>
      </c>
    </row>
    <row r="23" spans="1:1" ht="18.75" x14ac:dyDescent="0.4">
      <c r="A23" s="23" t="s">
        <v>377</v>
      </c>
    </row>
    <row r="24" spans="1:1" ht="18.75" x14ac:dyDescent="0.4">
      <c r="A24" s="24" t="s">
        <v>375</v>
      </c>
    </row>
    <row r="25" spans="1:1" ht="18.75" x14ac:dyDescent="0.4">
      <c r="A25" s="24" t="s">
        <v>376</v>
      </c>
    </row>
    <row r="26" spans="1:1" ht="18.75" x14ac:dyDescent="0.4">
      <c r="A26" s="19"/>
    </row>
    <row r="27" spans="1:1" ht="18.75" x14ac:dyDescent="0.4">
      <c r="A27" s="19"/>
    </row>
    <row r="28" spans="1:1" ht="18.75" x14ac:dyDescent="0.4">
      <c r="A28" s="19"/>
    </row>
    <row r="29" spans="1:1" ht="18.75" x14ac:dyDescent="0.4">
      <c r="A29" s="23" t="s">
        <v>166</v>
      </c>
    </row>
    <row r="30" spans="1:1" ht="18.75" customHeight="1" x14ac:dyDescent="0.25">
      <c r="A30" s="416"/>
    </row>
    <row r="31" spans="1:1" ht="65.25" customHeight="1" x14ac:dyDescent="0.25">
      <c r="A31" s="416"/>
    </row>
    <row r="32" spans="1:1" ht="18.75" x14ac:dyDescent="0.4">
      <c r="A32" s="25"/>
    </row>
    <row r="33" spans="1:1" ht="18.75" x14ac:dyDescent="0.4">
      <c r="A33" s="19"/>
    </row>
  </sheetData>
  <mergeCells count="1">
    <mergeCell ref="A30:A31"/>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0" workbookViewId="0">
      <selection activeCell="C17" sqref="C17"/>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17" t="s">
        <v>431</v>
      </c>
      <c r="B1" s="417"/>
      <c r="C1" s="417"/>
    </row>
    <row r="2" spans="1:6" ht="15.75" x14ac:dyDescent="0.25">
      <c r="A2" s="418" t="s">
        <v>76</v>
      </c>
      <c r="B2" s="418"/>
      <c r="C2" s="418"/>
    </row>
    <row r="3" spans="1:6" ht="15.75" thickBot="1" x14ac:dyDescent="0.3">
      <c r="A3" s="1"/>
      <c r="B3" s="2"/>
      <c r="C3" s="3"/>
    </row>
    <row r="4" spans="1:6" ht="20.100000000000001" customHeight="1" thickTop="1" thickBot="1" x14ac:dyDescent="0.35">
      <c r="A4" s="4" t="s">
        <v>77</v>
      </c>
      <c r="B4" s="5" t="s">
        <v>78</v>
      </c>
      <c r="C4" s="6" t="s">
        <v>79</v>
      </c>
    </row>
    <row r="5" spans="1:6" ht="24.95" customHeight="1" thickTop="1" x14ac:dyDescent="0.25">
      <c r="A5" s="7" t="s">
        <v>80</v>
      </c>
      <c r="B5" s="8" t="s">
        <v>18</v>
      </c>
      <c r="C5" s="9">
        <f>Boq!G44</f>
        <v>0</v>
      </c>
    </row>
    <row r="6" spans="1:6" ht="24.95" customHeight="1" x14ac:dyDescent="0.25">
      <c r="A6" s="10" t="s">
        <v>81</v>
      </c>
      <c r="B6" s="11" t="s">
        <v>82</v>
      </c>
      <c r="C6" s="12">
        <f>Boq!G81</f>
        <v>0</v>
      </c>
    </row>
    <row r="7" spans="1:6" ht="24.95" customHeight="1" x14ac:dyDescent="0.25">
      <c r="A7" s="10" t="s">
        <v>83</v>
      </c>
      <c r="B7" s="11" t="s">
        <v>84</v>
      </c>
      <c r="C7" s="12">
        <f>Boq!G604</f>
        <v>0</v>
      </c>
    </row>
    <row r="8" spans="1:6" ht="24.95" customHeight="1" x14ac:dyDescent="0.25">
      <c r="A8" s="10" t="s">
        <v>85</v>
      </c>
      <c r="B8" s="11" t="s">
        <v>86</v>
      </c>
      <c r="C8" s="12">
        <f>Boq!G694</f>
        <v>0</v>
      </c>
    </row>
    <row r="9" spans="1:6" ht="24.95" customHeight="1" x14ac:dyDescent="0.25">
      <c r="A9" s="10" t="s">
        <v>87</v>
      </c>
      <c r="B9" s="11" t="s">
        <v>88</v>
      </c>
      <c r="C9" s="12">
        <f>Boq!G871</f>
        <v>0</v>
      </c>
    </row>
    <row r="10" spans="1:6" ht="24.95" customHeight="1" x14ac:dyDescent="0.25">
      <c r="A10" s="10" t="s">
        <v>89</v>
      </c>
      <c r="B10" s="11" t="s">
        <v>91</v>
      </c>
      <c r="C10" s="12">
        <f>Boq!G946</f>
        <v>0</v>
      </c>
    </row>
    <row r="11" spans="1:6" ht="24.95" customHeight="1" x14ac:dyDescent="0.25">
      <c r="A11" s="10" t="s">
        <v>90</v>
      </c>
      <c r="B11" s="11" t="s">
        <v>93</v>
      </c>
      <c r="C11" s="12">
        <f>Boq!G968</f>
        <v>0</v>
      </c>
    </row>
    <row r="12" spans="1:6" ht="24.95" customHeight="1" x14ac:dyDescent="0.25">
      <c r="A12" s="10" t="s">
        <v>92</v>
      </c>
      <c r="B12" s="11" t="s">
        <v>95</v>
      </c>
      <c r="C12" s="12">
        <f>Boq!G1006</f>
        <v>0</v>
      </c>
    </row>
    <row r="13" spans="1:6" ht="24.95" customHeight="1" x14ac:dyDescent="0.25">
      <c r="A13" s="10" t="s">
        <v>94</v>
      </c>
      <c r="B13" s="11" t="s">
        <v>97</v>
      </c>
      <c r="C13" s="12">
        <f>Boq!G1067</f>
        <v>0</v>
      </c>
    </row>
    <row r="14" spans="1:6" ht="24.95" customHeight="1" x14ac:dyDescent="0.25">
      <c r="A14" s="10" t="s">
        <v>96</v>
      </c>
      <c r="B14" s="11" t="s">
        <v>99</v>
      </c>
      <c r="C14" s="12">
        <f>Boq!G1202</f>
        <v>0</v>
      </c>
    </row>
    <row r="15" spans="1:6" ht="24.95" customHeight="1" x14ac:dyDescent="0.25">
      <c r="A15" s="10" t="s">
        <v>98</v>
      </c>
      <c r="B15" s="11" t="s">
        <v>100</v>
      </c>
      <c r="C15" s="12">
        <f>Boq!G1423</f>
        <v>0</v>
      </c>
    </row>
    <row r="16" spans="1:6" ht="24.95" customHeight="1" x14ac:dyDescent="0.25">
      <c r="A16" s="10" t="s">
        <v>333</v>
      </c>
      <c r="B16" s="11" t="s">
        <v>334</v>
      </c>
      <c r="C16" s="12">
        <f>Boq!G1530</f>
        <v>0</v>
      </c>
      <c r="F16" s="16"/>
    </row>
    <row r="17" spans="1:6" ht="24.95" customHeight="1" x14ac:dyDescent="0.25">
      <c r="A17" s="10" t="s">
        <v>363</v>
      </c>
      <c r="B17" s="11" t="s">
        <v>553</v>
      </c>
      <c r="C17" s="12">
        <f>Boq!G1589</f>
        <v>0</v>
      </c>
      <c r="F17" s="16" t="e">
        <f>C20/#REF!</f>
        <v>#REF!</v>
      </c>
    </row>
    <row r="18" spans="1:6" ht="24.95" customHeight="1" x14ac:dyDescent="0.25">
      <c r="A18" s="10" t="s">
        <v>364</v>
      </c>
      <c r="B18" s="11" t="s">
        <v>365</v>
      </c>
      <c r="C18" s="12">
        <f>Boq!G1648</f>
        <v>0</v>
      </c>
    </row>
    <row r="19" spans="1:6" ht="24.95" customHeight="1" thickBot="1" x14ac:dyDescent="0.3">
      <c r="A19" s="10" t="s">
        <v>430</v>
      </c>
      <c r="B19" s="11" t="s">
        <v>366</v>
      </c>
      <c r="C19" s="12">
        <f>-Boq!G1707</f>
        <v>0</v>
      </c>
      <c r="F19" s="16">
        <f>C20*3%</f>
        <v>0</v>
      </c>
    </row>
    <row r="20" spans="1:6" ht="24.95" customHeight="1" thickTop="1" thickBot="1" x14ac:dyDescent="0.3">
      <c r="A20" s="13"/>
      <c r="B20" s="14" t="s">
        <v>330</v>
      </c>
      <c r="C20" s="15">
        <f>SUM(C5:C19)</f>
        <v>0</v>
      </c>
      <c r="F20" s="16">
        <f>C20*0.05</f>
        <v>0</v>
      </c>
    </row>
    <row r="21" spans="1:6" ht="24.95" customHeight="1" thickTop="1" thickBot="1" x14ac:dyDescent="0.3">
      <c r="A21" s="13"/>
      <c r="B21" s="14" t="s">
        <v>331</v>
      </c>
      <c r="C21" s="15">
        <f>C20*6%</f>
        <v>0</v>
      </c>
    </row>
    <row r="22" spans="1:6" ht="31.5" customHeight="1" thickTop="1" thickBot="1" x14ac:dyDescent="0.3">
      <c r="A22" s="13"/>
      <c r="B22" s="14" t="s">
        <v>332</v>
      </c>
      <c r="C22" s="1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07"/>
  <sheetViews>
    <sheetView tabSelected="1" view="pageBreakPreview" zoomScaleNormal="100" zoomScaleSheetLayoutView="100" workbookViewId="0">
      <selection activeCell="D5" sqref="D5"/>
    </sheetView>
  </sheetViews>
  <sheetFormatPr defaultRowHeight="12" x14ac:dyDescent="0.2"/>
  <cols>
    <col min="1" max="1" width="6.85546875" style="27" customWidth="1"/>
    <col min="2" max="2" width="37.85546875" style="28" customWidth="1"/>
    <col min="3" max="3" width="5.140625" style="29" customWidth="1"/>
    <col min="4" max="4" width="9.140625" style="30" customWidth="1"/>
    <col min="5" max="5" width="11.85546875" style="31" customWidth="1"/>
    <col min="6" max="7" width="11.5703125" style="32" customWidth="1"/>
    <col min="8" max="8" width="4.5703125" style="28" customWidth="1"/>
    <col min="9" max="9" width="14.42578125" style="28" customWidth="1"/>
    <col min="10" max="10" width="9.140625" style="28" customWidth="1"/>
    <col min="11" max="11" width="9" style="28" customWidth="1"/>
    <col min="12" max="12" width="9.42578125" style="28" customWidth="1"/>
    <col min="13" max="13" width="11.28515625" style="28" customWidth="1"/>
    <col min="14" max="14" width="9.28515625" style="28" customWidth="1"/>
    <col min="15" max="15" width="10.42578125" style="28" customWidth="1"/>
    <col min="16" max="16384" width="9.140625" style="28"/>
  </cols>
  <sheetData>
    <row r="1" spans="1:10" s="26" customFormat="1" ht="18.75" customHeight="1" x14ac:dyDescent="0.2">
      <c r="A1" s="419" t="s">
        <v>591</v>
      </c>
      <c r="B1" s="419"/>
      <c r="C1" s="419"/>
      <c r="D1" s="419"/>
      <c r="E1" s="419"/>
      <c r="F1" s="419"/>
      <c r="G1" s="419"/>
    </row>
    <row r="2" spans="1:10" ht="12.75" thickBot="1" x14ac:dyDescent="0.25"/>
    <row r="3" spans="1:10" s="39" customFormat="1" ht="24" x14ac:dyDescent="0.25">
      <c r="A3" s="33" t="s">
        <v>0</v>
      </c>
      <c r="B3" s="34" t="s">
        <v>1</v>
      </c>
      <c r="C3" s="34" t="s">
        <v>2</v>
      </c>
      <c r="D3" s="35" t="s">
        <v>3</v>
      </c>
      <c r="E3" s="36" t="s">
        <v>4</v>
      </c>
      <c r="F3" s="37" t="s">
        <v>5</v>
      </c>
      <c r="G3" s="38" t="s">
        <v>6</v>
      </c>
    </row>
    <row r="4" spans="1:10" s="39" customFormat="1" x14ac:dyDescent="0.2">
      <c r="A4" s="40"/>
      <c r="B4" s="41" t="s">
        <v>17</v>
      </c>
      <c r="C4" s="42"/>
      <c r="D4" s="43"/>
      <c r="E4" s="44"/>
      <c r="F4" s="45"/>
      <c r="G4" s="46"/>
      <c r="I4" s="47"/>
      <c r="J4" s="48"/>
    </row>
    <row r="5" spans="1:10" s="39" customFormat="1" x14ac:dyDescent="0.2">
      <c r="A5" s="40"/>
      <c r="B5" s="49" t="s">
        <v>18</v>
      </c>
      <c r="C5" s="42"/>
      <c r="D5" s="43"/>
      <c r="E5" s="44"/>
      <c r="F5" s="45"/>
      <c r="G5" s="46"/>
    </row>
    <row r="6" spans="1:10" s="39" customFormat="1" x14ac:dyDescent="0.2">
      <c r="A6" s="40"/>
      <c r="B6" s="50"/>
      <c r="C6" s="42"/>
      <c r="D6" s="43"/>
      <c r="E6" s="44"/>
      <c r="F6" s="45"/>
      <c r="G6" s="46"/>
    </row>
    <row r="7" spans="1:10" s="39" customFormat="1" x14ac:dyDescent="0.2">
      <c r="A7" s="40">
        <v>1.1000000000000001</v>
      </c>
      <c r="B7" s="51" t="s">
        <v>19</v>
      </c>
      <c r="C7" s="42"/>
      <c r="D7" s="43"/>
      <c r="E7" s="44"/>
      <c r="F7" s="45"/>
      <c r="G7" s="46"/>
    </row>
    <row r="8" spans="1:10" s="39" customFormat="1" x14ac:dyDescent="0.2">
      <c r="A8" s="52" t="s">
        <v>7</v>
      </c>
      <c r="B8" s="53" t="s">
        <v>20</v>
      </c>
      <c r="C8" s="42"/>
      <c r="D8" s="43"/>
      <c r="E8" s="44"/>
      <c r="F8" s="45"/>
      <c r="G8" s="46"/>
    </row>
    <row r="9" spans="1:10" s="39" customFormat="1" x14ac:dyDescent="0.2">
      <c r="A9" s="40"/>
      <c r="B9" s="54" t="s">
        <v>21</v>
      </c>
      <c r="C9" s="42"/>
      <c r="D9" s="43"/>
      <c r="E9" s="44"/>
      <c r="F9" s="45"/>
      <c r="G9" s="46"/>
    </row>
    <row r="10" spans="1:10" s="39" customFormat="1" x14ac:dyDescent="0.2">
      <c r="A10" s="40"/>
      <c r="B10" s="54" t="s">
        <v>22</v>
      </c>
      <c r="C10" s="42"/>
      <c r="D10" s="43"/>
      <c r="E10" s="44"/>
      <c r="F10" s="45"/>
      <c r="G10" s="46"/>
    </row>
    <row r="11" spans="1:10" s="39" customFormat="1" x14ac:dyDescent="0.2">
      <c r="A11" s="40"/>
      <c r="B11" s="54" t="s">
        <v>23</v>
      </c>
      <c r="C11" s="42"/>
      <c r="D11" s="43"/>
      <c r="E11" s="44"/>
      <c r="F11" s="45"/>
      <c r="G11" s="46"/>
    </row>
    <row r="12" spans="1:10" s="39" customFormat="1" x14ac:dyDescent="0.2">
      <c r="A12" s="40"/>
      <c r="B12" s="54" t="s">
        <v>24</v>
      </c>
      <c r="C12" s="42"/>
      <c r="D12" s="43"/>
      <c r="E12" s="44"/>
      <c r="F12" s="45"/>
      <c r="G12" s="46"/>
    </row>
    <row r="13" spans="1:10" s="39" customFormat="1" x14ac:dyDescent="0.2">
      <c r="A13" s="40"/>
      <c r="B13" s="54" t="s">
        <v>21</v>
      </c>
      <c r="C13" s="42"/>
      <c r="D13" s="43"/>
      <c r="E13" s="44"/>
      <c r="F13" s="45"/>
      <c r="G13" s="46"/>
    </row>
    <row r="14" spans="1:10" s="39" customFormat="1" x14ac:dyDescent="0.2">
      <c r="A14" s="40"/>
      <c r="B14" s="54" t="s">
        <v>25</v>
      </c>
      <c r="C14" s="42"/>
      <c r="D14" s="43"/>
      <c r="E14" s="44"/>
      <c r="F14" s="45"/>
      <c r="G14" s="46"/>
    </row>
    <row r="15" spans="1:10" s="39" customFormat="1" x14ac:dyDescent="0.2">
      <c r="A15" s="40"/>
      <c r="B15" s="54" t="s">
        <v>26</v>
      </c>
      <c r="C15" s="42"/>
      <c r="D15" s="43"/>
      <c r="E15" s="44"/>
      <c r="F15" s="45"/>
      <c r="G15" s="46"/>
    </row>
    <row r="16" spans="1:10" s="39" customFormat="1" x14ac:dyDescent="0.2">
      <c r="A16" s="40"/>
      <c r="B16" s="54" t="s">
        <v>27</v>
      </c>
      <c r="C16" s="42"/>
      <c r="D16" s="43"/>
      <c r="E16" s="44"/>
      <c r="F16" s="45"/>
      <c r="G16" s="46"/>
    </row>
    <row r="17" spans="1:7" s="39" customFormat="1" x14ac:dyDescent="0.2">
      <c r="A17" s="40"/>
      <c r="B17" s="54" t="s">
        <v>28</v>
      </c>
      <c r="C17" s="42"/>
      <c r="D17" s="43"/>
      <c r="E17" s="44"/>
      <c r="F17" s="45"/>
      <c r="G17" s="46"/>
    </row>
    <row r="18" spans="1:7" s="39" customFormat="1" x14ac:dyDescent="0.2">
      <c r="A18" s="40"/>
      <c r="B18" s="54" t="s">
        <v>29</v>
      </c>
      <c r="C18" s="42"/>
      <c r="D18" s="43"/>
      <c r="E18" s="44"/>
      <c r="F18" s="45"/>
      <c r="G18" s="46"/>
    </row>
    <row r="19" spans="1:7" s="39" customFormat="1" x14ac:dyDescent="0.2">
      <c r="A19" s="40"/>
      <c r="B19" s="54" t="s">
        <v>30</v>
      </c>
      <c r="C19" s="42"/>
      <c r="D19" s="43"/>
      <c r="E19" s="44"/>
      <c r="F19" s="45"/>
      <c r="G19" s="46"/>
    </row>
    <row r="20" spans="1:7" s="39" customFormat="1" x14ac:dyDescent="0.2">
      <c r="A20" s="40"/>
      <c r="B20" s="54"/>
      <c r="C20" s="42"/>
      <c r="D20" s="43"/>
      <c r="E20" s="44"/>
      <c r="F20" s="45"/>
      <c r="G20" s="46"/>
    </row>
    <row r="21" spans="1:7" s="39" customFormat="1" x14ac:dyDescent="0.2">
      <c r="A21" s="52">
        <v>1.2</v>
      </c>
      <c r="B21" s="55" t="s">
        <v>31</v>
      </c>
      <c r="C21" s="56"/>
      <c r="D21" s="57"/>
      <c r="E21" s="44"/>
      <c r="F21" s="45"/>
      <c r="G21" s="46"/>
    </row>
    <row r="22" spans="1:7" s="39" customFormat="1" ht="60.75" customHeight="1" x14ac:dyDescent="0.2">
      <c r="A22" s="40" t="s">
        <v>7</v>
      </c>
      <c r="B22" s="58" t="s">
        <v>217</v>
      </c>
      <c r="C22" s="56" t="s">
        <v>0</v>
      </c>
      <c r="D22" s="57">
        <v>1</v>
      </c>
      <c r="E22" s="44"/>
      <c r="F22" s="59"/>
      <c r="G22" s="60">
        <f t="shared" ref="G22:G32" si="0">(D22*E22)+(D22*F22)</f>
        <v>0</v>
      </c>
    </row>
    <row r="23" spans="1:7" s="39" customFormat="1" x14ac:dyDescent="0.2">
      <c r="A23" s="52"/>
      <c r="B23" s="58"/>
      <c r="C23" s="56"/>
      <c r="D23" s="57"/>
      <c r="E23" s="44"/>
      <c r="F23" s="59"/>
      <c r="G23" s="60">
        <f t="shared" si="0"/>
        <v>0</v>
      </c>
    </row>
    <row r="24" spans="1:7" s="39" customFormat="1" x14ac:dyDescent="0.2">
      <c r="A24" s="40">
        <v>1.3</v>
      </c>
      <c r="B24" s="55" t="s">
        <v>32</v>
      </c>
      <c r="C24" s="56"/>
      <c r="D24" s="57"/>
      <c r="E24" s="44"/>
      <c r="F24" s="59"/>
      <c r="G24" s="60">
        <f t="shared" si="0"/>
        <v>0</v>
      </c>
    </row>
    <row r="25" spans="1:7" s="39" customFormat="1" x14ac:dyDescent="0.2">
      <c r="A25" s="40" t="s">
        <v>7</v>
      </c>
      <c r="B25" s="61" t="s">
        <v>33</v>
      </c>
      <c r="C25" s="56" t="s">
        <v>34</v>
      </c>
      <c r="D25" s="57">
        <v>1</v>
      </c>
      <c r="E25" s="44"/>
      <c r="F25" s="59"/>
      <c r="G25" s="60">
        <f t="shared" si="0"/>
        <v>0</v>
      </c>
    </row>
    <row r="26" spans="1:7" s="39" customFormat="1" x14ac:dyDescent="0.2">
      <c r="A26" s="40"/>
      <c r="B26" s="61"/>
      <c r="C26" s="56"/>
      <c r="D26" s="57"/>
      <c r="E26" s="44"/>
      <c r="F26" s="59"/>
      <c r="G26" s="60">
        <f t="shared" si="0"/>
        <v>0</v>
      </c>
    </row>
    <row r="27" spans="1:7" s="39" customFormat="1" ht="12.75" x14ac:dyDescent="0.2">
      <c r="A27" s="374">
        <v>1.4</v>
      </c>
      <c r="B27" s="375" t="s">
        <v>419</v>
      </c>
      <c r="C27" s="376"/>
      <c r="D27" s="377"/>
      <c r="E27" s="378"/>
      <c r="F27" s="378">
        <f t="shared" ref="F27" si="1">E27*C27</f>
        <v>0</v>
      </c>
      <c r="G27" s="379">
        <f t="shared" si="0"/>
        <v>0</v>
      </c>
    </row>
    <row r="28" spans="1:7" s="39" customFormat="1" ht="92.25" customHeight="1" x14ac:dyDescent="0.2">
      <c r="A28" s="380"/>
      <c r="B28" s="381" t="s">
        <v>420</v>
      </c>
      <c r="C28" s="382" t="s">
        <v>15</v>
      </c>
      <c r="D28" s="57">
        <v>1</v>
      </c>
      <c r="E28" s="383"/>
      <c r="F28" s="383"/>
      <c r="G28" s="60">
        <f t="shared" si="0"/>
        <v>0</v>
      </c>
    </row>
    <row r="29" spans="1:7" s="39" customFormat="1" x14ac:dyDescent="0.2">
      <c r="A29" s="40"/>
      <c r="B29" s="61"/>
      <c r="C29" s="56"/>
      <c r="D29" s="57"/>
      <c r="E29" s="44"/>
      <c r="F29" s="59"/>
      <c r="G29" s="60"/>
    </row>
    <row r="30" spans="1:7" s="39" customFormat="1" x14ac:dyDescent="0.2">
      <c r="A30" s="63" t="s">
        <v>174</v>
      </c>
      <c r="B30" s="64" t="s">
        <v>421</v>
      </c>
      <c r="C30" s="65"/>
      <c r="D30" s="66"/>
      <c r="E30" s="44"/>
      <c r="F30" s="59"/>
      <c r="G30" s="60">
        <f t="shared" si="0"/>
        <v>0</v>
      </c>
    </row>
    <row r="31" spans="1:7" s="39" customFormat="1" ht="51" customHeight="1" x14ac:dyDescent="0.2">
      <c r="A31" s="40" t="s">
        <v>7</v>
      </c>
      <c r="B31" s="67" t="s">
        <v>422</v>
      </c>
      <c r="C31" s="56" t="s">
        <v>0</v>
      </c>
      <c r="D31" s="57">
        <v>1</v>
      </c>
      <c r="E31" s="44"/>
      <c r="F31" s="59"/>
      <c r="G31" s="60">
        <f t="shared" si="0"/>
        <v>0</v>
      </c>
    </row>
    <row r="32" spans="1:7" s="39" customFormat="1" x14ac:dyDescent="0.2">
      <c r="A32" s="52"/>
      <c r="B32" s="67"/>
      <c r="C32" s="56"/>
      <c r="D32" s="57"/>
      <c r="E32" s="44"/>
      <c r="F32" s="45"/>
      <c r="G32" s="60">
        <f t="shared" si="0"/>
        <v>0</v>
      </c>
    </row>
    <row r="33" spans="1:7" s="39" customFormat="1" x14ac:dyDescent="0.2">
      <c r="A33" s="63" t="s">
        <v>418</v>
      </c>
      <c r="B33" s="64" t="s">
        <v>35</v>
      </c>
      <c r="C33" s="65"/>
      <c r="D33" s="66"/>
      <c r="E33" s="44"/>
      <c r="F33" s="59"/>
      <c r="G33" s="60">
        <f t="shared" ref="G33:G34" si="2">(D33*E33)+(D33*F33)</f>
        <v>0</v>
      </c>
    </row>
    <row r="34" spans="1:7" s="39" customFormat="1" ht="24" x14ac:dyDescent="0.2">
      <c r="A34" s="40" t="s">
        <v>7</v>
      </c>
      <c r="B34" s="67" t="s">
        <v>36</v>
      </c>
      <c r="C34" s="56" t="s">
        <v>0</v>
      </c>
      <c r="D34" s="57">
        <v>1</v>
      </c>
      <c r="E34" s="44"/>
      <c r="F34" s="59"/>
      <c r="G34" s="60">
        <f t="shared" si="2"/>
        <v>0</v>
      </c>
    </row>
    <row r="35" spans="1:7" s="39" customFormat="1" x14ac:dyDescent="0.2">
      <c r="A35" s="52"/>
      <c r="B35" s="67"/>
      <c r="C35" s="56"/>
      <c r="D35" s="57"/>
      <c r="E35" s="44"/>
      <c r="F35" s="45"/>
      <c r="G35" s="46"/>
    </row>
    <row r="36" spans="1:7" s="39" customFormat="1" x14ac:dyDescent="0.2">
      <c r="A36" s="52"/>
      <c r="B36" s="67"/>
      <c r="C36" s="56"/>
      <c r="D36" s="57"/>
      <c r="E36" s="44"/>
      <c r="F36" s="45"/>
      <c r="G36" s="46"/>
    </row>
    <row r="37" spans="1:7" s="39" customFormat="1" x14ac:dyDescent="0.2">
      <c r="A37" s="52"/>
      <c r="B37" s="67"/>
      <c r="C37" s="56"/>
      <c r="D37" s="57"/>
      <c r="E37" s="44"/>
      <c r="F37" s="45"/>
      <c r="G37" s="46"/>
    </row>
    <row r="38" spans="1:7" s="39" customFormat="1" x14ac:dyDescent="0.2">
      <c r="A38" s="52"/>
      <c r="B38" s="67"/>
      <c r="C38" s="56"/>
      <c r="D38" s="57"/>
      <c r="E38" s="44"/>
      <c r="F38" s="45"/>
      <c r="G38" s="46"/>
    </row>
    <row r="39" spans="1:7" s="39" customFormat="1" x14ac:dyDescent="0.2">
      <c r="A39" s="52"/>
      <c r="B39" s="67"/>
      <c r="C39" s="56"/>
      <c r="D39" s="57"/>
      <c r="E39" s="44"/>
      <c r="F39" s="45"/>
      <c r="G39" s="46"/>
    </row>
    <row r="40" spans="1:7" s="39" customFormat="1" x14ac:dyDescent="0.2">
      <c r="A40" s="52"/>
      <c r="B40" s="67"/>
      <c r="C40" s="56"/>
      <c r="D40" s="57"/>
      <c r="E40" s="44"/>
      <c r="F40" s="45"/>
      <c r="G40" s="46"/>
    </row>
    <row r="41" spans="1:7" s="39" customFormat="1" x14ac:dyDescent="0.2">
      <c r="A41" s="52"/>
      <c r="B41" s="67"/>
      <c r="C41" s="56"/>
      <c r="D41" s="57"/>
      <c r="E41" s="44"/>
      <c r="F41" s="45"/>
      <c r="G41" s="46"/>
    </row>
    <row r="42" spans="1:7" s="39" customFormat="1" ht="12.75" thickBot="1" x14ac:dyDescent="0.25">
      <c r="A42" s="52"/>
      <c r="B42" s="67"/>
      <c r="C42" s="56"/>
      <c r="D42" s="57"/>
      <c r="E42" s="44"/>
      <c r="F42" s="45"/>
      <c r="G42" s="46"/>
    </row>
    <row r="43" spans="1:7" s="39" customFormat="1" x14ac:dyDescent="0.2">
      <c r="A43" s="68"/>
      <c r="B43" s="69" t="s">
        <v>37</v>
      </c>
      <c r="C43" s="70"/>
      <c r="D43" s="71"/>
      <c r="E43" s="72"/>
      <c r="F43" s="37"/>
      <c r="G43" s="38"/>
    </row>
    <row r="44" spans="1:7" s="39" customFormat="1" ht="12.75" thickBot="1" x14ac:dyDescent="0.25">
      <c r="A44" s="73"/>
      <c r="B44" s="74" t="s">
        <v>38</v>
      </c>
      <c r="C44" s="75"/>
      <c r="D44" s="76"/>
      <c r="E44" s="77"/>
      <c r="F44" s="78"/>
      <c r="G44" s="79">
        <f>SUM(G22:G43)</f>
        <v>0</v>
      </c>
    </row>
    <row r="45" spans="1:7" s="39" customFormat="1" x14ac:dyDescent="0.2">
      <c r="A45" s="40"/>
      <c r="B45" s="80"/>
      <c r="C45" s="81"/>
      <c r="D45" s="57"/>
      <c r="E45" s="44"/>
      <c r="F45" s="45"/>
      <c r="G45" s="46"/>
    </row>
    <row r="46" spans="1:7" s="39" customFormat="1" x14ac:dyDescent="0.2">
      <c r="A46" s="40"/>
      <c r="B46" s="49" t="s">
        <v>39</v>
      </c>
      <c r="C46" s="42"/>
      <c r="D46" s="43"/>
      <c r="E46" s="44"/>
      <c r="F46" s="45"/>
      <c r="G46" s="46"/>
    </row>
    <row r="47" spans="1:7" s="39" customFormat="1" x14ac:dyDescent="0.2">
      <c r="A47" s="40"/>
      <c r="B47" s="49" t="s">
        <v>40</v>
      </c>
      <c r="C47" s="42"/>
      <c r="D47" s="43"/>
      <c r="E47" s="44"/>
      <c r="F47" s="45"/>
      <c r="G47" s="46"/>
    </row>
    <row r="48" spans="1:7" s="39" customFormat="1" x14ac:dyDescent="0.2">
      <c r="A48" s="40">
        <v>2.1</v>
      </c>
      <c r="B48" s="51" t="s">
        <v>41</v>
      </c>
      <c r="C48" s="42"/>
      <c r="D48" s="43"/>
      <c r="E48" s="44"/>
      <c r="F48" s="45"/>
      <c r="G48" s="46"/>
    </row>
    <row r="49" spans="1:13" s="39" customFormat="1" ht="65.25" customHeight="1" x14ac:dyDescent="0.2">
      <c r="A49" s="40"/>
      <c r="B49" s="82" t="s">
        <v>218</v>
      </c>
      <c r="C49" s="83"/>
      <c r="D49" s="83"/>
      <c r="E49" s="83"/>
      <c r="F49" s="83"/>
      <c r="G49" s="84"/>
    </row>
    <row r="50" spans="1:13" s="39" customFormat="1" x14ac:dyDescent="0.25">
      <c r="A50" s="85"/>
      <c r="B50" s="86"/>
      <c r="C50" s="86"/>
      <c r="D50" s="87"/>
      <c r="E50" s="88"/>
      <c r="F50" s="86"/>
      <c r="G50" s="89"/>
    </row>
    <row r="51" spans="1:13" s="39" customFormat="1" x14ac:dyDescent="0.2">
      <c r="A51" s="40" t="s">
        <v>10</v>
      </c>
      <c r="B51" s="90" t="s">
        <v>60</v>
      </c>
      <c r="C51" s="56"/>
      <c r="D51" s="91"/>
      <c r="E51" s="92"/>
      <c r="F51" s="59"/>
      <c r="G51" s="60">
        <f t="shared" ref="G51:G61" si="3">(D51*E51)+(D51*F51)</f>
        <v>0</v>
      </c>
    </row>
    <row r="52" spans="1:13" s="39" customFormat="1" ht="48.75" customHeight="1" x14ac:dyDescent="0.2">
      <c r="A52" s="40"/>
      <c r="B52" s="58" t="s">
        <v>61</v>
      </c>
      <c r="C52" s="56" t="s">
        <v>44</v>
      </c>
      <c r="D52" s="93">
        <v>590</v>
      </c>
      <c r="E52" s="44"/>
      <c r="F52" s="59"/>
      <c r="G52" s="60">
        <f t="shared" si="3"/>
        <v>0</v>
      </c>
      <c r="I52" s="39">
        <f>36*14.05</f>
        <v>505.8</v>
      </c>
    </row>
    <row r="53" spans="1:13" s="39" customFormat="1" x14ac:dyDescent="0.2">
      <c r="A53" s="40"/>
      <c r="B53" s="58"/>
      <c r="C53" s="56"/>
      <c r="D53" s="93"/>
      <c r="E53" s="44"/>
      <c r="F53" s="59"/>
      <c r="G53" s="60">
        <f t="shared" si="3"/>
        <v>0</v>
      </c>
    </row>
    <row r="54" spans="1:13" s="39" customFormat="1" x14ac:dyDescent="0.2">
      <c r="A54" s="40" t="s">
        <v>16</v>
      </c>
      <c r="B54" s="94" t="s">
        <v>42</v>
      </c>
      <c r="C54" s="56"/>
      <c r="D54" s="95"/>
      <c r="E54" s="44"/>
      <c r="F54" s="59"/>
      <c r="G54" s="60">
        <f t="shared" si="3"/>
        <v>0</v>
      </c>
    </row>
    <row r="55" spans="1:13" s="39" customFormat="1" ht="51" customHeight="1" x14ac:dyDescent="0.2">
      <c r="A55" s="40"/>
      <c r="B55" s="96" t="s">
        <v>43</v>
      </c>
      <c r="C55" s="56" t="s">
        <v>44</v>
      </c>
      <c r="D55" s="95"/>
      <c r="E55" s="44"/>
      <c r="F55" s="59"/>
      <c r="G55" s="60">
        <f t="shared" si="3"/>
        <v>0</v>
      </c>
      <c r="I55" s="39">
        <f>16.336*8.75</f>
        <v>142.94</v>
      </c>
    </row>
    <row r="56" spans="1:13" s="39" customFormat="1" x14ac:dyDescent="0.2">
      <c r="A56" s="40"/>
      <c r="B56" s="97"/>
      <c r="C56" s="56"/>
      <c r="D56" s="57"/>
      <c r="E56" s="44"/>
      <c r="F56" s="59"/>
      <c r="G56" s="60">
        <f t="shared" si="3"/>
        <v>0</v>
      </c>
    </row>
    <row r="57" spans="1:13" s="39" customFormat="1" x14ac:dyDescent="0.2">
      <c r="A57" s="40" t="s">
        <v>48</v>
      </c>
      <c r="B57" s="98" t="s">
        <v>45</v>
      </c>
      <c r="C57" s="56"/>
      <c r="D57" s="57"/>
      <c r="E57" s="44"/>
      <c r="F57" s="59"/>
      <c r="G57" s="60">
        <f t="shared" si="3"/>
        <v>0</v>
      </c>
    </row>
    <row r="58" spans="1:13" s="39" customFormat="1" ht="59.25" customHeight="1" x14ac:dyDescent="0.2">
      <c r="A58" s="85"/>
      <c r="B58" s="99" t="s">
        <v>46</v>
      </c>
      <c r="C58" s="99"/>
      <c r="D58" s="99"/>
      <c r="E58" s="99"/>
      <c r="F58" s="59"/>
      <c r="G58" s="60">
        <f t="shared" si="3"/>
        <v>0</v>
      </c>
    </row>
    <row r="59" spans="1:13" s="39" customFormat="1" ht="12.75" customHeight="1" x14ac:dyDescent="0.2">
      <c r="A59" s="40" t="s">
        <v>50</v>
      </c>
      <c r="B59" s="100" t="s">
        <v>45</v>
      </c>
      <c r="C59" s="56"/>
      <c r="D59" s="57"/>
      <c r="E59" s="44"/>
      <c r="F59" s="59"/>
      <c r="G59" s="60">
        <f t="shared" si="3"/>
        <v>0</v>
      </c>
      <c r="J59" s="351"/>
      <c r="K59" s="29"/>
      <c r="L59" s="29"/>
      <c r="M59" s="29"/>
    </row>
    <row r="60" spans="1:13" s="29" customFormat="1" x14ac:dyDescent="0.2">
      <c r="A60" s="101" t="s">
        <v>7</v>
      </c>
      <c r="B60" s="102" t="s">
        <v>207</v>
      </c>
      <c r="C60" s="56" t="s">
        <v>47</v>
      </c>
      <c r="D60" s="57">
        <v>272.10000000000002</v>
      </c>
      <c r="E60" s="44"/>
      <c r="F60" s="103"/>
      <c r="G60" s="104">
        <f t="shared" si="3"/>
        <v>0</v>
      </c>
      <c r="J60" s="351"/>
    </row>
    <row r="61" spans="1:13" s="39" customFormat="1" x14ac:dyDescent="0.2">
      <c r="A61" s="40"/>
      <c r="B61" s="105"/>
      <c r="C61" s="56"/>
      <c r="D61" s="57"/>
      <c r="E61" s="44"/>
      <c r="F61" s="45"/>
      <c r="G61" s="60">
        <f t="shared" si="3"/>
        <v>0</v>
      </c>
    </row>
    <row r="62" spans="1:13" s="39" customFormat="1" x14ac:dyDescent="0.2">
      <c r="A62" s="40" t="s">
        <v>48</v>
      </c>
      <c r="B62" s="106" t="s">
        <v>49</v>
      </c>
      <c r="C62" s="56"/>
      <c r="D62" s="57"/>
      <c r="E62" s="44"/>
      <c r="F62" s="45"/>
      <c r="G62" s="46"/>
    </row>
    <row r="63" spans="1:13" s="39" customFormat="1" ht="25.5" customHeight="1" x14ac:dyDescent="0.25">
      <c r="A63" s="40"/>
      <c r="B63" s="107" t="s">
        <v>238</v>
      </c>
      <c r="C63" s="108"/>
      <c r="D63" s="108"/>
      <c r="E63" s="108"/>
      <c r="F63" s="45"/>
      <c r="G63" s="46"/>
    </row>
    <row r="64" spans="1:13" s="39" customFormat="1" ht="25.5" customHeight="1" x14ac:dyDescent="0.25">
      <c r="A64" s="40"/>
      <c r="B64" s="67" t="s">
        <v>239</v>
      </c>
      <c r="C64" s="109"/>
      <c r="D64" s="109"/>
      <c r="E64" s="109"/>
      <c r="F64" s="45"/>
      <c r="G64" s="46"/>
    </row>
    <row r="65" spans="1:10" s="39" customFormat="1" ht="24" x14ac:dyDescent="0.2">
      <c r="A65" s="40" t="s">
        <v>164</v>
      </c>
      <c r="B65" s="110" t="s">
        <v>274</v>
      </c>
      <c r="C65" s="56" t="s">
        <v>44</v>
      </c>
      <c r="D65" s="93">
        <v>344.54</v>
      </c>
      <c r="E65" s="44"/>
      <c r="F65" s="59"/>
      <c r="G65" s="60">
        <f t="shared" ref="G65:G70" si="4">(D65*E65)+(D65*F65)</f>
        <v>0</v>
      </c>
      <c r="I65" s="39">
        <f>32.2*10.7</f>
        <v>344.54</v>
      </c>
    </row>
    <row r="66" spans="1:10" s="39" customFormat="1" ht="38.25" customHeight="1" x14ac:dyDescent="0.2">
      <c r="A66" s="40" t="s">
        <v>165</v>
      </c>
      <c r="B66" s="110" t="s">
        <v>275</v>
      </c>
      <c r="C66" s="56" t="s">
        <v>44</v>
      </c>
      <c r="D66" s="93">
        <f>D65</f>
        <v>344.54</v>
      </c>
      <c r="E66" s="44"/>
      <c r="F66" s="59"/>
      <c r="G66" s="60">
        <f t="shared" si="4"/>
        <v>0</v>
      </c>
    </row>
    <row r="67" spans="1:10" s="39" customFormat="1" x14ac:dyDescent="0.2">
      <c r="A67" s="40">
        <v>2.5</v>
      </c>
      <c r="B67" s="98" t="s">
        <v>51</v>
      </c>
      <c r="C67" s="56"/>
      <c r="D67" s="57"/>
      <c r="E67" s="44"/>
      <c r="F67" s="59"/>
      <c r="G67" s="60">
        <f t="shared" si="4"/>
        <v>0</v>
      </c>
    </row>
    <row r="68" spans="1:10" s="39" customFormat="1" ht="27" customHeight="1" x14ac:dyDescent="0.2">
      <c r="A68" s="40"/>
      <c r="B68" s="111" t="s">
        <v>52</v>
      </c>
      <c r="C68" s="56"/>
      <c r="D68" s="57"/>
      <c r="E68" s="44"/>
      <c r="F68" s="59"/>
      <c r="G68" s="60">
        <f t="shared" si="4"/>
        <v>0</v>
      </c>
    </row>
    <row r="69" spans="1:10" s="39" customFormat="1" ht="24" x14ac:dyDescent="0.2">
      <c r="A69" s="40" t="s">
        <v>164</v>
      </c>
      <c r="B69" s="111" t="s">
        <v>53</v>
      </c>
      <c r="C69" s="56" t="s">
        <v>44</v>
      </c>
      <c r="D69" s="57">
        <f>D90+320</f>
        <v>508.76</v>
      </c>
      <c r="E69" s="44"/>
      <c r="F69" s="59"/>
      <c r="G69" s="60">
        <f t="shared" si="4"/>
        <v>0</v>
      </c>
      <c r="I69" s="112"/>
      <c r="J69" s="112"/>
    </row>
    <row r="70" spans="1:10" s="39" customFormat="1" x14ac:dyDescent="0.2">
      <c r="A70" s="40"/>
      <c r="B70" s="111"/>
      <c r="C70" s="56"/>
      <c r="D70" s="57"/>
      <c r="E70" s="44"/>
      <c r="F70" s="45"/>
      <c r="G70" s="60">
        <f t="shared" si="4"/>
        <v>0</v>
      </c>
      <c r="I70" s="112"/>
    </row>
    <row r="71" spans="1:10" s="39" customFormat="1" x14ac:dyDescent="0.2">
      <c r="A71" s="40"/>
      <c r="B71" s="111"/>
      <c r="C71" s="56"/>
      <c r="D71" s="57"/>
      <c r="E71" s="44"/>
      <c r="F71" s="45"/>
      <c r="G71" s="46"/>
    </row>
    <row r="72" spans="1:10" s="39" customFormat="1" x14ac:dyDescent="0.2">
      <c r="A72" s="40"/>
      <c r="B72" s="111"/>
      <c r="C72" s="56"/>
      <c r="D72" s="57"/>
      <c r="E72" s="44"/>
      <c r="F72" s="45"/>
      <c r="G72" s="46"/>
    </row>
    <row r="73" spans="1:10" s="39" customFormat="1" x14ac:dyDescent="0.2">
      <c r="A73" s="40"/>
      <c r="B73" s="111"/>
      <c r="C73" s="56"/>
      <c r="D73" s="57"/>
      <c r="E73" s="44"/>
      <c r="F73" s="45"/>
      <c r="G73" s="46"/>
    </row>
    <row r="74" spans="1:10" s="39" customFormat="1" x14ac:dyDescent="0.2">
      <c r="A74" s="40"/>
      <c r="B74" s="111"/>
      <c r="C74" s="56"/>
      <c r="D74" s="57"/>
      <c r="E74" s="44"/>
      <c r="F74" s="45"/>
      <c r="G74" s="46"/>
    </row>
    <row r="75" spans="1:10" s="39" customFormat="1" x14ac:dyDescent="0.2">
      <c r="A75" s="40"/>
      <c r="B75" s="111"/>
      <c r="C75" s="56"/>
      <c r="D75" s="57"/>
      <c r="E75" s="44"/>
      <c r="F75" s="45"/>
      <c r="G75" s="46"/>
    </row>
    <row r="76" spans="1:10" s="39" customFormat="1" x14ac:dyDescent="0.2">
      <c r="A76" s="40"/>
      <c r="B76" s="111"/>
      <c r="C76" s="56"/>
      <c r="D76" s="57"/>
      <c r="E76" s="44"/>
      <c r="F76" s="45"/>
      <c r="G76" s="46"/>
    </row>
    <row r="77" spans="1:10" s="39" customFormat="1" ht="12.75" thickBot="1" x14ac:dyDescent="0.25">
      <c r="A77" s="40"/>
      <c r="B77" s="111"/>
      <c r="C77" s="56"/>
      <c r="D77" s="57"/>
      <c r="E77" s="44"/>
      <c r="F77" s="45"/>
      <c r="G77" s="46"/>
    </row>
    <row r="78" spans="1:10" s="39" customFormat="1" x14ac:dyDescent="0.2">
      <c r="A78" s="40"/>
      <c r="B78" s="111"/>
      <c r="C78" s="56"/>
      <c r="D78" s="57"/>
      <c r="E78" s="44"/>
      <c r="F78" s="45"/>
      <c r="G78" s="46"/>
    </row>
    <row r="79" spans="1:10" s="39" customFormat="1" ht="12.75" thickBot="1" x14ac:dyDescent="0.25">
      <c r="A79" s="40"/>
      <c r="B79" s="111"/>
      <c r="C79" s="56"/>
      <c r="D79" s="57"/>
      <c r="E79" s="44"/>
      <c r="F79" s="45"/>
      <c r="G79" s="46"/>
    </row>
    <row r="80" spans="1:10" s="39" customFormat="1" x14ac:dyDescent="0.2">
      <c r="A80" s="68"/>
      <c r="B80" s="69" t="s">
        <v>54</v>
      </c>
      <c r="C80" s="113"/>
      <c r="D80" s="71"/>
      <c r="E80" s="72"/>
      <c r="F80" s="37"/>
      <c r="G80" s="38"/>
    </row>
    <row r="81" spans="1:18" s="39" customFormat="1" ht="12.75" thickBot="1" x14ac:dyDescent="0.25">
      <c r="A81" s="73"/>
      <c r="B81" s="74" t="s">
        <v>55</v>
      </c>
      <c r="C81" s="114"/>
      <c r="D81" s="76"/>
      <c r="E81" s="77"/>
      <c r="F81" s="78"/>
      <c r="G81" s="79">
        <f>SUM(G52:G80)</f>
        <v>0</v>
      </c>
    </row>
    <row r="82" spans="1:18" s="39" customFormat="1" x14ac:dyDescent="0.2">
      <c r="A82" s="40"/>
      <c r="B82" s="80"/>
      <c r="C82" s="56"/>
      <c r="D82" s="57"/>
      <c r="E82" s="44"/>
      <c r="F82" s="45"/>
      <c r="G82" s="115"/>
    </row>
    <row r="83" spans="1:18" s="39" customFormat="1" x14ac:dyDescent="0.2">
      <c r="A83" s="40"/>
      <c r="B83" s="49" t="s">
        <v>56</v>
      </c>
      <c r="C83" s="56"/>
      <c r="D83" s="57"/>
      <c r="E83" s="44"/>
      <c r="F83" s="45"/>
      <c r="G83" s="46"/>
    </row>
    <row r="84" spans="1:18" s="39" customFormat="1" x14ac:dyDescent="0.2">
      <c r="A84" s="40" t="s">
        <v>57</v>
      </c>
      <c r="B84" s="116" t="s">
        <v>58</v>
      </c>
      <c r="C84" s="56"/>
      <c r="D84" s="57"/>
      <c r="E84" s="44"/>
      <c r="F84" s="45"/>
      <c r="G84" s="46"/>
    </row>
    <row r="85" spans="1:18" s="39" customFormat="1" ht="58.5" customHeight="1" x14ac:dyDescent="0.25">
      <c r="A85" s="40"/>
      <c r="B85" s="107" t="s">
        <v>220</v>
      </c>
      <c r="C85" s="108"/>
      <c r="D85" s="108"/>
      <c r="E85" s="108"/>
      <c r="F85" s="108"/>
      <c r="G85" s="117"/>
    </row>
    <row r="86" spans="1:18" s="39" customFormat="1" ht="35.25" customHeight="1" x14ac:dyDescent="0.25">
      <c r="A86" s="40"/>
      <c r="B86" s="107" t="s">
        <v>219</v>
      </c>
      <c r="C86" s="108"/>
      <c r="D86" s="108"/>
      <c r="E86" s="108"/>
      <c r="F86" s="108"/>
      <c r="G86" s="117"/>
    </row>
    <row r="87" spans="1:18" s="39" customFormat="1" ht="36" customHeight="1" x14ac:dyDescent="0.25">
      <c r="A87" s="40"/>
      <c r="B87" s="107" t="s">
        <v>158</v>
      </c>
      <c r="C87" s="108"/>
      <c r="D87" s="108"/>
      <c r="E87" s="108"/>
      <c r="F87" s="108"/>
      <c r="G87" s="117"/>
    </row>
    <row r="88" spans="1:18" s="39" customFormat="1" ht="15" customHeight="1" x14ac:dyDescent="0.2">
      <c r="A88" s="118" t="s">
        <v>62</v>
      </c>
      <c r="B88" s="119" t="s">
        <v>63</v>
      </c>
      <c r="C88" s="120"/>
      <c r="D88" s="121"/>
      <c r="E88" s="122"/>
      <c r="F88" s="123"/>
      <c r="G88" s="124"/>
    </row>
    <row r="89" spans="1:18" s="128" customFormat="1" ht="14.25" customHeight="1" x14ac:dyDescent="0.25">
      <c r="A89" s="63"/>
      <c r="B89" s="98" t="s">
        <v>257</v>
      </c>
      <c r="C89" s="65"/>
      <c r="D89" s="66"/>
      <c r="E89" s="125"/>
      <c r="F89" s="126"/>
      <c r="G89" s="127"/>
      <c r="I89" s="39"/>
      <c r="J89" s="39"/>
      <c r="K89" s="39"/>
      <c r="L89" s="39"/>
      <c r="M89" s="39"/>
      <c r="N89" s="39"/>
      <c r="O89" s="39"/>
      <c r="P89" s="39"/>
      <c r="Q89" s="39"/>
      <c r="R89" s="39"/>
    </row>
    <row r="90" spans="1:18" s="39" customFormat="1" ht="12" customHeight="1" x14ac:dyDescent="0.2">
      <c r="A90" s="40"/>
      <c r="B90" s="105" t="s">
        <v>269</v>
      </c>
      <c r="C90" s="56" t="s">
        <v>44</v>
      </c>
      <c r="D90" s="57">
        <v>188.76</v>
      </c>
      <c r="E90" s="44"/>
      <c r="F90" s="59"/>
      <c r="G90" s="60">
        <f t="shared" ref="G90" si="5">(D90*E90)+(D90*F90)</f>
        <v>0</v>
      </c>
      <c r="J90" s="351"/>
      <c r="K90" s="29"/>
      <c r="L90" s="29"/>
      <c r="M90" s="29"/>
    </row>
    <row r="91" spans="1:18" s="39" customFormat="1" ht="15" customHeight="1" x14ac:dyDescent="0.2">
      <c r="A91" s="129" t="s">
        <v>68</v>
      </c>
      <c r="B91" s="130" t="s">
        <v>13</v>
      </c>
      <c r="C91" s="131"/>
      <c r="D91" s="121"/>
      <c r="E91" s="122"/>
      <c r="F91" s="123"/>
      <c r="G91" s="124"/>
    </row>
    <row r="92" spans="1:18" x14ac:dyDescent="0.2">
      <c r="A92" s="132" t="s">
        <v>151</v>
      </c>
      <c r="B92" s="133" t="s">
        <v>64</v>
      </c>
      <c r="C92" s="134"/>
      <c r="D92" s="135"/>
      <c r="E92" s="136"/>
      <c r="F92" s="137"/>
      <c r="G92" s="138"/>
    </row>
    <row r="93" spans="1:18" x14ac:dyDescent="0.2">
      <c r="A93" s="40"/>
      <c r="B93" s="105" t="s">
        <v>434</v>
      </c>
      <c r="C93" s="56" t="s">
        <v>47</v>
      </c>
      <c r="D93" s="57">
        <v>45.173999999999999</v>
      </c>
      <c r="E93" s="44"/>
      <c r="F93" s="59"/>
      <c r="G93" s="60">
        <f t="shared" ref="G93:G101" si="6">(D93*E93)+(D93*F93)</f>
        <v>0</v>
      </c>
      <c r="I93" s="39">
        <f>27.545*3.1*0.35</f>
        <v>29.886325000000003</v>
      </c>
      <c r="J93" s="39">
        <f>27.545*0.1*1.15</f>
        <v>3.167675</v>
      </c>
      <c r="K93" s="39">
        <f>27.545*0.8*0.1</f>
        <v>2.2036000000000002</v>
      </c>
      <c r="L93" s="39">
        <f>27.545*0.8*0.45</f>
        <v>9.9162000000000017</v>
      </c>
      <c r="M93" s="28">
        <f>SUM(I93:L93)</f>
        <v>45.173800000000007</v>
      </c>
      <c r="N93" s="39"/>
      <c r="O93" s="39"/>
      <c r="P93" s="39"/>
      <c r="Q93" s="39"/>
    </row>
    <row r="94" spans="1:18" x14ac:dyDescent="0.2">
      <c r="A94" s="40"/>
      <c r="B94" s="105" t="s">
        <v>438</v>
      </c>
      <c r="C94" s="56" t="s">
        <v>47</v>
      </c>
      <c r="D94" s="57">
        <v>7.92</v>
      </c>
      <c r="E94" s="44"/>
      <c r="F94" s="59"/>
      <c r="G94" s="60">
        <f t="shared" si="6"/>
        <v>0</v>
      </c>
      <c r="I94" s="39">
        <f>3.3*2.8*2*0.35</f>
        <v>6.4679999999999982</v>
      </c>
      <c r="J94" s="39">
        <f>3.3*0.4*0.55*2</f>
        <v>1.4520000000000002</v>
      </c>
      <c r="K94" s="39">
        <f>SUM(I94:J94)</f>
        <v>7.9199999999999982</v>
      </c>
      <c r="L94" s="39"/>
      <c r="M94" s="39"/>
      <c r="N94" s="39"/>
      <c r="O94" s="39"/>
      <c r="P94" s="39"/>
      <c r="Q94" s="39"/>
    </row>
    <row r="95" spans="1:18" x14ac:dyDescent="0.2">
      <c r="A95" s="40"/>
      <c r="B95" s="105" t="s">
        <v>439</v>
      </c>
      <c r="C95" s="56" t="s">
        <v>47</v>
      </c>
      <c r="D95" s="57">
        <v>7.07</v>
      </c>
      <c r="E95" s="44"/>
      <c r="F95" s="59"/>
      <c r="G95" s="60">
        <f t="shared" si="6"/>
        <v>0</v>
      </c>
      <c r="I95" s="39">
        <f>3.1*2.6*0.35*2</f>
        <v>5.6420000000000003</v>
      </c>
      <c r="J95" s="39">
        <f>3.1*0.4*0.55*2</f>
        <v>1.3640000000000003</v>
      </c>
      <c r="K95" s="39">
        <f>SUM(I95:J95)</f>
        <v>7.0060000000000002</v>
      </c>
      <c r="L95" s="39"/>
      <c r="M95" s="39"/>
      <c r="N95" s="39"/>
      <c r="O95" s="39"/>
      <c r="P95" s="39"/>
      <c r="Q95" s="39"/>
    </row>
    <row r="96" spans="1:18" x14ac:dyDescent="0.2">
      <c r="A96" s="40"/>
      <c r="B96" s="105" t="s">
        <v>477</v>
      </c>
      <c r="C96" s="56" t="s">
        <v>47</v>
      </c>
      <c r="D96" s="57">
        <v>17.05</v>
      </c>
      <c r="E96" s="44"/>
      <c r="F96" s="59"/>
      <c r="G96" s="60">
        <f t="shared" si="6"/>
        <v>0</v>
      </c>
      <c r="I96" s="39">
        <f>8*4.4*0.35</f>
        <v>12.32</v>
      </c>
      <c r="J96" s="39">
        <f>1.8*0.15*8</f>
        <v>2.16</v>
      </c>
      <c r="K96" s="39">
        <f>8*0.8*0.4</f>
        <v>2.5600000000000005</v>
      </c>
      <c r="L96" s="39">
        <f>SUM(I96:K96)</f>
        <v>17.04</v>
      </c>
      <c r="M96" s="39"/>
      <c r="N96" s="39"/>
      <c r="O96" s="39"/>
      <c r="P96" s="39"/>
      <c r="Q96" s="39"/>
    </row>
    <row r="97" spans="1:17" x14ac:dyDescent="0.2">
      <c r="A97" s="40"/>
      <c r="B97" s="105" t="s">
        <v>440</v>
      </c>
      <c r="C97" s="56" t="s">
        <v>47</v>
      </c>
      <c r="D97" s="57">
        <v>7.56</v>
      </c>
      <c r="E97" s="44"/>
      <c r="F97" s="59"/>
      <c r="G97" s="60">
        <f t="shared" si="6"/>
        <v>0</v>
      </c>
      <c r="I97" s="39">
        <f>7*2.4*0.35</f>
        <v>5.88</v>
      </c>
      <c r="J97" s="39">
        <f>7*0.6*0.4</f>
        <v>1.6800000000000002</v>
      </c>
      <c r="K97" s="39">
        <f>SUM(I97:J97)</f>
        <v>7.5600000000000005</v>
      </c>
      <c r="L97" s="39"/>
      <c r="M97" s="39"/>
      <c r="N97" s="39"/>
      <c r="O97" s="39"/>
      <c r="P97" s="39"/>
      <c r="Q97" s="39"/>
    </row>
    <row r="98" spans="1:17" x14ac:dyDescent="0.2">
      <c r="A98" s="40"/>
      <c r="B98" s="105" t="s">
        <v>441</v>
      </c>
      <c r="C98" s="56" t="s">
        <v>47</v>
      </c>
      <c r="D98" s="57">
        <v>6.9</v>
      </c>
      <c r="E98" s="44"/>
      <c r="F98" s="59"/>
      <c r="G98" s="60">
        <f t="shared" si="6"/>
        <v>0</v>
      </c>
      <c r="I98" s="39">
        <f>5.1*2.95*0.35</f>
        <v>5.2657499999999997</v>
      </c>
      <c r="J98" s="39">
        <f>5.1*0.8*0.4</f>
        <v>1.6320000000000001</v>
      </c>
      <c r="K98" s="39">
        <f>SUM(I98:J98)</f>
        <v>6.8977500000000003</v>
      </c>
      <c r="L98" s="39"/>
      <c r="M98" s="39"/>
      <c r="N98" s="39"/>
      <c r="O98" s="39"/>
      <c r="P98" s="39"/>
      <c r="Q98" s="39"/>
    </row>
    <row r="99" spans="1:17" x14ac:dyDescent="0.2">
      <c r="A99" s="40"/>
      <c r="B99" s="105" t="s">
        <v>433</v>
      </c>
      <c r="C99" s="56" t="s">
        <v>47</v>
      </c>
      <c r="D99" s="57">
        <v>2.46</v>
      </c>
      <c r="E99" s="44"/>
      <c r="F99" s="59"/>
      <c r="G99" s="60">
        <f t="shared" si="6"/>
        <v>0</v>
      </c>
      <c r="I99" s="39">
        <f>1.3*1.8*0.35*3</f>
        <v>2.4570000000000003</v>
      </c>
      <c r="J99" s="39"/>
      <c r="K99" s="39"/>
      <c r="L99" s="39"/>
      <c r="M99" s="39"/>
      <c r="N99" s="39"/>
      <c r="O99" s="39"/>
      <c r="P99" s="39"/>
      <c r="Q99" s="39"/>
    </row>
    <row r="100" spans="1:17" x14ac:dyDescent="0.2">
      <c r="A100" s="40"/>
      <c r="B100" s="105" t="s">
        <v>435</v>
      </c>
      <c r="C100" s="56" t="s">
        <v>47</v>
      </c>
      <c r="D100" s="57">
        <v>0.59130000000000005</v>
      </c>
      <c r="E100" s="44"/>
      <c r="F100" s="59"/>
      <c r="G100" s="60">
        <f t="shared" si="6"/>
        <v>0</v>
      </c>
      <c r="I100" s="39">
        <f>0.75*0.75*0.35*3</f>
        <v>0.59062499999999996</v>
      </c>
      <c r="J100" s="39"/>
      <c r="K100" s="39"/>
      <c r="L100" s="39"/>
      <c r="M100" s="39"/>
      <c r="N100" s="39"/>
      <c r="O100" s="39"/>
      <c r="P100" s="39"/>
      <c r="Q100" s="39"/>
    </row>
    <row r="101" spans="1:17" x14ac:dyDescent="0.2">
      <c r="A101" s="40"/>
      <c r="B101" s="105" t="s">
        <v>436</v>
      </c>
      <c r="C101" s="56" t="s">
        <v>47</v>
      </c>
      <c r="D101" s="57">
        <v>28.63</v>
      </c>
      <c r="E101" s="44"/>
      <c r="F101" s="59"/>
      <c r="G101" s="60">
        <f t="shared" si="6"/>
        <v>0</v>
      </c>
      <c r="I101" s="139">
        <f>11.3*3+5.375*3+10.5*2+10.7*2+11.3*2+3.495*2+2.7*3</f>
        <v>130.11500000000001</v>
      </c>
      <c r="J101" s="112">
        <f>I101*0.4*0.55</f>
        <v>28.625300000000006</v>
      </c>
      <c r="K101" s="112"/>
      <c r="L101" s="140"/>
      <c r="M101" s="39"/>
      <c r="N101" s="140"/>
    </row>
    <row r="102" spans="1:17" x14ac:dyDescent="0.2">
      <c r="A102" s="141"/>
      <c r="B102" s="105" t="s">
        <v>437</v>
      </c>
      <c r="C102" s="56" t="s">
        <v>47</v>
      </c>
      <c r="D102" s="57">
        <v>1.605</v>
      </c>
      <c r="E102" s="44"/>
      <c r="F102" s="59"/>
      <c r="G102" s="60">
        <f t="shared" ref="G102" si="7">(D102*E102)+(D102*F102)</f>
        <v>0</v>
      </c>
      <c r="I102" s="28">
        <f>2.65*6+1.425+2.725</f>
        <v>20.05</v>
      </c>
      <c r="J102" s="28">
        <f>I102*0.2*0.4</f>
        <v>1.6040000000000003</v>
      </c>
    </row>
    <row r="103" spans="1:17" x14ac:dyDescent="0.2">
      <c r="A103" s="132" t="s">
        <v>152</v>
      </c>
      <c r="B103" s="133" t="s">
        <v>67</v>
      </c>
      <c r="C103" s="134"/>
      <c r="D103" s="135"/>
      <c r="E103" s="136"/>
      <c r="F103" s="137"/>
      <c r="G103" s="138"/>
    </row>
    <row r="104" spans="1:17" x14ac:dyDescent="0.2">
      <c r="A104" s="144" t="s">
        <v>156</v>
      </c>
      <c r="B104" s="145" t="s">
        <v>172</v>
      </c>
      <c r="C104" s="146"/>
      <c r="D104" s="147"/>
      <c r="E104" s="148"/>
      <c r="F104" s="149"/>
      <c r="G104" s="150"/>
    </row>
    <row r="105" spans="1:17" ht="13.5" x14ac:dyDescent="0.2">
      <c r="A105" s="141"/>
      <c r="B105" s="142" t="s">
        <v>447</v>
      </c>
      <c r="C105" s="143" t="s">
        <v>390</v>
      </c>
      <c r="D105" s="91">
        <v>1.7150000000000001</v>
      </c>
      <c r="E105" s="44"/>
      <c r="F105" s="59"/>
      <c r="G105" s="60">
        <f t="shared" ref="G105:G106" si="8">(D105*E105)+(D105*F105)</f>
        <v>0</v>
      </c>
      <c r="I105" s="28">
        <f>0.25*0.25*3.915*7</f>
        <v>1.7128125000000001</v>
      </c>
    </row>
    <row r="106" spans="1:17" ht="13.5" x14ac:dyDescent="0.2">
      <c r="A106" s="141"/>
      <c r="B106" s="142" t="s">
        <v>448</v>
      </c>
      <c r="C106" s="143" t="s">
        <v>390</v>
      </c>
      <c r="D106" s="91">
        <v>14.8</v>
      </c>
      <c r="E106" s="44"/>
      <c r="F106" s="59"/>
      <c r="G106" s="60">
        <f t="shared" si="8"/>
        <v>0</v>
      </c>
      <c r="I106" s="28">
        <f>0.6*0.35*3.915*18</f>
        <v>14.798699999999998</v>
      </c>
    </row>
    <row r="107" spans="1:17" ht="13.5" x14ac:dyDescent="0.2">
      <c r="A107" s="141"/>
      <c r="B107" s="142" t="s">
        <v>449</v>
      </c>
      <c r="C107" s="143" t="s">
        <v>390</v>
      </c>
      <c r="D107" s="91">
        <v>1.33</v>
      </c>
      <c r="E107" s="44"/>
      <c r="F107" s="59"/>
      <c r="G107" s="60">
        <f t="shared" ref="G107:G108" si="9">(D107*E107)+(D107*F107)</f>
        <v>0</v>
      </c>
      <c r="I107" s="28">
        <f>0.45*0.25*3.915*3</f>
        <v>1.3213125000000001</v>
      </c>
    </row>
    <row r="108" spans="1:17" ht="13.5" x14ac:dyDescent="0.2">
      <c r="A108" s="141"/>
      <c r="B108" s="142" t="s">
        <v>450</v>
      </c>
      <c r="C108" s="143" t="s">
        <v>390</v>
      </c>
      <c r="D108" s="91">
        <v>1.44</v>
      </c>
      <c r="E108" s="44"/>
      <c r="F108" s="59"/>
      <c r="G108" s="60">
        <f t="shared" si="9"/>
        <v>0</v>
      </c>
      <c r="I108" s="28">
        <f>0.35*0.35*3.915*3</f>
        <v>1.4387624999999997</v>
      </c>
    </row>
    <row r="109" spans="1:17" x14ac:dyDescent="0.2">
      <c r="A109" s="144" t="s">
        <v>10</v>
      </c>
      <c r="B109" s="145" t="s">
        <v>198</v>
      </c>
      <c r="C109" s="146"/>
      <c r="D109" s="147"/>
      <c r="E109" s="148"/>
      <c r="F109" s="59"/>
      <c r="G109" s="60">
        <f t="shared" ref="G109:G110" si="10">(D109*E109)+(D109*F109)</f>
        <v>0</v>
      </c>
    </row>
    <row r="110" spans="1:17" ht="13.5" x14ac:dyDescent="0.2">
      <c r="A110" s="141"/>
      <c r="B110" s="142" t="s">
        <v>277</v>
      </c>
      <c r="C110" s="143" t="s">
        <v>390</v>
      </c>
      <c r="D110" s="91">
        <v>3.1</v>
      </c>
      <c r="E110" s="44"/>
      <c r="F110" s="59"/>
      <c r="G110" s="60">
        <f t="shared" si="10"/>
        <v>0</v>
      </c>
    </row>
    <row r="111" spans="1:17" x14ac:dyDescent="0.2">
      <c r="A111" s="144" t="s">
        <v>16</v>
      </c>
      <c r="B111" s="145" t="s">
        <v>200</v>
      </c>
      <c r="C111" s="146"/>
      <c r="D111" s="147"/>
      <c r="E111" s="148"/>
      <c r="F111" s="59"/>
      <c r="G111" s="60">
        <f t="shared" ref="G111:G112" si="11">(D111*E111)+(D111*F111)</f>
        <v>0</v>
      </c>
    </row>
    <row r="112" spans="1:17" ht="13.5" x14ac:dyDescent="0.2">
      <c r="A112" s="141"/>
      <c r="B112" s="142" t="s">
        <v>276</v>
      </c>
      <c r="C112" s="143" t="s">
        <v>390</v>
      </c>
      <c r="D112" s="91">
        <v>42.4</v>
      </c>
      <c r="E112" s="44"/>
      <c r="F112" s="59"/>
      <c r="G112" s="60">
        <f t="shared" si="11"/>
        <v>0</v>
      </c>
      <c r="I112" s="28">
        <v>423.83</v>
      </c>
      <c r="K112" s="28">
        <f>SUM(I112:J112)</f>
        <v>423.83</v>
      </c>
      <c r="L112" s="28">
        <f>K112*0.1</f>
        <v>42.383000000000003</v>
      </c>
    </row>
    <row r="113" spans="1:15" x14ac:dyDescent="0.2">
      <c r="A113" s="141"/>
      <c r="B113" s="142"/>
      <c r="C113" s="143"/>
      <c r="D113" s="91"/>
      <c r="E113" s="44"/>
      <c r="F113" s="59"/>
      <c r="G113" s="60"/>
    </row>
    <row r="114" spans="1:15" x14ac:dyDescent="0.2">
      <c r="A114" s="132" t="s">
        <v>57</v>
      </c>
      <c r="B114" s="133" t="s">
        <v>69</v>
      </c>
      <c r="C114" s="134"/>
      <c r="D114" s="135"/>
      <c r="E114" s="136"/>
      <c r="F114" s="137"/>
      <c r="G114" s="138"/>
    </row>
    <row r="115" spans="1:15" x14ac:dyDescent="0.2">
      <c r="A115" s="144" t="s">
        <v>157</v>
      </c>
      <c r="B115" s="145" t="s">
        <v>278</v>
      </c>
      <c r="C115" s="146"/>
      <c r="D115" s="147"/>
      <c r="E115" s="148"/>
      <c r="F115" s="149"/>
      <c r="G115" s="150"/>
    </row>
    <row r="116" spans="1:15" ht="13.5" x14ac:dyDescent="0.2">
      <c r="A116" s="141"/>
      <c r="B116" s="142" t="s">
        <v>442</v>
      </c>
      <c r="C116" s="143" t="s">
        <v>390</v>
      </c>
      <c r="D116" s="91">
        <v>10.1</v>
      </c>
      <c r="E116" s="44"/>
      <c r="F116" s="59"/>
      <c r="G116" s="60">
        <f t="shared" ref="G116:G117" si="12">(D116*E116)+(D116*F116)</f>
        <v>0</v>
      </c>
      <c r="I116" s="28">
        <f>2.775*8*2+12.8+2.95*7+2.925</f>
        <v>80.775000000000006</v>
      </c>
      <c r="J116" s="28">
        <f>I116*0.25*0.5</f>
        <v>10.096875000000001</v>
      </c>
    </row>
    <row r="117" spans="1:15" ht="13.5" x14ac:dyDescent="0.2">
      <c r="A117" s="141"/>
      <c r="B117" s="142" t="s">
        <v>443</v>
      </c>
      <c r="C117" s="143" t="s">
        <v>390</v>
      </c>
      <c r="D117" s="91">
        <v>3.22</v>
      </c>
      <c r="E117" s="44"/>
      <c r="F117" s="59"/>
      <c r="G117" s="60">
        <f t="shared" si="12"/>
        <v>0</v>
      </c>
      <c r="I117" s="28">
        <f>11.5</f>
        <v>11.5</v>
      </c>
      <c r="J117" s="28">
        <f>I117*0.35*0.8</f>
        <v>3.2199999999999998</v>
      </c>
    </row>
    <row r="118" spans="1:15" ht="13.5" x14ac:dyDescent="0.2">
      <c r="A118" s="141"/>
      <c r="B118" s="142" t="s">
        <v>444</v>
      </c>
      <c r="C118" s="143" t="s">
        <v>390</v>
      </c>
      <c r="D118" s="91">
        <v>2.08</v>
      </c>
      <c r="E118" s="44"/>
      <c r="F118" s="59"/>
      <c r="G118" s="60">
        <f t="shared" ref="G118:G122" si="13">(D118*E118)+(D118*F118)</f>
        <v>0</v>
      </c>
      <c r="I118" s="28">
        <f>5.55*3</f>
        <v>16.649999999999999</v>
      </c>
      <c r="J118" s="28">
        <f>I118*0.25*0.5</f>
        <v>2.0812499999999998</v>
      </c>
    </row>
    <row r="119" spans="1:15" ht="13.5" x14ac:dyDescent="0.2">
      <c r="A119" s="141"/>
      <c r="B119" s="142" t="s">
        <v>445</v>
      </c>
      <c r="C119" s="143" t="s">
        <v>390</v>
      </c>
      <c r="D119" s="91">
        <v>2.1</v>
      </c>
      <c r="E119" s="44"/>
      <c r="F119" s="59"/>
      <c r="G119" s="60">
        <f t="shared" si="13"/>
        <v>0</v>
      </c>
      <c r="I119" s="28">
        <f>2.225+2.45*2+3.325+1.47+1.55+3.27</f>
        <v>16.740000000000002</v>
      </c>
      <c r="J119" s="28">
        <f>I119*0.25*0.5</f>
        <v>2.0925000000000002</v>
      </c>
    </row>
    <row r="120" spans="1:15" ht="13.5" x14ac:dyDescent="0.2">
      <c r="A120" s="141"/>
      <c r="B120" s="142" t="s">
        <v>446</v>
      </c>
      <c r="C120" s="143" t="s">
        <v>390</v>
      </c>
      <c r="D120" s="91">
        <v>2.5</v>
      </c>
      <c r="E120" s="44"/>
      <c r="F120" s="59"/>
      <c r="G120" s="60">
        <f t="shared" si="13"/>
        <v>0</v>
      </c>
      <c r="I120" s="28">
        <f>0.8*5*2+1.05*3+2.15*2+1.725+2.825</f>
        <v>20</v>
      </c>
      <c r="J120" s="28">
        <f>I120*0.25*0.5</f>
        <v>2.5</v>
      </c>
    </row>
    <row r="121" spans="1:15" x14ac:dyDescent="0.2">
      <c r="A121" s="144" t="s">
        <v>68</v>
      </c>
      <c r="B121" s="145" t="s">
        <v>279</v>
      </c>
      <c r="C121" s="146"/>
      <c r="D121" s="147"/>
      <c r="E121" s="148"/>
      <c r="F121" s="59"/>
      <c r="G121" s="60">
        <f t="shared" si="13"/>
        <v>0</v>
      </c>
    </row>
    <row r="122" spans="1:15" ht="13.5" x14ac:dyDescent="0.2">
      <c r="A122" s="141"/>
      <c r="B122" s="142" t="s">
        <v>280</v>
      </c>
      <c r="C122" s="143" t="s">
        <v>390</v>
      </c>
      <c r="D122" s="91">
        <v>13</v>
      </c>
      <c r="E122" s="44"/>
      <c r="F122" s="59"/>
      <c r="G122" s="60">
        <f t="shared" si="13"/>
        <v>0</v>
      </c>
      <c r="I122" s="28">
        <f>(3+2.95*3+2.15)*2*0.9</f>
        <v>25.200000000000003</v>
      </c>
      <c r="J122" s="28">
        <f>(2.625+3.725+2.55)*0.9</f>
        <v>8.01</v>
      </c>
      <c r="K122" s="28">
        <f>5.75*2.95+2.9*1.76</f>
        <v>22.066500000000001</v>
      </c>
      <c r="L122" s="28">
        <f>(2.975+2.95*4)*1.47</f>
        <v>21.719249999999999</v>
      </c>
      <c r="M122" s="28">
        <f>3.27*2.925</f>
        <v>9.5647500000000001</v>
      </c>
      <c r="N122" s="28">
        <f>SUM(I122:M122)</f>
        <v>86.560500000000005</v>
      </c>
      <c r="O122" s="28">
        <f>N122*0.15</f>
        <v>12.984075000000001</v>
      </c>
    </row>
    <row r="123" spans="1:15" x14ac:dyDescent="0.2">
      <c r="A123" s="144" t="s">
        <v>72</v>
      </c>
      <c r="B123" s="145" t="s">
        <v>172</v>
      </c>
      <c r="C123" s="146"/>
      <c r="D123" s="147"/>
      <c r="E123" s="148"/>
      <c r="F123" s="149"/>
      <c r="G123" s="150"/>
    </row>
    <row r="124" spans="1:15" ht="13.5" x14ac:dyDescent="0.2">
      <c r="A124" s="141"/>
      <c r="B124" s="142" t="s">
        <v>451</v>
      </c>
      <c r="C124" s="143" t="s">
        <v>390</v>
      </c>
      <c r="D124" s="91">
        <v>1.05</v>
      </c>
      <c r="E124" s="44"/>
      <c r="F124" s="59"/>
      <c r="G124" s="60">
        <f t="shared" ref="G124:G127" si="14">(D124*E124)+(D124*F124)</f>
        <v>0</v>
      </c>
      <c r="I124" s="28">
        <f>0.25*0.25*3.36*5</f>
        <v>1.05</v>
      </c>
    </row>
    <row r="125" spans="1:15" ht="13.5" x14ac:dyDescent="0.2">
      <c r="A125" s="141"/>
      <c r="B125" s="142" t="s">
        <v>452</v>
      </c>
      <c r="C125" s="143" t="s">
        <v>390</v>
      </c>
      <c r="D125" s="91">
        <v>12.7</v>
      </c>
      <c r="E125" s="44"/>
      <c r="F125" s="59"/>
      <c r="G125" s="60">
        <f t="shared" si="14"/>
        <v>0</v>
      </c>
      <c r="I125" s="28">
        <f>0.6*0.35*3.36*18</f>
        <v>12.700799999999997</v>
      </c>
    </row>
    <row r="126" spans="1:15" ht="13.5" x14ac:dyDescent="0.2">
      <c r="A126" s="141"/>
      <c r="B126" s="142" t="s">
        <v>453</v>
      </c>
      <c r="C126" s="143" t="s">
        <v>390</v>
      </c>
      <c r="D126" s="91">
        <v>1.1339999999999999</v>
      </c>
      <c r="E126" s="44"/>
      <c r="F126" s="59"/>
      <c r="G126" s="60">
        <f t="shared" si="14"/>
        <v>0</v>
      </c>
      <c r="I126" s="28">
        <f>0.45*0.25*3.36*3</f>
        <v>1.1339999999999999</v>
      </c>
    </row>
    <row r="127" spans="1:15" ht="13.5" x14ac:dyDescent="0.2">
      <c r="A127" s="141"/>
      <c r="B127" s="142" t="s">
        <v>457</v>
      </c>
      <c r="C127" s="143" t="s">
        <v>390</v>
      </c>
      <c r="D127" s="91">
        <v>1.2350000000000001</v>
      </c>
      <c r="E127" s="44"/>
      <c r="F127" s="59"/>
      <c r="G127" s="60">
        <f t="shared" si="14"/>
        <v>0</v>
      </c>
      <c r="I127" s="28">
        <f>0.35*0.35*3.36*3</f>
        <v>1.2347999999999997</v>
      </c>
    </row>
    <row r="128" spans="1:15" x14ac:dyDescent="0.2">
      <c r="A128" s="144" t="s">
        <v>101</v>
      </c>
      <c r="B128" s="145" t="s">
        <v>198</v>
      </c>
      <c r="C128" s="146"/>
      <c r="D128" s="147"/>
      <c r="E128" s="148"/>
      <c r="F128" s="59"/>
      <c r="G128" s="60">
        <f t="shared" ref="G128:G129" si="15">(D128*E128)+(D128*F128)</f>
        <v>0</v>
      </c>
    </row>
    <row r="129" spans="1:13" ht="14.25" thickBot="1" x14ac:dyDescent="0.25">
      <c r="A129" s="151"/>
      <c r="B129" s="152" t="s">
        <v>277</v>
      </c>
      <c r="C129" s="153" t="s">
        <v>390</v>
      </c>
      <c r="D129" s="154">
        <v>2.95</v>
      </c>
      <c r="E129" s="77"/>
      <c r="F129" s="155"/>
      <c r="G129" s="156">
        <f t="shared" si="15"/>
        <v>0</v>
      </c>
      <c r="I129" s="28">
        <f>19.4*0.56</f>
        <v>10.864000000000001</v>
      </c>
      <c r="J129" s="28">
        <f>214.37+I129</f>
        <v>225.23400000000001</v>
      </c>
      <c r="K129" s="28">
        <f>J129*0.1</f>
        <v>22.523400000000002</v>
      </c>
    </row>
    <row r="130" spans="1:13" x14ac:dyDescent="0.2">
      <c r="A130" s="132" t="s">
        <v>153</v>
      </c>
      <c r="B130" s="133" t="s">
        <v>71</v>
      </c>
      <c r="C130" s="134"/>
      <c r="D130" s="135"/>
      <c r="E130" s="136"/>
      <c r="F130" s="137"/>
      <c r="G130" s="138"/>
    </row>
    <row r="131" spans="1:13" x14ac:dyDescent="0.2">
      <c r="A131" s="144" t="s">
        <v>104</v>
      </c>
      <c r="B131" s="145" t="s">
        <v>278</v>
      </c>
      <c r="C131" s="146"/>
      <c r="D131" s="147"/>
      <c r="E131" s="148"/>
      <c r="F131" s="149"/>
      <c r="G131" s="150"/>
    </row>
    <row r="132" spans="1:13" ht="13.5" x14ac:dyDescent="0.2">
      <c r="A132" s="141"/>
      <c r="B132" s="142" t="s">
        <v>442</v>
      </c>
      <c r="C132" s="143" t="s">
        <v>390</v>
      </c>
      <c r="D132" s="91">
        <v>6.48</v>
      </c>
      <c r="E132" s="44"/>
      <c r="F132" s="59"/>
      <c r="G132" s="60">
        <f t="shared" ref="G132:G135" si="16">(D132*E132)+(D132*F132)</f>
        <v>0</v>
      </c>
      <c r="I132" s="28">
        <f>2.775*4+2.85*6*2+2.975+2.95*4+2.95+2.9</f>
        <v>65.925000000000011</v>
      </c>
      <c r="J132" s="28">
        <f>I132*0.25*0.35</f>
        <v>5.768437500000001</v>
      </c>
      <c r="K132" s="28">
        <f>16.025+2.9</f>
        <v>18.924999999999997</v>
      </c>
      <c r="L132" s="28">
        <f>K132*0.15*0.25</f>
        <v>0.70968749999999992</v>
      </c>
      <c r="M132" s="28">
        <f>L132+J132</f>
        <v>6.4781250000000012</v>
      </c>
    </row>
    <row r="133" spans="1:13" ht="13.5" x14ac:dyDescent="0.2">
      <c r="A133" s="141"/>
      <c r="B133" s="142" t="s">
        <v>443</v>
      </c>
      <c r="C133" s="143" t="s">
        <v>390</v>
      </c>
      <c r="D133" s="91">
        <v>20.93</v>
      </c>
      <c r="E133" s="44"/>
      <c r="F133" s="59"/>
      <c r="G133" s="60">
        <f t="shared" si="16"/>
        <v>0</v>
      </c>
      <c r="I133" s="28">
        <f>11.5*8</f>
        <v>92</v>
      </c>
      <c r="J133" s="28">
        <f>I133*0.35*0.65</f>
        <v>20.93</v>
      </c>
    </row>
    <row r="134" spans="1:13" ht="13.5" x14ac:dyDescent="0.2">
      <c r="A134" s="141"/>
      <c r="B134" s="142" t="s">
        <v>454</v>
      </c>
      <c r="C134" s="143" t="s">
        <v>390</v>
      </c>
      <c r="D134" s="91">
        <v>2.62</v>
      </c>
      <c r="E134" s="44"/>
      <c r="F134" s="59"/>
      <c r="G134" s="60">
        <f t="shared" si="16"/>
        <v>0</v>
      </c>
      <c r="I134" s="28">
        <v>11.5</v>
      </c>
      <c r="J134" s="28">
        <f>I134*0.35*0.65</f>
        <v>2.61625</v>
      </c>
    </row>
    <row r="135" spans="1:13" ht="13.5" x14ac:dyDescent="0.2">
      <c r="A135" s="141"/>
      <c r="B135" s="142" t="s">
        <v>455</v>
      </c>
      <c r="C135" s="143" t="s">
        <v>390</v>
      </c>
      <c r="D135" s="91">
        <v>0.92</v>
      </c>
      <c r="E135" s="44"/>
      <c r="F135" s="59"/>
      <c r="G135" s="60">
        <f t="shared" si="16"/>
        <v>0</v>
      </c>
      <c r="I135" s="28">
        <f>1.47*5</f>
        <v>7.35</v>
      </c>
      <c r="J135" s="28">
        <f>I135*0.25*0.5</f>
        <v>0.91874999999999996</v>
      </c>
    </row>
    <row r="136" spans="1:13" ht="13.5" x14ac:dyDescent="0.2">
      <c r="A136" s="141"/>
      <c r="B136" s="142" t="s">
        <v>456</v>
      </c>
      <c r="C136" s="143" t="s">
        <v>390</v>
      </c>
      <c r="D136" s="91">
        <v>1.984</v>
      </c>
      <c r="E136" s="44"/>
      <c r="F136" s="59"/>
      <c r="G136" s="60">
        <f t="shared" ref="G136:G138" si="17">(D136*E136)+(D136*F136)</f>
        <v>0</v>
      </c>
      <c r="I136" s="28">
        <f>5.55*3</f>
        <v>16.649999999999999</v>
      </c>
      <c r="J136" s="28">
        <f>I136*0.25*0.35</f>
        <v>1.4568749999999997</v>
      </c>
    </row>
    <row r="137" spans="1:13" x14ac:dyDescent="0.2">
      <c r="A137" s="144" t="s">
        <v>137</v>
      </c>
      <c r="B137" s="145" t="s">
        <v>279</v>
      </c>
      <c r="C137" s="146"/>
      <c r="D137" s="147"/>
      <c r="E137" s="148"/>
      <c r="F137" s="59"/>
      <c r="G137" s="60">
        <f t="shared" si="17"/>
        <v>0</v>
      </c>
    </row>
    <row r="138" spans="1:13" ht="13.5" x14ac:dyDescent="0.2">
      <c r="A138" s="141"/>
      <c r="B138" s="142" t="s">
        <v>280</v>
      </c>
      <c r="C138" s="143" t="s">
        <v>390</v>
      </c>
      <c r="D138" s="91">
        <v>54.3</v>
      </c>
      <c r="E138" s="44"/>
      <c r="F138" s="59"/>
      <c r="G138" s="60">
        <f t="shared" si="17"/>
        <v>0</v>
      </c>
      <c r="I138" s="28">
        <v>398.5</v>
      </c>
      <c r="J138" s="28">
        <f>3.99*2.9+2.85*1.75*5</f>
        <v>36.508499999999998</v>
      </c>
      <c r="K138" s="28">
        <f>I138-J138</f>
        <v>361.99149999999997</v>
      </c>
      <c r="L138" s="28">
        <f>K138*0.15</f>
        <v>54.298724999999997</v>
      </c>
    </row>
    <row r="139" spans="1:13" x14ac:dyDescent="0.2">
      <c r="A139" s="144" t="s">
        <v>138</v>
      </c>
      <c r="B139" s="145" t="s">
        <v>172</v>
      </c>
      <c r="C139" s="146"/>
      <c r="D139" s="147"/>
      <c r="E139" s="148"/>
      <c r="F139" s="149"/>
      <c r="G139" s="150"/>
    </row>
    <row r="140" spans="1:13" ht="13.5" x14ac:dyDescent="0.2">
      <c r="A140" s="141"/>
      <c r="B140" s="142" t="s">
        <v>451</v>
      </c>
      <c r="C140" s="143" t="s">
        <v>390</v>
      </c>
      <c r="D140" s="91">
        <v>1.05</v>
      </c>
      <c r="E140" s="44"/>
      <c r="F140" s="59"/>
      <c r="G140" s="60">
        <f t="shared" ref="G140:G144" si="18">(D140*E140)+(D140*F140)</f>
        <v>0</v>
      </c>
      <c r="I140" s="28">
        <f>0.25*0.25*3.36*5</f>
        <v>1.05</v>
      </c>
    </row>
    <row r="141" spans="1:13" ht="13.5" x14ac:dyDescent="0.2">
      <c r="A141" s="141"/>
      <c r="B141" s="142" t="s">
        <v>452</v>
      </c>
      <c r="C141" s="143" t="s">
        <v>390</v>
      </c>
      <c r="D141" s="91">
        <v>12.7</v>
      </c>
      <c r="E141" s="44"/>
      <c r="F141" s="59"/>
      <c r="G141" s="60">
        <f t="shared" si="18"/>
        <v>0</v>
      </c>
      <c r="I141" s="28">
        <f>0.6*0.35*3.36*18</f>
        <v>12.700799999999997</v>
      </c>
    </row>
    <row r="142" spans="1:13" ht="13.5" x14ac:dyDescent="0.2">
      <c r="A142" s="141"/>
      <c r="B142" s="142" t="s">
        <v>453</v>
      </c>
      <c r="C142" s="143" t="s">
        <v>390</v>
      </c>
      <c r="D142" s="91">
        <v>1.1339999999999999</v>
      </c>
      <c r="E142" s="44"/>
      <c r="F142" s="59"/>
      <c r="G142" s="60">
        <f t="shared" si="18"/>
        <v>0</v>
      </c>
      <c r="I142" s="28">
        <f>0.45*0.25*3.36*3</f>
        <v>1.1339999999999999</v>
      </c>
    </row>
    <row r="143" spans="1:13" x14ac:dyDescent="0.2">
      <c r="A143" s="144" t="s">
        <v>281</v>
      </c>
      <c r="B143" s="145" t="s">
        <v>198</v>
      </c>
      <c r="C143" s="146"/>
      <c r="D143" s="147"/>
      <c r="E143" s="148"/>
      <c r="F143" s="59"/>
      <c r="G143" s="60">
        <f t="shared" si="18"/>
        <v>0</v>
      </c>
    </row>
    <row r="144" spans="1:13" ht="13.5" x14ac:dyDescent="0.2">
      <c r="A144" s="141"/>
      <c r="B144" s="142" t="s">
        <v>277</v>
      </c>
      <c r="C144" s="143" t="s">
        <v>390</v>
      </c>
      <c r="D144" s="91">
        <v>2.95</v>
      </c>
      <c r="E144" s="44"/>
      <c r="F144" s="59"/>
      <c r="G144" s="60">
        <f t="shared" si="18"/>
        <v>0</v>
      </c>
      <c r="I144" s="28">
        <f>19.4*0.56</f>
        <v>10.864000000000001</v>
      </c>
      <c r="J144" s="28">
        <f>214.37+I144</f>
        <v>225.23400000000001</v>
      </c>
      <c r="K144" s="28">
        <f>J144*0.1</f>
        <v>22.523400000000002</v>
      </c>
    </row>
    <row r="145" spans="1:13" x14ac:dyDescent="0.2">
      <c r="A145" s="132" t="s">
        <v>154</v>
      </c>
      <c r="B145" s="133" t="s">
        <v>458</v>
      </c>
      <c r="C145" s="134"/>
      <c r="D145" s="135"/>
      <c r="E145" s="136"/>
      <c r="F145" s="137"/>
      <c r="G145" s="138"/>
    </row>
    <row r="146" spans="1:13" x14ac:dyDescent="0.2">
      <c r="A146" s="144" t="s">
        <v>110</v>
      </c>
      <c r="B146" s="145" t="s">
        <v>278</v>
      </c>
      <c r="C146" s="146"/>
      <c r="D146" s="147"/>
      <c r="E146" s="148"/>
      <c r="F146" s="149"/>
      <c r="G146" s="150"/>
    </row>
    <row r="147" spans="1:13" ht="13.5" x14ac:dyDescent="0.2">
      <c r="A147" s="141"/>
      <c r="B147" s="142" t="s">
        <v>462</v>
      </c>
      <c r="C147" s="143" t="s">
        <v>390</v>
      </c>
      <c r="D147" s="91">
        <v>7.47</v>
      </c>
      <c r="E147" s="44"/>
      <c r="F147" s="59"/>
      <c r="G147" s="60">
        <f t="shared" ref="G147:G151" si="19">(D147*E147)+(D147*F147)</f>
        <v>0</v>
      </c>
      <c r="I147" s="28">
        <f>2.775*6+2.85*6*3+2.975+2.95+2.9</f>
        <v>76.775000000000006</v>
      </c>
      <c r="J147" s="28">
        <f>I147*0.25*0.35</f>
        <v>6.7178125</v>
      </c>
      <c r="K147" s="28">
        <f>2.85*5+2.775+2.9</f>
        <v>19.924999999999997</v>
      </c>
      <c r="L147" s="28">
        <f>K147*0.15*0.25</f>
        <v>0.74718749999999989</v>
      </c>
      <c r="M147" s="28">
        <f>L147+J147</f>
        <v>7.4649999999999999</v>
      </c>
    </row>
    <row r="148" spans="1:13" ht="13.5" x14ac:dyDescent="0.2">
      <c r="A148" s="141"/>
      <c r="B148" s="142" t="s">
        <v>461</v>
      </c>
      <c r="C148" s="143" t="s">
        <v>390</v>
      </c>
      <c r="D148" s="91">
        <v>23.55</v>
      </c>
      <c r="E148" s="44"/>
      <c r="F148" s="59"/>
      <c r="G148" s="60">
        <f t="shared" si="19"/>
        <v>0</v>
      </c>
      <c r="I148" s="28">
        <f>11.5*9</f>
        <v>103.5</v>
      </c>
      <c r="J148" s="28">
        <f>I148*0.35*0.65</f>
        <v>23.546249999999997</v>
      </c>
    </row>
    <row r="149" spans="1:13" ht="13.5" x14ac:dyDescent="0.2">
      <c r="A149" s="141"/>
      <c r="B149" s="142" t="s">
        <v>459</v>
      </c>
      <c r="C149" s="143" t="s">
        <v>390</v>
      </c>
      <c r="D149" s="91">
        <v>1.6</v>
      </c>
      <c r="E149" s="44"/>
      <c r="F149" s="59"/>
      <c r="G149" s="60">
        <f t="shared" si="19"/>
        <v>0</v>
      </c>
      <c r="I149" s="28">
        <f>5.55*3</f>
        <v>16.649999999999999</v>
      </c>
      <c r="J149" s="28">
        <f>I149*0.25*0.35</f>
        <v>1.4568749999999997</v>
      </c>
      <c r="K149" s="28">
        <f>3.775</f>
        <v>3.7749999999999999</v>
      </c>
      <c r="L149" s="28">
        <f>K149*0.15*0.25</f>
        <v>0.14156249999999998</v>
      </c>
      <c r="M149" s="28">
        <f>L149+J149</f>
        <v>1.5984374999999997</v>
      </c>
    </row>
    <row r="150" spans="1:13" x14ac:dyDescent="0.2">
      <c r="A150" s="144" t="s">
        <v>144</v>
      </c>
      <c r="B150" s="145" t="s">
        <v>279</v>
      </c>
      <c r="C150" s="146"/>
      <c r="D150" s="147"/>
      <c r="E150" s="148"/>
      <c r="F150" s="59"/>
      <c r="G150" s="60">
        <f t="shared" si="19"/>
        <v>0</v>
      </c>
    </row>
    <row r="151" spans="1:13" ht="13.5" x14ac:dyDescent="0.2">
      <c r="A151" s="141"/>
      <c r="B151" s="142" t="s">
        <v>280</v>
      </c>
      <c r="C151" s="143" t="s">
        <v>390</v>
      </c>
      <c r="D151" s="91">
        <v>49.62</v>
      </c>
      <c r="E151" s="44"/>
      <c r="F151" s="59"/>
      <c r="G151" s="60">
        <f t="shared" si="19"/>
        <v>0</v>
      </c>
      <c r="I151" s="28">
        <v>367.26</v>
      </c>
      <c r="J151" s="28">
        <f>3.99*2.9+2.85*1.75*5</f>
        <v>36.508499999999998</v>
      </c>
      <c r="K151" s="28">
        <f>I151-J151</f>
        <v>330.75149999999996</v>
      </c>
      <c r="L151" s="28">
        <f>K151*0.15</f>
        <v>49.61272499999999</v>
      </c>
    </row>
    <row r="152" spans="1:13" x14ac:dyDescent="0.2">
      <c r="A152" s="144" t="s">
        <v>145</v>
      </c>
      <c r="B152" s="145" t="s">
        <v>172</v>
      </c>
      <c r="C152" s="146"/>
      <c r="D152" s="147"/>
      <c r="E152" s="148"/>
      <c r="F152" s="149"/>
      <c r="G152" s="150"/>
    </row>
    <row r="153" spans="1:13" ht="13.5" x14ac:dyDescent="0.2">
      <c r="A153" s="141"/>
      <c r="B153" s="142" t="s">
        <v>451</v>
      </c>
      <c r="C153" s="143" t="s">
        <v>390</v>
      </c>
      <c r="D153" s="91">
        <v>1.05</v>
      </c>
      <c r="E153" s="44"/>
      <c r="F153" s="59"/>
      <c r="G153" s="60">
        <f t="shared" ref="G153:G157" si="20">(D153*E153)+(D153*F153)</f>
        <v>0</v>
      </c>
      <c r="I153" s="28">
        <f>0.25*0.25*3.36*5</f>
        <v>1.05</v>
      </c>
    </row>
    <row r="154" spans="1:13" ht="13.5" x14ac:dyDescent="0.2">
      <c r="A154" s="141"/>
      <c r="B154" s="142" t="s">
        <v>452</v>
      </c>
      <c r="C154" s="143" t="s">
        <v>390</v>
      </c>
      <c r="D154" s="91">
        <v>12.7</v>
      </c>
      <c r="E154" s="44"/>
      <c r="F154" s="59"/>
      <c r="G154" s="60">
        <f t="shared" si="20"/>
        <v>0</v>
      </c>
      <c r="I154" s="28">
        <f>0.6*0.35*3.36*18</f>
        <v>12.700799999999997</v>
      </c>
    </row>
    <row r="155" spans="1:13" ht="13.5" x14ac:dyDescent="0.2">
      <c r="A155" s="141"/>
      <c r="B155" s="142" t="s">
        <v>453</v>
      </c>
      <c r="C155" s="143" t="s">
        <v>390</v>
      </c>
      <c r="D155" s="91">
        <v>1.1339999999999999</v>
      </c>
      <c r="E155" s="44"/>
      <c r="F155" s="59"/>
      <c r="G155" s="60">
        <f t="shared" si="20"/>
        <v>0</v>
      </c>
      <c r="I155" s="28">
        <f>0.45*0.25*3.36*3</f>
        <v>1.1339999999999999</v>
      </c>
    </row>
    <row r="156" spans="1:13" x14ac:dyDescent="0.2">
      <c r="A156" s="144" t="s">
        <v>167</v>
      </c>
      <c r="B156" s="145" t="s">
        <v>198</v>
      </c>
      <c r="C156" s="146"/>
      <c r="D156" s="147"/>
      <c r="E156" s="148"/>
      <c r="F156" s="59"/>
      <c r="G156" s="60">
        <f t="shared" si="20"/>
        <v>0</v>
      </c>
    </row>
    <row r="157" spans="1:13" ht="13.5" x14ac:dyDescent="0.2">
      <c r="A157" s="141"/>
      <c r="B157" s="142" t="s">
        <v>277</v>
      </c>
      <c r="C157" s="143" t="s">
        <v>390</v>
      </c>
      <c r="D157" s="91">
        <v>2.95</v>
      </c>
      <c r="E157" s="44"/>
      <c r="F157" s="59"/>
      <c r="G157" s="60">
        <f t="shared" si="20"/>
        <v>0</v>
      </c>
      <c r="I157" s="28">
        <f>19.4*0.56</f>
        <v>10.864000000000001</v>
      </c>
      <c r="J157" s="28">
        <f>214.37+I157</f>
        <v>225.23400000000001</v>
      </c>
      <c r="K157" s="28">
        <f>J157*0.1</f>
        <v>22.523400000000002</v>
      </c>
    </row>
    <row r="158" spans="1:13" x14ac:dyDescent="0.2">
      <c r="A158" s="132" t="s">
        <v>155</v>
      </c>
      <c r="B158" s="133" t="s">
        <v>466</v>
      </c>
      <c r="C158" s="134"/>
      <c r="D158" s="135"/>
      <c r="E158" s="136"/>
      <c r="F158" s="137"/>
      <c r="G158" s="138"/>
    </row>
    <row r="159" spans="1:13" x14ac:dyDescent="0.2">
      <c r="A159" s="144" t="s">
        <v>169</v>
      </c>
      <c r="B159" s="145" t="s">
        <v>278</v>
      </c>
      <c r="C159" s="146"/>
      <c r="D159" s="147"/>
      <c r="E159" s="148"/>
      <c r="F159" s="149"/>
      <c r="G159" s="150"/>
    </row>
    <row r="160" spans="1:13" ht="13.5" x14ac:dyDescent="0.2">
      <c r="A160" s="141"/>
      <c r="B160" s="142" t="s">
        <v>462</v>
      </c>
      <c r="C160" s="143" t="s">
        <v>390</v>
      </c>
      <c r="D160" s="91">
        <v>7.47</v>
      </c>
      <c r="E160" s="44"/>
      <c r="F160" s="59"/>
      <c r="G160" s="60">
        <f t="shared" ref="G160:G162" si="21">(D160*E160)+(D160*F160)</f>
        <v>0</v>
      </c>
      <c r="I160" s="28">
        <f>2.775*6+2.85*6*3+2.975+2.95+2.9</f>
        <v>76.775000000000006</v>
      </c>
      <c r="J160" s="28">
        <f>I160*0.25*0.35</f>
        <v>6.7178125</v>
      </c>
      <c r="K160" s="28">
        <f>2.85*5+2.775+2.9</f>
        <v>19.924999999999997</v>
      </c>
      <c r="L160" s="28">
        <f>K160*0.15*0.25</f>
        <v>0.74718749999999989</v>
      </c>
      <c r="M160" s="28">
        <f>L160+J160</f>
        <v>7.4649999999999999</v>
      </c>
    </row>
    <row r="161" spans="1:13" ht="13.5" x14ac:dyDescent="0.2">
      <c r="A161" s="141"/>
      <c r="B161" s="142" t="s">
        <v>461</v>
      </c>
      <c r="C161" s="143" t="s">
        <v>390</v>
      </c>
      <c r="D161" s="91">
        <v>23.55</v>
      </c>
      <c r="E161" s="44"/>
      <c r="F161" s="59"/>
      <c r="G161" s="60">
        <f t="shared" si="21"/>
        <v>0</v>
      </c>
      <c r="I161" s="28">
        <f>11.5*9</f>
        <v>103.5</v>
      </c>
      <c r="J161" s="28">
        <f>I161*0.35*0.65</f>
        <v>23.546249999999997</v>
      </c>
    </row>
    <row r="162" spans="1:13" ht="13.5" x14ac:dyDescent="0.2">
      <c r="A162" s="141"/>
      <c r="B162" s="142" t="s">
        <v>459</v>
      </c>
      <c r="C162" s="143" t="s">
        <v>390</v>
      </c>
      <c r="D162" s="91">
        <v>1.984</v>
      </c>
      <c r="E162" s="44"/>
      <c r="F162" s="59"/>
      <c r="G162" s="60">
        <f t="shared" si="21"/>
        <v>0</v>
      </c>
      <c r="I162" s="28">
        <f>5.55*3</f>
        <v>16.649999999999999</v>
      </c>
      <c r="J162" s="28">
        <f>I162*0.25*0.35</f>
        <v>1.4568749999999997</v>
      </c>
      <c r="K162" s="28">
        <f>3.775</f>
        <v>3.7749999999999999</v>
      </c>
      <c r="L162" s="28">
        <f>K162*0.15*0.25</f>
        <v>0.14156249999999998</v>
      </c>
      <c r="M162" s="28">
        <f>L162+J162</f>
        <v>1.5984374999999997</v>
      </c>
    </row>
    <row r="163" spans="1:13" x14ac:dyDescent="0.2">
      <c r="A163" s="144" t="s">
        <v>463</v>
      </c>
      <c r="B163" s="145" t="s">
        <v>279</v>
      </c>
      <c r="C163" s="146"/>
      <c r="D163" s="147"/>
      <c r="E163" s="148"/>
      <c r="F163" s="59"/>
      <c r="G163" s="60">
        <f t="shared" ref="G163:G164" si="22">(D163*E163)+(D163*F163)</f>
        <v>0</v>
      </c>
    </row>
    <row r="164" spans="1:13" ht="13.5" x14ac:dyDescent="0.2">
      <c r="A164" s="141"/>
      <c r="B164" s="142" t="s">
        <v>280</v>
      </c>
      <c r="C164" s="143" t="s">
        <v>390</v>
      </c>
      <c r="D164" s="91">
        <v>49.62</v>
      </c>
      <c r="E164" s="44"/>
      <c r="F164" s="59"/>
      <c r="G164" s="60">
        <f t="shared" si="22"/>
        <v>0</v>
      </c>
      <c r="I164" s="28">
        <v>367.26</v>
      </c>
      <c r="J164" s="28">
        <f>3.99*2.9+2.85*1.75*5</f>
        <v>36.508499999999998</v>
      </c>
      <c r="K164" s="28">
        <f>I164-J164</f>
        <v>330.75149999999996</v>
      </c>
      <c r="L164" s="28">
        <f>K164*0.15</f>
        <v>49.61272499999999</v>
      </c>
    </row>
    <row r="165" spans="1:13" x14ac:dyDescent="0.2">
      <c r="A165" s="144" t="s">
        <v>464</v>
      </c>
      <c r="B165" s="145" t="s">
        <v>172</v>
      </c>
      <c r="C165" s="146"/>
      <c r="D165" s="147"/>
      <c r="E165" s="148"/>
      <c r="F165" s="149"/>
      <c r="G165" s="150"/>
    </row>
    <row r="166" spans="1:13" ht="13.5" x14ac:dyDescent="0.2">
      <c r="A166" s="141"/>
      <c r="B166" s="142" t="s">
        <v>451</v>
      </c>
      <c r="C166" s="143" t="s">
        <v>390</v>
      </c>
      <c r="D166" s="91">
        <v>1.05</v>
      </c>
      <c r="E166" s="44"/>
      <c r="F166" s="59"/>
      <c r="G166" s="60">
        <f t="shared" ref="G166:G168" si="23">(D166*E166)+(D166*F166)</f>
        <v>0</v>
      </c>
      <c r="I166" s="28">
        <f>0.25*0.25*3.36*5</f>
        <v>1.05</v>
      </c>
    </row>
    <row r="167" spans="1:13" ht="13.5" x14ac:dyDescent="0.2">
      <c r="A167" s="141"/>
      <c r="B167" s="142" t="s">
        <v>452</v>
      </c>
      <c r="C167" s="143" t="s">
        <v>390</v>
      </c>
      <c r="D167" s="91">
        <v>12.7</v>
      </c>
      <c r="E167" s="44"/>
      <c r="F167" s="59"/>
      <c r="G167" s="60">
        <f t="shared" si="23"/>
        <v>0</v>
      </c>
      <c r="I167" s="28">
        <f>0.6*0.35*3.36*18</f>
        <v>12.700799999999997</v>
      </c>
    </row>
    <row r="168" spans="1:13" ht="13.5" x14ac:dyDescent="0.2">
      <c r="A168" s="141"/>
      <c r="B168" s="142" t="s">
        <v>453</v>
      </c>
      <c r="C168" s="143" t="s">
        <v>390</v>
      </c>
      <c r="D168" s="91">
        <v>1.1339999999999999</v>
      </c>
      <c r="E168" s="44"/>
      <c r="F168" s="59"/>
      <c r="G168" s="60">
        <f t="shared" si="23"/>
        <v>0</v>
      </c>
      <c r="I168" s="28">
        <f>0.45*0.25*3.36*3</f>
        <v>1.1339999999999999</v>
      </c>
    </row>
    <row r="169" spans="1:13" x14ac:dyDescent="0.2">
      <c r="A169" s="144" t="s">
        <v>465</v>
      </c>
      <c r="B169" s="145" t="s">
        <v>198</v>
      </c>
      <c r="C169" s="146"/>
      <c r="D169" s="147"/>
      <c r="E169" s="148"/>
      <c r="F169" s="59"/>
      <c r="G169" s="60">
        <f t="shared" ref="G169:G170" si="24">(D169*E169)+(D169*F169)</f>
        <v>0</v>
      </c>
    </row>
    <row r="170" spans="1:13" ht="13.5" x14ac:dyDescent="0.2">
      <c r="A170" s="141"/>
      <c r="B170" s="142" t="s">
        <v>277</v>
      </c>
      <c r="C170" s="143" t="s">
        <v>390</v>
      </c>
      <c r="D170" s="91">
        <v>2.95</v>
      </c>
      <c r="E170" s="44"/>
      <c r="F170" s="59"/>
      <c r="G170" s="60">
        <f t="shared" si="24"/>
        <v>0</v>
      </c>
      <c r="I170" s="28">
        <f>19.4*0.56</f>
        <v>10.864000000000001</v>
      </c>
      <c r="J170" s="28">
        <f>214.37+I170</f>
        <v>225.23400000000001</v>
      </c>
      <c r="K170" s="28">
        <f>J170*0.1</f>
        <v>22.523400000000002</v>
      </c>
    </row>
    <row r="171" spans="1:13" x14ac:dyDescent="0.2">
      <c r="A171" s="132" t="s">
        <v>467</v>
      </c>
      <c r="B171" s="133" t="s">
        <v>260</v>
      </c>
      <c r="C171" s="134"/>
      <c r="D171" s="135"/>
      <c r="E171" s="136"/>
      <c r="F171" s="137"/>
      <c r="G171" s="138"/>
    </row>
    <row r="172" spans="1:13" x14ac:dyDescent="0.2">
      <c r="A172" s="144" t="s">
        <v>112</v>
      </c>
      <c r="B172" s="145" t="s">
        <v>272</v>
      </c>
      <c r="C172" s="146"/>
      <c r="D172" s="147"/>
      <c r="E172" s="148"/>
      <c r="F172" s="149"/>
      <c r="G172" s="150"/>
    </row>
    <row r="173" spans="1:13" ht="13.5" x14ac:dyDescent="0.2">
      <c r="A173" s="141"/>
      <c r="B173" s="142" t="s">
        <v>462</v>
      </c>
      <c r="C173" s="143" t="s">
        <v>390</v>
      </c>
      <c r="D173" s="91">
        <v>11</v>
      </c>
      <c r="E173" s="44"/>
      <c r="F173" s="59"/>
      <c r="G173" s="60">
        <f t="shared" ref="G173:G174" si="25">(D173*E173)+(D173*F173)</f>
        <v>0</v>
      </c>
      <c r="I173" s="28">
        <f>2.775*6+2.85*6*3+2.85*5+2.95+2.9</f>
        <v>88.050000000000011</v>
      </c>
      <c r="J173" s="28">
        <f>I173*0.25*0.5</f>
        <v>11.006250000000001</v>
      </c>
    </row>
    <row r="174" spans="1:13" ht="13.5" x14ac:dyDescent="0.2">
      <c r="A174" s="141"/>
      <c r="B174" s="142" t="s">
        <v>459</v>
      </c>
      <c r="C174" s="143" t="s">
        <v>390</v>
      </c>
      <c r="D174" s="91">
        <v>2.1</v>
      </c>
      <c r="E174" s="44"/>
      <c r="F174" s="59"/>
      <c r="G174" s="60">
        <f t="shared" si="25"/>
        <v>0</v>
      </c>
      <c r="I174" s="28">
        <f>5.55*3</f>
        <v>16.649999999999999</v>
      </c>
      <c r="J174" s="28">
        <f>I174*0.25*0.5</f>
        <v>2.0812499999999998</v>
      </c>
    </row>
    <row r="175" spans="1:13" ht="13.5" x14ac:dyDescent="0.2">
      <c r="A175" s="141"/>
      <c r="B175" s="142" t="s">
        <v>496</v>
      </c>
      <c r="C175" s="143" t="s">
        <v>390</v>
      </c>
      <c r="D175" s="91">
        <v>20.2</v>
      </c>
      <c r="E175" s="44"/>
      <c r="F175" s="59"/>
      <c r="G175" s="60">
        <f t="shared" ref="G175:G177" si="26">(D175*E175)+(D175*F175)</f>
        <v>0</v>
      </c>
      <c r="I175" s="28">
        <f>11.5*9</f>
        <v>103.5</v>
      </c>
      <c r="J175" s="28">
        <f>I175*0.3*0.65</f>
        <v>20.182499999999997</v>
      </c>
    </row>
    <row r="176" spans="1:13" x14ac:dyDescent="0.2">
      <c r="A176" s="144" t="s">
        <v>170</v>
      </c>
      <c r="B176" s="145" t="s">
        <v>279</v>
      </c>
      <c r="C176" s="146"/>
      <c r="D176" s="147"/>
      <c r="E176" s="148"/>
      <c r="F176" s="59"/>
      <c r="G176" s="60">
        <f t="shared" si="26"/>
        <v>0</v>
      </c>
    </row>
    <row r="177" spans="1:13" ht="13.5" x14ac:dyDescent="0.2">
      <c r="A177" s="141"/>
      <c r="B177" s="142" t="s">
        <v>280</v>
      </c>
      <c r="C177" s="143" t="s">
        <v>390</v>
      </c>
      <c r="D177" s="91">
        <v>23.1</v>
      </c>
      <c r="E177" s="44"/>
      <c r="F177" s="59"/>
      <c r="G177" s="60">
        <f t="shared" si="26"/>
        <v>0</v>
      </c>
      <c r="I177" s="28">
        <f>103.93+7.75*1.125*2+28.5*1.125</f>
        <v>153.43</v>
      </c>
      <c r="J177" s="28">
        <f>I177*0.15</f>
        <v>23.014500000000002</v>
      </c>
    </row>
    <row r="178" spans="1:13" x14ac:dyDescent="0.2">
      <c r="A178" s="141"/>
      <c r="B178" s="145" t="s">
        <v>172</v>
      </c>
      <c r="C178" s="146"/>
      <c r="D178" s="147"/>
      <c r="E178" s="148"/>
      <c r="F178" s="149"/>
      <c r="G178" s="150"/>
    </row>
    <row r="179" spans="1:13" ht="13.5" x14ac:dyDescent="0.2">
      <c r="A179" s="141"/>
      <c r="B179" s="142" t="s">
        <v>478</v>
      </c>
      <c r="C179" s="143" t="s">
        <v>390</v>
      </c>
      <c r="D179" s="91">
        <v>0.75</v>
      </c>
      <c r="E179" s="44"/>
      <c r="F179" s="59"/>
      <c r="G179" s="60">
        <f t="shared" ref="G179" si="27">(D179*E179)+(D179*F179)</f>
        <v>0</v>
      </c>
      <c r="I179" s="28">
        <f>0.25*0.25*2.99*4</f>
        <v>0.74750000000000005</v>
      </c>
    </row>
    <row r="180" spans="1:13" x14ac:dyDescent="0.2">
      <c r="A180" s="144" t="s">
        <v>310</v>
      </c>
      <c r="B180" s="145" t="s">
        <v>469</v>
      </c>
      <c r="C180" s="146"/>
      <c r="D180" s="147"/>
      <c r="E180" s="148"/>
      <c r="F180" s="59"/>
      <c r="G180" s="60">
        <f t="shared" ref="G180:G181" si="28">(D180*E180)+(D180*F180)</f>
        <v>0</v>
      </c>
    </row>
    <row r="181" spans="1:13" ht="13.5" x14ac:dyDescent="0.2">
      <c r="A181" s="141"/>
      <c r="B181" s="142" t="s">
        <v>470</v>
      </c>
      <c r="C181" s="143" t="s">
        <v>390</v>
      </c>
      <c r="D181" s="91">
        <v>2.86</v>
      </c>
      <c r="E181" s="44"/>
      <c r="F181" s="59"/>
      <c r="G181" s="60">
        <f t="shared" si="28"/>
        <v>0</v>
      </c>
      <c r="I181" s="28">
        <f>23.95*2+7.75*2</f>
        <v>63.4</v>
      </c>
      <c r="J181" s="28">
        <f>I181*0.15*0.3</f>
        <v>2.8529999999999998</v>
      </c>
    </row>
    <row r="182" spans="1:13" x14ac:dyDescent="0.2">
      <c r="A182" s="144" t="s">
        <v>471</v>
      </c>
      <c r="B182" s="145" t="s">
        <v>291</v>
      </c>
      <c r="C182" s="146"/>
      <c r="D182" s="147"/>
      <c r="E182" s="148"/>
      <c r="F182" s="59"/>
      <c r="G182" s="60">
        <f t="shared" ref="G182:G183" si="29">(D182*E182)+(D182*F182)</f>
        <v>0</v>
      </c>
    </row>
    <row r="183" spans="1:13" ht="13.5" x14ac:dyDescent="0.2">
      <c r="A183" s="141"/>
      <c r="B183" s="142" t="s">
        <v>472</v>
      </c>
      <c r="C183" s="143" t="s">
        <v>390</v>
      </c>
      <c r="D183" s="91">
        <v>17.05</v>
      </c>
      <c r="E183" s="44"/>
      <c r="F183" s="59"/>
      <c r="G183" s="60">
        <f t="shared" si="29"/>
        <v>0</v>
      </c>
      <c r="I183" s="28">
        <f>25.8+13.1+3.475+15.725+2.15+1.55+19.1+3.2</f>
        <v>84.100000000000009</v>
      </c>
      <c r="J183" s="28">
        <f>I183*0.15*1.35</f>
        <v>17.030250000000002</v>
      </c>
    </row>
    <row r="184" spans="1:13" ht="12.75" thickBot="1" x14ac:dyDescent="0.25">
      <c r="A184" s="151"/>
      <c r="B184" s="152"/>
      <c r="C184" s="153"/>
      <c r="D184" s="154"/>
      <c r="E184" s="77"/>
      <c r="F184" s="155"/>
      <c r="G184" s="156"/>
    </row>
    <row r="185" spans="1:13" x14ac:dyDescent="0.2">
      <c r="A185" s="132" t="s">
        <v>473</v>
      </c>
      <c r="B185" s="133" t="s">
        <v>474</v>
      </c>
      <c r="C185" s="134"/>
      <c r="D185" s="135"/>
      <c r="E185" s="136"/>
      <c r="F185" s="137"/>
      <c r="G185" s="138"/>
    </row>
    <row r="186" spans="1:13" x14ac:dyDescent="0.2">
      <c r="A186" s="144" t="s">
        <v>117</v>
      </c>
      <c r="B186" s="145" t="s">
        <v>272</v>
      </c>
      <c r="C186" s="146"/>
      <c r="D186" s="147"/>
      <c r="E186" s="148"/>
      <c r="F186" s="149"/>
      <c r="G186" s="150"/>
    </row>
    <row r="187" spans="1:13" ht="13.5" x14ac:dyDescent="0.2">
      <c r="A187" s="141"/>
      <c r="B187" s="142" t="s">
        <v>462</v>
      </c>
      <c r="C187" s="143" t="s">
        <v>390</v>
      </c>
      <c r="D187" s="91">
        <v>0.51</v>
      </c>
      <c r="E187" s="44"/>
      <c r="F187" s="59"/>
      <c r="G187" s="60">
        <f t="shared" ref="G187:G190" si="30">(D187*E187)+(D187*F187)</f>
        <v>0</v>
      </c>
      <c r="I187" s="28">
        <f>2.9+2.85</f>
        <v>5.75</v>
      </c>
      <c r="J187" s="28">
        <f>I187*0.25*0.35</f>
        <v>0.50312499999999993</v>
      </c>
    </row>
    <row r="188" spans="1:13" ht="13.5" x14ac:dyDescent="0.2">
      <c r="A188" s="141"/>
      <c r="B188" s="142" t="s">
        <v>476</v>
      </c>
      <c r="C188" s="143" t="s">
        <v>390</v>
      </c>
      <c r="D188" s="91">
        <v>1.4</v>
      </c>
      <c r="E188" s="44"/>
      <c r="F188" s="59"/>
      <c r="G188" s="60">
        <f t="shared" si="30"/>
        <v>0</v>
      </c>
      <c r="I188" s="28">
        <f>5.55*2</f>
        <v>11.1</v>
      </c>
      <c r="J188" s="28">
        <f>I188*0.25*0.5</f>
        <v>1.3875</v>
      </c>
    </row>
    <row r="189" spans="1:13" x14ac:dyDescent="0.2">
      <c r="A189" s="144" t="s">
        <v>475</v>
      </c>
      <c r="B189" s="145" t="s">
        <v>279</v>
      </c>
      <c r="C189" s="146"/>
      <c r="D189" s="147"/>
      <c r="E189" s="148"/>
      <c r="F189" s="59"/>
      <c r="G189" s="60">
        <f t="shared" si="30"/>
        <v>0</v>
      </c>
    </row>
    <row r="190" spans="1:13" ht="13.5" x14ac:dyDescent="0.2">
      <c r="A190" s="141"/>
      <c r="B190" s="142" t="s">
        <v>280</v>
      </c>
      <c r="C190" s="143" t="s">
        <v>390</v>
      </c>
      <c r="D190" s="91">
        <v>4.26</v>
      </c>
      <c r="E190" s="44"/>
      <c r="F190" s="59"/>
      <c r="G190" s="60">
        <f t="shared" si="30"/>
        <v>0</v>
      </c>
      <c r="I190" s="28">
        <f>6.6*4.3</f>
        <v>28.38</v>
      </c>
      <c r="J190" s="28">
        <f>I190*0.15</f>
        <v>4.2569999999999997</v>
      </c>
    </row>
    <row r="191" spans="1:13" x14ac:dyDescent="0.2">
      <c r="A191" s="118" t="s">
        <v>72</v>
      </c>
      <c r="B191" s="157" t="s">
        <v>12</v>
      </c>
      <c r="C191" s="131"/>
      <c r="D191" s="121"/>
      <c r="E191" s="122"/>
      <c r="F191" s="121"/>
      <c r="G191" s="158"/>
      <c r="M191" s="28" t="e">
        <f>#REF!-#REF!</f>
        <v>#REF!</v>
      </c>
    </row>
    <row r="192" spans="1:13" ht="25.5" customHeight="1" x14ac:dyDescent="0.2">
      <c r="A192" s="40"/>
      <c r="B192" s="67" t="s">
        <v>135</v>
      </c>
      <c r="C192" s="67"/>
      <c r="D192" s="67"/>
      <c r="E192" s="67"/>
      <c r="F192" s="67"/>
      <c r="G192" s="159"/>
    </row>
    <row r="193" spans="1:17" ht="59.25" customHeight="1" x14ac:dyDescent="0.2">
      <c r="A193" s="40"/>
      <c r="B193" s="67" t="s">
        <v>73</v>
      </c>
      <c r="C193" s="67"/>
      <c r="D193" s="67"/>
      <c r="E193" s="67"/>
      <c r="F193" s="67"/>
      <c r="G193" s="159"/>
    </row>
    <row r="194" spans="1:17" ht="50.25" customHeight="1" x14ac:dyDescent="0.2">
      <c r="A194" s="40"/>
      <c r="B194" s="67" t="s">
        <v>74</v>
      </c>
      <c r="C194" s="67"/>
      <c r="D194" s="67"/>
      <c r="E194" s="67"/>
      <c r="F194" s="67"/>
      <c r="G194" s="159"/>
    </row>
    <row r="195" spans="1:17" ht="59.25" customHeight="1" x14ac:dyDescent="0.2">
      <c r="A195" s="40"/>
      <c r="B195" s="62" t="s">
        <v>75</v>
      </c>
      <c r="C195" s="62"/>
      <c r="D195" s="62"/>
      <c r="E195" s="62"/>
      <c r="F195" s="62"/>
      <c r="G195" s="160"/>
    </row>
    <row r="196" spans="1:17" x14ac:dyDescent="0.2">
      <c r="A196" s="132" t="s">
        <v>151</v>
      </c>
      <c r="B196" s="133" t="s">
        <v>64</v>
      </c>
      <c r="C196" s="134"/>
      <c r="D196" s="135"/>
      <c r="E196" s="136"/>
      <c r="F196" s="137"/>
      <c r="G196" s="138"/>
    </row>
    <row r="197" spans="1:17" ht="13.5" x14ac:dyDescent="0.2">
      <c r="A197" s="40"/>
      <c r="B197" s="105" t="s">
        <v>434</v>
      </c>
      <c r="C197" s="161" t="s">
        <v>391</v>
      </c>
      <c r="D197" s="57">
        <v>49.17</v>
      </c>
      <c r="E197" s="44"/>
      <c r="F197" s="59"/>
      <c r="G197" s="60">
        <f t="shared" ref="G197:G199" si="31">(D197*E197)+(D197*F197)</f>
        <v>0</v>
      </c>
      <c r="I197" s="39">
        <f>(27.545+3.1)*0.35*2</f>
        <v>21.451499999999999</v>
      </c>
      <c r="J197" s="39"/>
      <c r="K197" s="39">
        <f>27.545*0.8*0.1</f>
        <v>2.2036000000000002</v>
      </c>
      <c r="L197" s="39">
        <f>(27.545+0.8)*0.45*2</f>
        <v>25.510500000000004</v>
      </c>
      <c r="M197" s="28">
        <f>SUM(I197:L197)</f>
        <v>49.165600000000005</v>
      </c>
      <c r="N197" s="39"/>
      <c r="O197" s="39"/>
      <c r="P197" s="39"/>
      <c r="Q197" s="39"/>
    </row>
    <row r="198" spans="1:17" ht="13.5" x14ac:dyDescent="0.2">
      <c r="A198" s="40"/>
      <c r="B198" s="105" t="s">
        <v>438</v>
      </c>
      <c r="C198" s="161" t="s">
        <v>391</v>
      </c>
      <c r="D198" s="57">
        <v>14.7</v>
      </c>
      <c r="E198" s="44"/>
      <c r="F198" s="59"/>
      <c r="G198" s="60">
        <f t="shared" si="31"/>
        <v>0</v>
      </c>
      <c r="I198" s="39">
        <f>(3.3+2.8)*2*2*0.35</f>
        <v>8.5399999999999991</v>
      </c>
      <c r="J198" s="39">
        <f>(3.3+0.55)*0.4*2*2</f>
        <v>6.16</v>
      </c>
      <c r="K198" s="39">
        <f>SUM(I198:J198)</f>
        <v>14.7</v>
      </c>
      <c r="L198" s="39"/>
      <c r="M198" s="39"/>
      <c r="N198" s="140"/>
    </row>
    <row r="199" spans="1:17" ht="13.5" x14ac:dyDescent="0.2">
      <c r="A199" s="40"/>
      <c r="B199" s="105" t="s">
        <v>439</v>
      </c>
      <c r="C199" s="161" t="s">
        <v>391</v>
      </c>
      <c r="D199" s="57">
        <v>13.85</v>
      </c>
      <c r="E199" s="44"/>
      <c r="F199" s="59"/>
      <c r="G199" s="60">
        <f t="shared" si="31"/>
        <v>0</v>
      </c>
      <c r="I199" s="39">
        <f>(3.1+2.6)*2*0.35*2</f>
        <v>7.9799999999999995</v>
      </c>
      <c r="J199" s="39">
        <f>(3.1+0.55)*0.4*2*2</f>
        <v>5.8400000000000007</v>
      </c>
      <c r="K199" s="39">
        <f>SUM(I199:J199)</f>
        <v>13.82</v>
      </c>
      <c r="L199" s="39"/>
      <c r="M199" s="39"/>
      <c r="N199" s="140"/>
    </row>
    <row r="200" spans="1:17" ht="13.5" x14ac:dyDescent="0.2">
      <c r="A200" s="40"/>
      <c r="B200" s="105" t="s">
        <v>477</v>
      </c>
      <c r="C200" s="161" t="s">
        <v>391</v>
      </c>
      <c r="D200" s="57">
        <v>16</v>
      </c>
      <c r="E200" s="44"/>
      <c r="F200" s="59"/>
      <c r="G200" s="60"/>
      <c r="I200" s="39">
        <f>(8+4.4)*0.35*2</f>
        <v>8.68</v>
      </c>
      <c r="J200" s="39">
        <f>1.8*0.15</f>
        <v>0.27</v>
      </c>
      <c r="K200" s="39">
        <f>(8+0.8)*2*0.4</f>
        <v>7.0400000000000009</v>
      </c>
      <c r="L200" s="39">
        <f>SUM(I200:K200)</f>
        <v>15.99</v>
      </c>
      <c r="M200" s="39"/>
      <c r="N200" s="140"/>
    </row>
    <row r="201" spans="1:17" ht="13.5" x14ac:dyDescent="0.2">
      <c r="A201" s="40"/>
      <c r="B201" s="105" t="s">
        <v>440</v>
      </c>
      <c r="C201" s="161" t="s">
        <v>391</v>
      </c>
      <c r="D201" s="57">
        <v>7.56</v>
      </c>
      <c r="E201" s="44"/>
      <c r="F201" s="59"/>
      <c r="G201" s="60"/>
      <c r="I201" s="39">
        <f>7*2.4*0.35</f>
        <v>5.88</v>
      </c>
      <c r="J201" s="39">
        <f>7*0.6*0.4</f>
        <v>1.6800000000000002</v>
      </c>
      <c r="K201" s="39">
        <f>SUM(I201:J201)</f>
        <v>7.5600000000000005</v>
      </c>
      <c r="L201" s="39"/>
      <c r="M201" s="39"/>
      <c r="N201" s="140"/>
    </row>
    <row r="202" spans="1:17" ht="13.5" x14ac:dyDescent="0.2">
      <c r="A202" s="40"/>
      <c r="B202" s="105" t="s">
        <v>441</v>
      </c>
      <c r="C202" s="161" t="s">
        <v>391</v>
      </c>
      <c r="D202" s="57">
        <v>10.35</v>
      </c>
      <c r="E202" s="44"/>
      <c r="F202" s="59"/>
      <c r="G202" s="60"/>
      <c r="I202" s="39">
        <f>(5.1+2.95)*2*0.35</f>
        <v>5.6349999999999998</v>
      </c>
      <c r="J202" s="39">
        <f>(5.1+0.8)*0.4*2</f>
        <v>4.72</v>
      </c>
      <c r="K202" s="39">
        <f>SUM(I202:J202)</f>
        <v>10.355</v>
      </c>
      <c r="L202" s="39"/>
      <c r="M202" s="39"/>
      <c r="N202" s="140"/>
    </row>
    <row r="203" spans="1:17" ht="13.5" x14ac:dyDescent="0.2">
      <c r="A203" s="40"/>
      <c r="B203" s="105" t="s">
        <v>433</v>
      </c>
      <c r="C203" s="161" t="s">
        <v>391</v>
      </c>
      <c r="D203" s="57">
        <v>6.51</v>
      </c>
      <c r="E203" s="44"/>
      <c r="F203" s="59"/>
      <c r="G203" s="60"/>
      <c r="I203" s="39">
        <f>(1.3+1.8)*2*0.35*3</f>
        <v>6.51</v>
      </c>
      <c r="J203" s="39"/>
      <c r="K203" s="39"/>
      <c r="L203" s="39"/>
      <c r="M203" s="39"/>
      <c r="N203" s="140"/>
    </row>
    <row r="204" spans="1:17" ht="13.5" x14ac:dyDescent="0.2">
      <c r="A204" s="40"/>
      <c r="B204" s="105" t="s">
        <v>435</v>
      </c>
      <c r="C204" s="161" t="s">
        <v>391</v>
      </c>
      <c r="D204" s="57">
        <v>3.15</v>
      </c>
      <c r="E204" s="44"/>
      <c r="F204" s="59"/>
      <c r="G204" s="60"/>
      <c r="I204" s="39">
        <f>0.75*4*0.35*3</f>
        <v>3.1499999999999995</v>
      </c>
      <c r="J204" s="39"/>
      <c r="K204" s="39"/>
      <c r="L204" s="39"/>
      <c r="M204" s="39"/>
      <c r="N204" s="140"/>
    </row>
    <row r="205" spans="1:17" ht="13.5" x14ac:dyDescent="0.2">
      <c r="A205" s="40"/>
      <c r="B205" s="105" t="s">
        <v>436</v>
      </c>
      <c r="C205" s="161" t="s">
        <v>391</v>
      </c>
      <c r="D205" s="57">
        <v>143.15</v>
      </c>
      <c r="E205" s="44"/>
      <c r="F205" s="59"/>
      <c r="G205" s="60"/>
      <c r="I205" s="139">
        <f>11.3*3+5.375*3+10.5*2+10.7*2+11.3*2+3.495*2+2.7*3</f>
        <v>130.11500000000001</v>
      </c>
      <c r="J205" s="112">
        <f>I205*2*0.55</f>
        <v>143.12650000000002</v>
      </c>
      <c r="K205" s="112"/>
      <c r="L205" s="140"/>
      <c r="M205" s="39"/>
      <c r="N205" s="140"/>
    </row>
    <row r="206" spans="1:17" ht="13.5" x14ac:dyDescent="0.2">
      <c r="A206" s="141"/>
      <c r="B206" s="105" t="s">
        <v>437</v>
      </c>
      <c r="C206" s="161" t="s">
        <v>391</v>
      </c>
      <c r="D206" s="57">
        <v>16.05</v>
      </c>
      <c r="E206" s="44"/>
      <c r="F206" s="59"/>
      <c r="G206" s="60"/>
      <c r="I206" s="28">
        <f>2.65*6+1.425+2.725</f>
        <v>20.05</v>
      </c>
      <c r="J206" s="28">
        <f>I206*2*0.4</f>
        <v>16.040000000000003</v>
      </c>
      <c r="N206" s="140"/>
    </row>
    <row r="207" spans="1:17" x14ac:dyDescent="0.2">
      <c r="A207" s="132" t="s">
        <v>152</v>
      </c>
      <c r="B207" s="133" t="s">
        <v>67</v>
      </c>
      <c r="C207" s="134"/>
      <c r="D207" s="135"/>
      <c r="E207" s="136"/>
      <c r="F207" s="137"/>
      <c r="G207" s="138"/>
    </row>
    <row r="208" spans="1:17" x14ac:dyDescent="0.2">
      <c r="A208" s="144" t="s">
        <v>156</v>
      </c>
      <c r="B208" s="145" t="s">
        <v>172</v>
      </c>
      <c r="C208" s="146"/>
      <c r="D208" s="147"/>
      <c r="E208" s="148"/>
      <c r="F208" s="149"/>
      <c r="G208" s="150"/>
    </row>
    <row r="209" spans="1:10" ht="13.5" x14ac:dyDescent="0.2">
      <c r="A209" s="141"/>
      <c r="B209" s="142" t="s">
        <v>447</v>
      </c>
      <c r="C209" s="161" t="s">
        <v>391</v>
      </c>
      <c r="D209" s="91">
        <v>27.41</v>
      </c>
      <c r="E209" s="44"/>
      <c r="F209" s="59"/>
      <c r="G209" s="60">
        <f t="shared" ref="G209:G212" si="32">(D209*E209)+(D209*F209)</f>
        <v>0</v>
      </c>
      <c r="I209" s="28">
        <f>0.25*4*3.915*7</f>
        <v>27.405000000000001</v>
      </c>
    </row>
    <row r="210" spans="1:10" ht="13.5" x14ac:dyDescent="0.2">
      <c r="A210" s="141"/>
      <c r="B210" s="142" t="s">
        <v>448</v>
      </c>
      <c r="C210" s="161" t="s">
        <v>391</v>
      </c>
      <c r="D210" s="91">
        <v>133.9</v>
      </c>
      <c r="E210" s="44"/>
      <c r="F210" s="59"/>
      <c r="G210" s="60">
        <f t="shared" si="32"/>
        <v>0</v>
      </c>
      <c r="I210" s="28">
        <f>0.95*2*3.915*18</f>
        <v>133.893</v>
      </c>
    </row>
    <row r="211" spans="1:10" ht="13.5" x14ac:dyDescent="0.2">
      <c r="A211" s="141"/>
      <c r="B211" s="142" t="s">
        <v>449</v>
      </c>
      <c r="C211" s="161" t="s">
        <v>391</v>
      </c>
      <c r="D211" s="91">
        <v>8.2200000000000006</v>
      </c>
      <c r="E211" s="44"/>
      <c r="F211" s="59"/>
      <c r="G211" s="60">
        <f t="shared" si="32"/>
        <v>0</v>
      </c>
      <c r="I211" s="28">
        <f>0.7*3.915*3</f>
        <v>8.2214999999999989</v>
      </c>
    </row>
    <row r="212" spans="1:10" ht="13.5" x14ac:dyDescent="0.2">
      <c r="A212" s="141"/>
      <c r="B212" s="142" t="s">
        <v>450</v>
      </c>
      <c r="C212" s="161" t="s">
        <v>391</v>
      </c>
      <c r="D212" s="91">
        <v>16.45</v>
      </c>
      <c r="E212" s="44"/>
      <c r="F212" s="59"/>
      <c r="G212" s="60">
        <f t="shared" si="32"/>
        <v>0</v>
      </c>
      <c r="I212" s="28">
        <f>0.35*4*3.915*3</f>
        <v>16.442999999999998</v>
      </c>
    </row>
    <row r="213" spans="1:10" x14ac:dyDescent="0.2">
      <c r="A213" s="141"/>
      <c r="B213" s="142"/>
      <c r="C213" s="161"/>
      <c r="D213" s="91"/>
      <c r="E213" s="44"/>
      <c r="F213" s="59"/>
      <c r="G213" s="60"/>
    </row>
    <row r="214" spans="1:10" x14ac:dyDescent="0.2">
      <c r="A214" s="144" t="s">
        <v>10</v>
      </c>
      <c r="B214" s="145" t="s">
        <v>198</v>
      </c>
      <c r="C214" s="146"/>
      <c r="D214" s="147"/>
      <c r="E214" s="148"/>
      <c r="F214" s="59"/>
      <c r="G214" s="60">
        <f t="shared" ref="G214:G217" si="33">(D214*E214)+(D214*F214)</f>
        <v>0</v>
      </c>
    </row>
    <row r="215" spans="1:10" ht="13.5" x14ac:dyDescent="0.2">
      <c r="A215" s="141"/>
      <c r="B215" s="142" t="s">
        <v>277</v>
      </c>
      <c r="C215" s="161" t="s">
        <v>391</v>
      </c>
      <c r="D215" s="91">
        <v>28.5</v>
      </c>
      <c r="E215" s="44"/>
      <c r="F215" s="59"/>
      <c r="G215" s="60">
        <f t="shared" si="33"/>
        <v>0</v>
      </c>
    </row>
    <row r="216" spans="1:10" x14ac:dyDescent="0.2">
      <c r="A216" s="144" t="s">
        <v>16</v>
      </c>
      <c r="B216" s="145" t="s">
        <v>200</v>
      </c>
      <c r="C216" s="146"/>
      <c r="D216" s="147"/>
      <c r="E216" s="148"/>
      <c r="F216" s="59"/>
      <c r="G216" s="60">
        <f t="shared" si="33"/>
        <v>0</v>
      </c>
    </row>
    <row r="217" spans="1:10" ht="13.5" x14ac:dyDescent="0.2">
      <c r="A217" s="141"/>
      <c r="B217" s="142" t="s">
        <v>276</v>
      </c>
      <c r="C217" s="161" t="s">
        <v>391</v>
      </c>
      <c r="D217" s="91">
        <v>9.6999999999999993</v>
      </c>
      <c r="E217" s="44"/>
      <c r="F217" s="59"/>
      <c r="G217" s="60">
        <f t="shared" si="33"/>
        <v>0</v>
      </c>
      <c r="I217" s="28">
        <v>96.75</v>
      </c>
      <c r="J217" s="28">
        <f>I217*0.1</f>
        <v>9.6750000000000007</v>
      </c>
    </row>
    <row r="218" spans="1:10" x14ac:dyDescent="0.2">
      <c r="A218" s="132" t="s">
        <v>57</v>
      </c>
      <c r="B218" s="133" t="s">
        <v>69</v>
      </c>
      <c r="C218" s="134"/>
      <c r="D218" s="135"/>
      <c r="E218" s="136"/>
      <c r="F218" s="137"/>
      <c r="G218" s="138"/>
    </row>
    <row r="219" spans="1:10" x14ac:dyDescent="0.2">
      <c r="A219" s="144" t="s">
        <v>157</v>
      </c>
      <c r="B219" s="145" t="s">
        <v>278</v>
      </c>
      <c r="C219" s="146"/>
      <c r="D219" s="147"/>
      <c r="E219" s="148"/>
      <c r="F219" s="149"/>
      <c r="G219" s="150"/>
    </row>
    <row r="220" spans="1:10" ht="13.5" x14ac:dyDescent="0.2">
      <c r="A220" s="141"/>
      <c r="B220" s="142" t="s">
        <v>442</v>
      </c>
      <c r="C220" s="161" t="s">
        <v>391</v>
      </c>
      <c r="D220" s="91">
        <v>101</v>
      </c>
      <c r="E220" s="44"/>
      <c r="F220" s="59"/>
      <c r="G220" s="60">
        <f t="shared" ref="G220:G226" si="34">(D220*E220)+(D220*F220)</f>
        <v>0</v>
      </c>
      <c r="I220" s="28">
        <f>2.775*8*2+12.8+2.95*7+2.925</f>
        <v>80.775000000000006</v>
      </c>
      <c r="J220" s="28">
        <f>I220*1.25</f>
        <v>100.96875</v>
      </c>
    </row>
    <row r="221" spans="1:10" ht="13.5" x14ac:dyDescent="0.2">
      <c r="A221" s="141"/>
      <c r="B221" s="142" t="s">
        <v>443</v>
      </c>
      <c r="C221" s="161" t="s">
        <v>391</v>
      </c>
      <c r="D221" s="91">
        <v>22.45</v>
      </c>
      <c r="E221" s="44"/>
      <c r="F221" s="59"/>
      <c r="G221" s="60">
        <f t="shared" si="34"/>
        <v>0</v>
      </c>
      <c r="I221" s="28">
        <f>11.5</f>
        <v>11.5</v>
      </c>
      <c r="J221" s="28">
        <f>I221*1.95</f>
        <v>22.425000000000001</v>
      </c>
    </row>
    <row r="222" spans="1:10" ht="13.5" x14ac:dyDescent="0.2">
      <c r="A222" s="141"/>
      <c r="B222" s="142" t="s">
        <v>444</v>
      </c>
      <c r="C222" s="161" t="s">
        <v>391</v>
      </c>
      <c r="D222" s="91">
        <v>20.85</v>
      </c>
      <c r="E222" s="44"/>
      <c r="F222" s="59"/>
      <c r="G222" s="60">
        <f t="shared" si="34"/>
        <v>0</v>
      </c>
      <c r="I222" s="28">
        <f>5.55*3</f>
        <v>16.649999999999999</v>
      </c>
      <c r="J222" s="28">
        <f>I222*1.25</f>
        <v>20.8125</v>
      </c>
    </row>
    <row r="223" spans="1:10" ht="13.5" x14ac:dyDescent="0.2">
      <c r="A223" s="141"/>
      <c r="B223" s="142" t="s">
        <v>445</v>
      </c>
      <c r="C223" s="161" t="s">
        <v>391</v>
      </c>
      <c r="D223" s="91">
        <v>20.95</v>
      </c>
      <c r="E223" s="44"/>
      <c r="F223" s="59"/>
      <c r="G223" s="60">
        <f t="shared" si="34"/>
        <v>0</v>
      </c>
      <c r="I223" s="28">
        <f>2.225+2.45*2+3.325+1.47+1.55+3.27</f>
        <v>16.740000000000002</v>
      </c>
      <c r="J223" s="28">
        <f>I223*1.25</f>
        <v>20.925000000000004</v>
      </c>
    </row>
    <row r="224" spans="1:10" ht="13.5" x14ac:dyDescent="0.2">
      <c r="A224" s="141"/>
      <c r="B224" s="142" t="s">
        <v>446</v>
      </c>
      <c r="C224" s="161" t="s">
        <v>391</v>
      </c>
      <c r="D224" s="91">
        <v>21</v>
      </c>
      <c r="E224" s="44"/>
      <c r="F224" s="59"/>
      <c r="G224" s="60">
        <f t="shared" si="34"/>
        <v>0</v>
      </c>
      <c r="I224" s="28">
        <f>0.8*5*2+1.05*3+2.15*2+1.725+2.825</f>
        <v>20</v>
      </c>
      <c r="J224" s="28">
        <f>I224*1.05</f>
        <v>21</v>
      </c>
    </row>
    <row r="225" spans="1:14" x14ac:dyDescent="0.2">
      <c r="A225" s="144" t="s">
        <v>68</v>
      </c>
      <c r="B225" s="145" t="s">
        <v>279</v>
      </c>
      <c r="C225" s="146"/>
      <c r="D225" s="147"/>
      <c r="E225" s="148"/>
      <c r="F225" s="59"/>
      <c r="G225" s="60">
        <f t="shared" si="34"/>
        <v>0</v>
      </c>
    </row>
    <row r="226" spans="1:14" ht="13.5" x14ac:dyDescent="0.2">
      <c r="A226" s="141"/>
      <c r="B226" s="142" t="s">
        <v>280</v>
      </c>
      <c r="C226" s="161" t="s">
        <v>391</v>
      </c>
      <c r="D226" s="91">
        <v>86.6</v>
      </c>
      <c r="E226" s="44"/>
      <c r="F226" s="59"/>
      <c r="G226" s="60">
        <f t="shared" si="34"/>
        <v>0</v>
      </c>
      <c r="I226" s="28">
        <f>(3+2.95*3+2.15)*2*0.9</f>
        <v>25.200000000000003</v>
      </c>
      <c r="J226" s="28">
        <f>(2.625+3.725+2.55)*0.9</f>
        <v>8.01</v>
      </c>
      <c r="K226" s="28">
        <f>5.75*2.95+2.9*1.76</f>
        <v>22.066500000000001</v>
      </c>
      <c r="L226" s="28">
        <f>(2.975+2.95*4)*1.47</f>
        <v>21.719249999999999</v>
      </c>
      <c r="M226" s="28">
        <f>3.27*2.925</f>
        <v>9.5647500000000001</v>
      </c>
      <c r="N226" s="28">
        <f>SUM(I226:M226)</f>
        <v>86.560500000000005</v>
      </c>
    </row>
    <row r="227" spans="1:14" x14ac:dyDescent="0.2">
      <c r="A227" s="141"/>
      <c r="B227" s="142"/>
      <c r="C227" s="161"/>
      <c r="D227" s="91"/>
      <c r="E227" s="44"/>
      <c r="F227" s="59"/>
      <c r="G227" s="60"/>
    </row>
    <row r="228" spans="1:14" ht="12.75" thickBot="1" x14ac:dyDescent="0.25">
      <c r="A228" s="151"/>
      <c r="B228" s="152"/>
      <c r="C228" s="162"/>
      <c r="D228" s="154"/>
      <c r="E228" s="77"/>
      <c r="F228" s="155"/>
      <c r="G228" s="156"/>
    </row>
    <row r="229" spans="1:14" x14ac:dyDescent="0.2">
      <c r="A229" s="144" t="s">
        <v>72</v>
      </c>
      <c r="B229" s="145" t="s">
        <v>172</v>
      </c>
      <c r="C229" s="146"/>
      <c r="D229" s="147"/>
      <c r="E229" s="148"/>
      <c r="F229" s="149"/>
      <c r="G229" s="150"/>
    </row>
    <row r="230" spans="1:14" ht="13.5" x14ac:dyDescent="0.2">
      <c r="A230" s="141"/>
      <c r="B230" s="142" t="s">
        <v>451</v>
      </c>
      <c r="C230" s="161" t="s">
        <v>391</v>
      </c>
      <c r="D230" s="91">
        <v>16.8</v>
      </c>
      <c r="E230" s="44"/>
      <c r="F230" s="59"/>
      <c r="G230" s="60">
        <f t="shared" ref="G230:G235" si="35">(D230*E230)+(D230*F230)</f>
        <v>0</v>
      </c>
      <c r="I230" s="28">
        <f>0.25*4*3.36*5</f>
        <v>16.8</v>
      </c>
    </row>
    <row r="231" spans="1:14" ht="13.5" x14ac:dyDescent="0.2">
      <c r="A231" s="141"/>
      <c r="B231" s="142" t="s">
        <v>452</v>
      </c>
      <c r="C231" s="161" t="s">
        <v>391</v>
      </c>
      <c r="D231" s="91">
        <v>114.92</v>
      </c>
      <c r="E231" s="44"/>
      <c r="F231" s="59"/>
      <c r="G231" s="60">
        <f t="shared" si="35"/>
        <v>0</v>
      </c>
      <c r="I231" s="28">
        <f>0.95*3.36*18*2</f>
        <v>114.91199999999999</v>
      </c>
    </row>
    <row r="232" spans="1:14" ht="13.5" x14ac:dyDescent="0.2">
      <c r="A232" s="141"/>
      <c r="B232" s="142" t="s">
        <v>453</v>
      </c>
      <c r="C232" s="161" t="s">
        <v>391</v>
      </c>
      <c r="D232" s="91">
        <v>14.15</v>
      </c>
      <c r="E232" s="44"/>
      <c r="F232" s="59"/>
      <c r="G232" s="60">
        <f t="shared" si="35"/>
        <v>0</v>
      </c>
      <c r="I232" s="28">
        <f>0.7*2*3.36*3</f>
        <v>14.111999999999998</v>
      </c>
    </row>
    <row r="233" spans="1:14" ht="13.5" x14ac:dyDescent="0.2">
      <c r="A233" s="141"/>
      <c r="B233" s="142" t="s">
        <v>457</v>
      </c>
      <c r="C233" s="161" t="s">
        <v>391</v>
      </c>
      <c r="D233" s="91">
        <v>14.15</v>
      </c>
      <c r="E233" s="44"/>
      <c r="F233" s="59"/>
      <c r="G233" s="60">
        <f t="shared" si="35"/>
        <v>0</v>
      </c>
      <c r="I233" s="28">
        <f>0.35*4*3.36*3</f>
        <v>14.111999999999998</v>
      </c>
    </row>
    <row r="234" spans="1:14" x14ac:dyDescent="0.2">
      <c r="A234" s="144" t="s">
        <v>101</v>
      </c>
      <c r="B234" s="145" t="s">
        <v>198</v>
      </c>
      <c r="C234" s="146"/>
      <c r="D234" s="147"/>
      <c r="E234" s="148"/>
      <c r="F234" s="59"/>
      <c r="G234" s="60">
        <f t="shared" si="35"/>
        <v>0</v>
      </c>
    </row>
    <row r="235" spans="1:14" ht="13.5" x14ac:dyDescent="0.2">
      <c r="A235" s="141"/>
      <c r="B235" s="142" t="s">
        <v>277</v>
      </c>
      <c r="C235" s="161" t="s">
        <v>391</v>
      </c>
      <c r="D235" s="91">
        <v>24.5</v>
      </c>
      <c r="E235" s="44"/>
      <c r="F235" s="59"/>
      <c r="G235" s="60">
        <f t="shared" si="35"/>
        <v>0</v>
      </c>
      <c r="I235" s="28">
        <f>19.4*0.56</f>
        <v>10.864000000000001</v>
      </c>
      <c r="J235" s="28">
        <f>214.37+I235</f>
        <v>225.23400000000001</v>
      </c>
      <c r="K235" s="28">
        <f>J235*0.1</f>
        <v>22.523400000000002</v>
      </c>
    </row>
    <row r="236" spans="1:14" x14ac:dyDescent="0.2">
      <c r="A236" s="132" t="s">
        <v>153</v>
      </c>
      <c r="B236" s="133" t="s">
        <v>71</v>
      </c>
      <c r="C236" s="134"/>
      <c r="D236" s="135"/>
      <c r="E236" s="136"/>
      <c r="F236" s="137"/>
      <c r="G236" s="138"/>
    </row>
    <row r="237" spans="1:14" x14ac:dyDescent="0.2">
      <c r="A237" s="144" t="s">
        <v>104</v>
      </c>
      <c r="B237" s="145" t="s">
        <v>278</v>
      </c>
      <c r="C237" s="146"/>
      <c r="D237" s="147"/>
      <c r="E237" s="148"/>
      <c r="F237" s="149"/>
      <c r="G237" s="150"/>
    </row>
    <row r="238" spans="1:14" ht="13.5" x14ac:dyDescent="0.2">
      <c r="A238" s="141"/>
      <c r="B238" s="142" t="s">
        <v>442</v>
      </c>
      <c r="C238" s="161" t="s">
        <v>391</v>
      </c>
      <c r="D238" s="91">
        <v>81.95</v>
      </c>
      <c r="E238" s="44"/>
      <c r="F238" s="59"/>
      <c r="G238" s="60">
        <f t="shared" ref="G238:G242" si="36">(D238*E238)+(D238*F238)</f>
        <v>0</v>
      </c>
      <c r="I238" s="28">
        <f>2.775*4+2.85*6*2+2.975+2.95*4+2.95+2.9</f>
        <v>65.925000000000011</v>
      </c>
      <c r="J238" s="28">
        <f>I238*1.2</f>
        <v>79.110000000000014</v>
      </c>
      <c r="K238" s="28">
        <f>16.025+2.9</f>
        <v>18.924999999999997</v>
      </c>
      <c r="L238" s="28">
        <f>K238*0.15</f>
        <v>2.8387499999999997</v>
      </c>
      <c r="M238" s="28">
        <f>L238+J238</f>
        <v>81.948750000000018</v>
      </c>
    </row>
    <row r="239" spans="1:14" ht="13.5" x14ac:dyDescent="0.2">
      <c r="A239" s="141"/>
      <c r="B239" s="142" t="s">
        <v>443</v>
      </c>
      <c r="C239" s="161" t="s">
        <v>391</v>
      </c>
      <c r="D239" s="91">
        <v>162.72999999999999</v>
      </c>
      <c r="E239" s="44"/>
      <c r="F239" s="59"/>
      <c r="G239" s="60">
        <f t="shared" si="36"/>
        <v>0</v>
      </c>
      <c r="I239" s="28">
        <f>11.5*8</f>
        <v>92</v>
      </c>
      <c r="J239" s="28">
        <f>I239*1.75</f>
        <v>161</v>
      </c>
      <c r="K239" s="28">
        <f>11.5*0.15</f>
        <v>1.7249999999999999</v>
      </c>
      <c r="L239" s="28">
        <f>SUM(J239:K239)</f>
        <v>162.72499999999999</v>
      </c>
    </row>
    <row r="240" spans="1:14" ht="13.5" x14ac:dyDescent="0.2">
      <c r="A240" s="141"/>
      <c r="B240" s="142" t="s">
        <v>454</v>
      </c>
      <c r="C240" s="161" t="s">
        <v>391</v>
      </c>
      <c r="D240" s="91">
        <v>20.7</v>
      </c>
      <c r="E240" s="44"/>
      <c r="F240" s="59"/>
      <c r="G240" s="60">
        <f t="shared" si="36"/>
        <v>0</v>
      </c>
      <c r="I240" s="28">
        <v>11.5</v>
      </c>
      <c r="J240" s="28">
        <f>I240*1.8</f>
        <v>20.7</v>
      </c>
    </row>
    <row r="241" spans="1:13" ht="13.5" x14ac:dyDescent="0.2">
      <c r="A241" s="141"/>
      <c r="B241" s="142" t="s">
        <v>455</v>
      </c>
      <c r="C241" s="161" t="s">
        <v>391</v>
      </c>
      <c r="D241" s="91">
        <v>7.75</v>
      </c>
      <c r="E241" s="44"/>
      <c r="F241" s="59"/>
      <c r="G241" s="60">
        <f t="shared" si="36"/>
        <v>0</v>
      </c>
      <c r="I241" s="28">
        <f>1.47*5</f>
        <v>7.35</v>
      </c>
      <c r="J241" s="28">
        <f>I241*1.05</f>
        <v>7.7175000000000002</v>
      </c>
    </row>
    <row r="242" spans="1:13" ht="13.5" x14ac:dyDescent="0.2">
      <c r="A242" s="141"/>
      <c r="B242" s="142" t="s">
        <v>456</v>
      </c>
      <c r="C242" s="161" t="s">
        <v>391</v>
      </c>
      <c r="D242" s="91">
        <v>20</v>
      </c>
      <c r="E242" s="44"/>
      <c r="F242" s="59"/>
      <c r="G242" s="60">
        <f t="shared" si="36"/>
        <v>0</v>
      </c>
      <c r="I242" s="28">
        <f>5.55*3</f>
        <v>16.649999999999999</v>
      </c>
      <c r="J242" s="28">
        <f>I242*1.2</f>
        <v>19.979999999999997</v>
      </c>
    </row>
    <row r="243" spans="1:13" x14ac:dyDescent="0.2">
      <c r="A243" s="144" t="s">
        <v>137</v>
      </c>
      <c r="B243" s="145" t="s">
        <v>279</v>
      </c>
      <c r="C243" s="146"/>
      <c r="D243" s="147"/>
      <c r="E243" s="148"/>
      <c r="F243" s="59"/>
      <c r="G243" s="60">
        <f t="shared" ref="G243:G244" si="37">(D243*E243)+(D243*F243)</f>
        <v>0</v>
      </c>
    </row>
    <row r="244" spans="1:13" ht="13.5" x14ac:dyDescent="0.2">
      <c r="A244" s="141"/>
      <c r="B244" s="142" t="s">
        <v>280</v>
      </c>
      <c r="C244" s="161" t="s">
        <v>391</v>
      </c>
      <c r="D244" s="91">
        <v>362</v>
      </c>
      <c r="E244" s="44"/>
      <c r="F244" s="59"/>
      <c r="G244" s="60">
        <f t="shared" si="37"/>
        <v>0</v>
      </c>
      <c r="I244" s="28">
        <v>398.5</v>
      </c>
      <c r="J244" s="28">
        <f>3.99*2.9+2.85*1.75*5</f>
        <v>36.508499999999998</v>
      </c>
      <c r="K244" s="28">
        <f>I244-J244</f>
        <v>361.99149999999997</v>
      </c>
    </row>
    <row r="245" spans="1:13" x14ac:dyDescent="0.2">
      <c r="A245" s="144" t="s">
        <v>138</v>
      </c>
      <c r="B245" s="145" t="s">
        <v>172</v>
      </c>
      <c r="C245" s="146"/>
      <c r="D245" s="147"/>
      <c r="E245" s="148"/>
      <c r="F245" s="149"/>
      <c r="G245" s="150"/>
    </row>
    <row r="246" spans="1:13" ht="13.5" x14ac:dyDescent="0.2">
      <c r="A246" s="141"/>
      <c r="B246" s="142" t="s">
        <v>451</v>
      </c>
      <c r="C246" s="161" t="s">
        <v>391</v>
      </c>
      <c r="D246" s="91">
        <v>16.8</v>
      </c>
      <c r="E246" s="44"/>
      <c r="F246" s="59"/>
      <c r="G246" s="60">
        <f t="shared" ref="G246:G250" si="38">(D246*E246)+(D246*F246)</f>
        <v>0</v>
      </c>
      <c r="I246" s="28">
        <f>0.25*4*3.36*5</f>
        <v>16.8</v>
      </c>
    </row>
    <row r="247" spans="1:13" ht="13.5" x14ac:dyDescent="0.2">
      <c r="A247" s="141"/>
      <c r="B247" s="142" t="s">
        <v>452</v>
      </c>
      <c r="C247" s="161" t="s">
        <v>391</v>
      </c>
      <c r="D247" s="91">
        <v>114.92</v>
      </c>
      <c r="E247" s="44"/>
      <c r="F247" s="59"/>
      <c r="G247" s="60">
        <f t="shared" si="38"/>
        <v>0</v>
      </c>
      <c r="I247" s="28">
        <f>0.95*3.36*18*2</f>
        <v>114.91199999999999</v>
      </c>
    </row>
    <row r="248" spans="1:13" ht="13.5" x14ac:dyDescent="0.2">
      <c r="A248" s="141"/>
      <c r="B248" s="142" t="s">
        <v>453</v>
      </c>
      <c r="C248" s="161" t="s">
        <v>391</v>
      </c>
      <c r="D248" s="91">
        <v>14.15</v>
      </c>
      <c r="E248" s="44"/>
      <c r="F248" s="59"/>
      <c r="G248" s="60">
        <f t="shared" si="38"/>
        <v>0</v>
      </c>
      <c r="I248" s="28">
        <f>0.7*2*3.36*3</f>
        <v>14.111999999999998</v>
      </c>
    </row>
    <row r="249" spans="1:13" x14ac:dyDescent="0.2">
      <c r="A249" s="144" t="s">
        <v>281</v>
      </c>
      <c r="B249" s="145" t="s">
        <v>198</v>
      </c>
      <c r="C249" s="146"/>
      <c r="D249" s="147"/>
      <c r="E249" s="148"/>
      <c r="F249" s="59"/>
      <c r="G249" s="60">
        <f t="shared" si="38"/>
        <v>0</v>
      </c>
    </row>
    <row r="250" spans="1:13" ht="13.5" x14ac:dyDescent="0.2">
      <c r="A250" s="141"/>
      <c r="B250" s="142" t="s">
        <v>277</v>
      </c>
      <c r="C250" s="161" t="s">
        <v>391</v>
      </c>
      <c r="D250" s="91">
        <v>24.5</v>
      </c>
      <c r="E250" s="44"/>
      <c r="F250" s="59"/>
      <c r="G250" s="60">
        <f t="shared" si="38"/>
        <v>0</v>
      </c>
      <c r="I250" s="28">
        <f>19.4*0.56</f>
        <v>10.864000000000001</v>
      </c>
      <c r="J250" s="28">
        <f>214.37+I250</f>
        <v>225.23400000000001</v>
      </c>
      <c r="K250" s="28">
        <f>J250*0.1</f>
        <v>22.523400000000002</v>
      </c>
    </row>
    <row r="251" spans="1:13" x14ac:dyDescent="0.2">
      <c r="A251" s="132" t="s">
        <v>154</v>
      </c>
      <c r="B251" s="133" t="s">
        <v>458</v>
      </c>
      <c r="C251" s="134"/>
      <c r="D251" s="135"/>
      <c r="E251" s="136"/>
      <c r="F251" s="137"/>
      <c r="G251" s="138"/>
    </row>
    <row r="252" spans="1:13" x14ac:dyDescent="0.2">
      <c r="A252" s="144" t="s">
        <v>110</v>
      </c>
      <c r="B252" s="145" t="s">
        <v>278</v>
      </c>
      <c r="C252" s="146"/>
      <c r="D252" s="147"/>
      <c r="E252" s="148"/>
      <c r="F252" s="149"/>
      <c r="G252" s="150"/>
    </row>
    <row r="253" spans="1:13" ht="13.5" x14ac:dyDescent="0.2">
      <c r="A253" s="141"/>
      <c r="B253" s="142" t="s">
        <v>462</v>
      </c>
      <c r="C253" s="161" t="s">
        <v>391</v>
      </c>
      <c r="D253" s="91">
        <v>95</v>
      </c>
      <c r="E253" s="44"/>
      <c r="F253" s="59"/>
      <c r="G253" s="60">
        <f t="shared" ref="G253:G255" si="39">(D253*E253)+(D253*F253)</f>
        <v>0</v>
      </c>
      <c r="I253" s="28">
        <f>2.775*6+2.85*6*3+2.975+2.95+2.9</f>
        <v>76.775000000000006</v>
      </c>
      <c r="J253" s="28">
        <f>I253*1.2</f>
        <v>92.13000000000001</v>
      </c>
      <c r="K253" s="28">
        <f>16.025+2.9</f>
        <v>18.924999999999997</v>
      </c>
      <c r="L253" s="28">
        <f>K253*0.15</f>
        <v>2.8387499999999997</v>
      </c>
      <c r="M253" s="28">
        <f>L253+J253</f>
        <v>94.968750000000014</v>
      </c>
    </row>
    <row r="254" spans="1:13" ht="13.5" x14ac:dyDescent="0.2">
      <c r="A254" s="141"/>
      <c r="B254" s="142" t="s">
        <v>461</v>
      </c>
      <c r="C254" s="161" t="s">
        <v>391</v>
      </c>
      <c r="D254" s="91">
        <v>182.9</v>
      </c>
      <c r="E254" s="44"/>
      <c r="F254" s="59"/>
      <c r="G254" s="60">
        <f t="shared" si="39"/>
        <v>0</v>
      </c>
      <c r="I254" s="28">
        <f>11.5*9</f>
        <v>103.5</v>
      </c>
      <c r="J254" s="28">
        <f>I254*1.75</f>
        <v>181.125</v>
      </c>
      <c r="K254" s="28">
        <f>11.5*0.15</f>
        <v>1.7249999999999999</v>
      </c>
      <c r="L254" s="28">
        <f>SUM(J254:K254)</f>
        <v>182.85</v>
      </c>
    </row>
    <row r="255" spans="1:13" ht="13.5" x14ac:dyDescent="0.2">
      <c r="A255" s="141"/>
      <c r="B255" s="142" t="s">
        <v>459</v>
      </c>
      <c r="C255" s="161" t="s">
        <v>391</v>
      </c>
      <c r="D255" s="91">
        <v>17.5</v>
      </c>
      <c r="E255" s="44"/>
      <c r="F255" s="59"/>
      <c r="G255" s="60">
        <f t="shared" si="39"/>
        <v>0</v>
      </c>
      <c r="I255" s="28">
        <f>5.55*3</f>
        <v>16.649999999999999</v>
      </c>
      <c r="J255" s="28">
        <f>I255*1.05</f>
        <v>17.482499999999998</v>
      </c>
    </row>
    <row r="256" spans="1:13" x14ac:dyDescent="0.2">
      <c r="A256" s="144" t="s">
        <v>144</v>
      </c>
      <c r="B256" s="145" t="s">
        <v>279</v>
      </c>
      <c r="C256" s="146"/>
      <c r="D256" s="147"/>
      <c r="E256" s="148"/>
      <c r="F256" s="59"/>
      <c r="G256" s="60">
        <f t="shared" ref="G256:G257" si="40">(D256*E256)+(D256*F256)</f>
        <v>0</v>
      </c>
    </row>
    <row r="257" spans="1:16" ht="13.5" x14ac:dyDescent="0.2">
      <c r="A257" s="141"/>
      <c r="B257" s="142" t="s">
        <v>280</v>
      </c>
      <c r="C257" s="161" t="s">
        <v>391</v>
      </c>
      <c r="D257" s="91">
        <v>33.75</v>
      </c>
      <c r="E257" s="44"/>
      <c r="F257" s="59"/>
      <c r="G257" s="60">
        <f t="shared" si="40"/>
        <v>0</v>
      </c>
      <c r="I257" s="28">
        <v>367.26</v>
      </c>
      <c r="J257" s="28">
        <f>3.99*2.9+2.85*1.75*5</f>
        <v>36.508499999999998</v>
      </c>
      <c r="K257" s="28">
        <f>I257-J257</f>
        <v>330.75149999999996</v>
      </c>
    </row>
    <row r="258" spans="1:16" x14ac:dyDescent="0.2">
      <c r="A258" s="144" t="s">
        <v>145</v>
      </c>
      <c r="B258" s="145" t="s">
        <v>172</v>
      </c>
      <c r="C258" s="146"/>
      <c r="D258" s="147"/>
      <c r="E258" s="148"/>
      <c r="F258" s="149"/>
      <c r="G258" s="150"/>
    </row>
    <row r="259" spans="1:16" ht="13.5" x14ac:dyDescent="0.2">
      <c r="A259" s="141"/>
      <c r="B259" s="142" t="s">
        <v>451</v>
      </c>
      <c r="C259" s="161" t="s">
        <v>391</v>
      </c>
      <c r="D259" s="91">
        <v>16.8</v>
      </c>
      <c r="E259" s="44"/>
      <c r="F259" s="59"/>
      <c r="G259" s="60">
        <f t="shared" ref="G259:G263" si="41">(D259*E259)+(D259*F259)</f>
        <v>0</v>
      </c>
      <c r="I259" s="28">
        <f>0.25*4*3.36*5</f>
        <v>16.8</v>
      </c>
      <c r="K259" s="28">
        <f>7.66*2.45*0.05</f>
        <v>0.93835000000000024</v>
      </c>
      <c r="L259" s="28">
        <f>K259*45%</f>
        <v>0.42225750000000012</v>
      </c>
      <c r="M259" s="28">
        <f>SUM(K259:L259)</f>
        <v>1.3606075000000004</v>
      </c>
      <c r="N259" s="28">
        <f>M259/5</f>
        <v>0.27212150000000007</v>
      </c>
      <c r="O259" s="28">
        <f>N259*1440</f>
        <v>391.85496000000012</v>
      </c>
      <c r="P259" s="28">
        <f>O259/50</f>
        <v>7.8370992000000026</v>
      </c>
    </row>
    <row r="260" spans="1:16" ht="13.5" x14ac:dyDescent="0.2">
      <c r="A260" s="141"/>
      <c r="B260" s="142" t="s">
        <v>452</v>
      </c>
      <c r="C260" s="161" t="s">
        <v>391</v>
      </c>
      <c r="D260" s="91">
        <v>114.92</v>
      </c>
      <c r="E260" s="44"/>
      <c r="F260" s="59"/>
      <c r="G260" s="60">
        <f t="shared" si="41"/>
        <v>0</v>
      </c>
      <c r="I260" s="28">
        <f>0.95*3.36*18*2</f>
        <v>114.91199999999999</v>
      </c>
    </row>
    <row r="261" spans="1:16" ht="13.5" x14ac:dyDescent="0.2">
      <c r="A261" s="141"/>
      <c r="B261" s="142" t="s">
        <v>453</v>
      </c>
      <c r="C261" s="161" t="s">
        <v>391</v>
      </c>
      <c r="D261" s="91">
        <v>14.15</v>
      </c>
      <c r="E261" s="44"/>
      <c r="F261" s="59"/>
      <c r="G261" s="60">
        <f t="shared" si="41"/>
        <v>0</v>
      </c>
      <c r="I261" s="28">
        <f>0.7*2*3.36*3</f>
        <v>14.111999999999998</v>
      </c>
    </row>
    <row r="262" spans="1:16" x14ac:dyDescent="0.2">
      <c r="A262" s="144" t="s">
        <v>167</v>
      </c>
      <c r="B262" s="145" t="s">
        <v>198</v>
      </c>
      <c r="C262" s="146"/>
      <c r="D262" s="147"/>
      <c r="E262" s="148"/>
      <c r="F262" s="59"/>
      <c r="G262" s="60">
        <f t="shared" si="41"/>
        <v>0</v>
      </c>
    </row>
    <row r="263" spans="1:16" ht="13.5" x14ac:dyDescent="0.2">
      <c r="A263" s="141"/>
      <c r="B263" s="142" t="s">
        <v>277</v>
      </c>
      <c r="C263" s="161" t="s">
        <v>391</v>
      </c>
      <c r="D263" s="91">
        <v>24.5</v>
      </c>
      <c r="E263" s="44"/>
      <c r="F263" s="59"/>
      <c r="G263" s="60">
        <f t="shared" si="41"/>
        <v>0</v>
      </c>
      <c r="I263" s="28">
        <f>19.4*0.56</f>
        <v>10.864000000000001</v>
      </c>
      <c r="J263" s="28">
        <f>214.37+I263</f>
        <v>225.23400000000001</v>
      </c>
      <c r="K263" s="28">
        <f>J263*0.1</f>
        <v>22.523400000000002</v>
      </c>
    </row>
    <row r="264" spans="1:16" x14ac:dyDescent="0.2">
      <c r="A264" s="132" t="s">
        <v>155</v>
      </c>
      <c r="B264" s="133" t="s">
        <v>466</v>
      </c>
      <c r="C264" s="134"/>
      <c r="D264" s="135"/>
      <c r="E264" s="136"/>
      <c r="F264" s="137"/>
      <c r="G264" s="138"/>
    </row>
    <row r="265" spans="1:16" x14ac:dyDescent="0.2">
      <c r="A265" s="144" t="s">
        <v>169</v>
      </c>
      <c r="B265" s="145" t="s">
        <v>278</v>
      </c>
      <c r="C265" s="146"/>
      <c r="D265" s="147"/>
      <c r="E265" s="148"/>
      <c r="F265" s="149"/>
      <c r="G265" s="150"/>
    </row>
    <row r="266" spans="1:16" ht="13.5" x14ac:dyDescent="0.2">
      <c r="A266" s="141"/>
      <c r="B266" s="142" t="s">
        <v>462</v>
      </c>
      <c r="C266" s="161" t="s">
        <v>391</v>
      </c>
      <c r="D266" s="91">
        <v>95</v>
      </c>
      <c r="E266" s="44"/>
      <c r="F266" s="59"/>
      <c r="G266" s="60">
        <f t="shared" ref="G266:G271" si="42">(D266*E266)+(D266*F266)</f>
        <v>0</v>
      </c>
      <c r="I266" s="28">
        <f>2.775*6+2.85*6*3+2.975+2.95+2.9</f>
        <v>76.775000000000006</v>
      </c>
      <c r="J266" s="28">
        <f>I266*1.2</f>
        <v>92.13000000000001</v>
      </c>
      <c r="K266" s="28">
        <f>16.025+2.9</f>
        <v>18.924999999999997</v>
      </c>
      <c r="L266" s="28">
        <f>K266*0.15</f>
        <v>2.8387499999999997</v>
      </c>
      <c r="M266" s="28">
        <f>L266+J266</f>
        <v>94.968750000000014</v>
      </c>
    </row>
    <row r="267" spans="1:16" ht="13.5" x14ac:dyDescent="0.2">
      <c r="A267" s="141"/>
      <c r="B267" s="142" t="s">
        <v>461</v>
      </c>
      <c r="C267" s="161" t="s">
        <v>391</v>
      </c>
      <c r="D267" s="91">
        <v>182.9</v>
      </c>
      <c r="E267" s="44"/>
      <c r="F267" s="59"/>
      <c r="G267" s="60">
        <f t="shared" si="42"/>
        <v>0</v>
      </c>
      <c r="I267" s="28">
        <f>11.5*9</f>
        <v>103.5</v>
      </c>
      <c r="J267" s="28">
        <f>I267*1.75</f>
        <v>181.125</v>
      </c>
      <c r="K267" s="28">
        <f>11.5*0.15</f>
        <v>1.7249999999999999</v>
      </c>
      <c r="L267" s="28">
        <f>SUM(J267:K267)</f>
        <v>182.85</v>
      </c>
    </row>
    <row r="268" spans="1:16" ht="13.5" x14ac:dyDescent="0.2">
      <c r="A268" s="141"/>
      <c r="B268" s="142" t="s">
        <v>460</v>
      </c>
      <c r="C268" s="161" t="s">
        <v>391</v>
      </c>
      <c r="D268" s="91">
        <v>13.4</v>
      </c>
      <c r="E268" s="44"/>
      <c r="F268" s="59"/>
      <c r="G268" s="60">
        <f t="shared" si="42"/>
        <v>0</v>
      </c>
      <c r="I268" s="28">
        <f>1.47*5</f>
        <v>7.35</v>
      </c>
      <c r="J268" s="28">
        <f>I268*1.8</f>
        <v>13.23</v>
      </c>
    </row>
    <row r="269" spans="1:16" ht="13.5" x14ac:dyDescent="0.2">
      <c r="A269" s="141"/>
      <c r="B269" s="142" t="s">
        <v>459</v>
      </c>
      <c r="C269" s="161" t="s">
        <v>391</v>
      </c>
      <c r="D269" s="91">
        <v>17.5</v>
      </c>
      <c r="E269" s="44"/>
      <c r="F269" s="59"/>
      <c r="G269" s="60">
        <f t="shared" si="42"/>
        <v>0</v>
      </c>
      <c r="I269" s="28">
        <f>5.55*3</f>
        <v>16.649999999999999</v>
      </c>
      <c r="J269" s="28">
        <f>I269*1.05</f>
        <v>17.482499999999998</v>
      </c>
    </row>
    <row r="270" spans="1:16" x14ac:dyDescent="0.2">
      <c r="A270" s="144" t="s">
        <v>479</v>
      </c>
      <c r="B270" s="145" t="s">
        <v>279</v>
      </c>
      <c r="C270" s="146"/>
      <c r="D270" s="147"/>
      <c r="E270" s="148"/>
      <c r="F270" s="59"/>
      <c r="G270" s="60">
        <f t="shared" si="42"/>
        <v>0</v>
      </c>
    </row>
    <row r="271" spans="1:16" ht="13.5" x14ac:dyDescent="0.2">
      <c r="A271" s="141"/>
      <c r="B271" s="142" t="s">
        <v>280</v>
      </c>
      <c r="C271" s="161" t="s">
        <v>391</v>
      </c>
      <c r="D271" s="91">
        <v>330.75</v>
      </c>
      <c r="E271" s="44"/>
      <c r="F271" s="59"/>
      <c r="G271" s="60">
        <f t="shared" si="42"/>
        <v>0</v>
      </c>
      <c r="I271" s="28">
        <v>367.26</v>
      </c>
      <c r="J271" s="28">
        <f>3.99*2.9+2.85*1.75*5</f>
        <v>36.508499999999998</v>
      </c>
      <c r="K271" s="28">
        <f>I271-J271</f>
        <v>330.75149999999996</v>
      </c>
    </row>
    <row r="272" spans="1:16" x14ac:dyDescent="0.2">
      <c r="A272" s="144" t="s">
        <v>463</v>
      </c>
      <c r="B272" s="145" t="s">
        <v>172</v>
      </c>
      <c r="C272" s="146"/>
      <c r="D272" s="147"/>
      <c r="E272" s="148"/>
      <c r="F272" s="149"/>
      <c r="G272" s="150"/>
    </row>
    <row r="273" spans="1:16" ht="13.5" x14ac:dyDescent="0.2">
      <c r="A273" s="141"/>
      <c r="B273" s="142" t="s">
        <v>451</v>
      </c>
      <c r="C273" s="161" t="s">
        <v>391</v>
      </c>
      <c r="D273" s="91">
        <v>16.8</v>
      </c>
      <c r="E273" s="44"/>
      <c r="F273" s="59"/>
      <c r="G273" s="60">
        <f t="shared" ref="G273:G277" si="43">(D273*E273)+(D273*F273)</f>
        <v>0</v>
      </c>
      <c r="I273" s="28">
        <f>0.25*4*3.36*5</f>
        <v>16.8</v>
      </c>
      <c r="K273" s="28">
        <f>7.66*2.45*0.05</f>
        <v>0.93835000000000024</v>
      </c>
      <c r="L273" s="28">
        <f>K273*45%</f>
        <v>0.42225750000000012</v>
      </c>
      <c r="M273" s="28">
        <f>SUM(K273:L273)</f>
        <v>1.3606075000000004</v>
      </c>
      <c r="N273" s="28">
        <f>M273/5</f>
        <v>0.27212150000000007</v>
      </c>
      <c r="O273" s="28">
        <f>N273*1440</f>
        <v>391.85496000000012</v>
      </c>
      <c r="P273" s="28">
        <f>O273/50</f>
        <v>7.8370992000000026</v>
      </c>
    </row>
    <row r="274" spans="1:16" ht="13.5" x14ac:dyDescent="0.2">
      <c r="A274" s="141"/>
      <c r="B274" s="142" t="s">
        <v>452</v>
      </c>
      <c r="C274" s="161" t="s">
        <v>391</v>
      </c>
      <c r="D274" s="91">
        <v>114.92</v>
      </c>
      <c r="E274" s="44"/>
      <c r="F274" s="59"/>
      <c r="G274" s="60">
        <f t="shared" si="43"/>
        <v>0</v>
      </c>
      <c r="I274" s="28">
        <f>0.95*3.36*18*2</f>
        <v>114.91199999999999</v>
      </c>
    </row>
    <row r="275" spans="1:16" ht="13.5" x14ac:dyDescent="0.2">
      <c r="A275" s="141"/>
      <c r="B275" s="142" t="s">
        <v>453</v>
      </c>
      <c r="C275" s="161" t="s">
        <v>391</v>
      </c>
      <c r="D275" s="91">
        <v>14.15</v>
      </c>
      <c r="E275" s="44"/>
      <c r="F275" s="59"/>
      <c r="G275" s="60">
        <f t="shared" si="43"/>
        <v>0</v>
      </c>
      <c r="I275" s="28">
        <f>0.7*2*3.36*3</f>
        <v>14.111999999999998</v>
      </c>
    </row>
    <row r="276" spans="1:16" x14ac:dyDescent="0.2">
      <c r="A276" s="144" t="s">
        <v>464</v>
      </c>
      <c r="B276" s="145" t="s">
        <v>198</v>
      </c>
      <c r="C276" s="146"/>
      <c r="D276" s="147"/>
      <c r="E276" s="148"/>
      <c r="F276" s="59"/>
      <c r="G276" s="60">
        <f t="shared" si="43"/>
        <v>0</v>
      </c>
    </row>
    <row r="277" spans="1:16" ht="14.25" customHeight="1" x14ac:dyDescent="0.2">
      <c r="A277" s="141"/>
      <c r="B277" s="142" t="s">
        <v>277</v>
      </c>
      <c r="C277" s="161" t="s">
        <v>391</v>
      </c>
      <c r="D277" s="91">
        <v>24.5</v>
      </c>
      <c r="E277" s="44"/>
      <c r="F277" s="59"/>
      <c r="G277" s="60">
        <f t="shared" si="43"/>
        <v>0</v>
      </c>
      <c r="I277" s="28">
        <f>19.4*0.56</f>
        <v>10.864000000000001</v>
      </c>
      <c r="J277" s="28">
        <f>214.37+I277</f>
        <v>225.23400000000001</v>
      </c>
      <c r="K277" s="28">
        <f>J277*0.1</f>
        <v>22.523400000000002</v>
      </c>
    </row>
    <row r="278" spans="1:16" x14ac:dyDescent="0.2">
      <c r="A278" s="132" t="s">
        <v>467</v>
      </c>
      <c r="B278" s="133" t="s">
        <v>260</v>
      </c>
      <c r="C278" s="134"/>
      <c r="D278" s="135"/>
      <c r="E278" s="136"/>
      <c r="F278" s="137"/>
      <c r="G278" s="138"/>
    </row>
    <row r="279" spans="1:16" x14ac:dyDescent="0.2">
      <c r="A279" s="144" t="s">
        <v>112</v>
      </c>
      <c r="B279" s="145" t="s">
        <v>272</v>
      </c>
      <c r="C279" s="146"/>
      <c r="D279" s="147"/>
      <c r="E279" s="148"/>
      <c r="F279" s="149"/>
      <c r="G279" s="150"/>
    </row>
    <row r="280" spans="1:16" ht="13.5" x14ac:dyDescent="0.2">
      <c r="A280" s="141"/>
      <c r="B280" s="142" t="s">
        <v>462</v>
      </c>
      <c r="C280" s="161" t="s">
        <v>391</v>
      </c>
      <c r="D280" s="91">
        <v>110.1</v>
      </c>
      <c r="E280" s="44"/>
      <c r="F280" s="59"/>
      <c r="G280" s="60">
        <f t="shared" ref="G280:G285" si="44">(D280*E280)+(D280*F280)</f>
        <v>0</v>
      </c>
      <c r="I280" s="28">
        <f>2.775*6+2.85*6*3+2.85*5+2.95+2.9</f>
        <v>88.050000000000011</v>
      </c>
      <c r="J280" s="28">
        <f>I280*1.25</f>
        <v>110.06250000000001</v>
      </c>
    </row>
    <row r="281" spans="1:16" ht="13.5" x14ac:dyDescent="0.2">
      <c r="A281" s="141"/>
      <c r="B281" s="142" t="s">
        <v>459</v>
      </c>
      <c r="C281" s="161" t="s">
        <v>391</v>
      </c>
      <c r="D281" s="91">
        <v>20.8</v>
      </c>
      <c r="E281" s="44"/>
      <c r="F281" s="59"/>
      <c r="G281" s="60">
        <f t="shared" si="44"/>
        <v>0</v>
      </c>
      <c r="I281" s="28">
        <f>5.55*3</f>
        <v>16.649999999999999</v>
      </c>
      <c r="J281" s="28">
        <f>I281*1.25</f>
        <v>20.8125</v>
      </c>
    </row>
    <row r="282" spans="1:16" ht="13.5" x14ac:dyDescent="0.2">
      <c r="A282" s="141"/>
      <c r="B282" s="142" t="s">
        <v>468</v>
      </c>
      <c r="C282" s="161" t="s">
        <v>391</v>
      </c>
      <c r="D282" s="91">
        <v>165.6</v>
      </c>
      <c r="E282" s="44"/>
      <c r="F282" s="59"/>
      <c r="G282" s="60">
        <f t="shared" si="44"/>
        <v>0</v>
      </c>
      <c r="I282" s="28">
        <f>11.5*9</f>
        <v>103.5</v>
      </c>
      <c r="J282" s="28">
        <f>I282*1.6</f>
        <v>165.60000000000002</v>
      </c>
    </row>
    <row r="283" spans="1:16" ht="12.75" thickBot="1" x14ac:dyDescent="0.25">
      <c r="A283" s="151"/>
      <c r="B283" s="152"/>
      <c r="C283" s="162"/>
      <c r="D283" s="154"/>
      <c r="E283" s="77"/>
      <c r="F283" s="155"/>
      <c r="G283" s="156"/>
    </row>
    <row r="284" spans="1:16" x14ac:dyDescent="0.2">
      <c r="A284" s="144" t="s">
        <v>170</v>
      </c>
      <c r="B284" s="145" t="s">
        <v>279</v>
      </c>
      <c r="C284" s="146"/>
      <c r="D284" s="147"/>
      <c r="E284" s="148"/>
      <c r="F284" s="59"/>
      <c r="G284" s="60">
        <f t="shared" si="44"/>
        <v>0</v>
      </c>
    </row>
    <row r="285" spans="1:16" ht="13.5" x14ac:dyDescent="0.2">
      <c r="A285" s="141"/>
      <c r="B285" s="142" t="s">
        <v>280</v>
      </c>
      <c r="C285" s="161" t="s">
        <v>391</v>
      </c>
      <c r="D285" s="91">
        <v>153.44999999999999</v>
      </c>
      <c r="E285" s="44"/>
      <c r="F285" s="59"/>
      <c r="G285" s="60">
        <f t="shared" si="44"/>
        <v>0</v>
      </c>
      <c r="I285" s="28">
        <f>103.93+7.75*1.125*2+28.5*1.125</f>
        <v>153.43</v>
      </c>
    </row>
    <row r="286" spans="1:16" x14ac:dyDescent="0.2">
      <c r="A286" s="141"/>
      <c r="B286" s="145" t="s">
        <v>172</v>
      </c>
      <c r="C286" s="146"/>
      <c r="D286" s="147"/>
      <c r="E286" s="148"/>
      <c r="F286" s="149"/>
      <c r="G286" s="150"/>
    </row>
    <row r="287" spans="1:16" ht="13.5" x14ac:dyDescent="0.2">
      <c r="A287" s="141"/>
      <c r="B287" s="142" t="s">
        <v>478</v>
      </c>
      <c r="C287" s="161" t="s">
        <v>391</v>
      </c>
      <c r="D287" s="91">
        <v>11.96</v>
      </c>
      <c r="E287" s="44"/>
      <c r="F287" s="59"/>
      <c r="G287" s="60">
        <f t="shared" ref="G287:G291" si="45">(D287*E287)+(D287*F287)</f>
        <v>0</v>
      </c>
      <c r="I287" s="28">
        <f>0.25*4*2.99*4</f>
        <v>11.96</v>
      </c>
    </row>
    <row r="288" spans="1:16" x14ac:dyDescent="0.2">
      <c r="A288" s="144" t="s">
        <v>310</v>
      </c>
      <c r="B288" s="145" t="s">
        <v>469</v>
      </c>
      <c r="C288" s="146"/>
      <c r="D288" s="147"/>
      <c r="E288" s="148"/>
      <c r="F288" s="59"/>
      <c r="G288" s="60">
        <f t="shared" si="45"/>
        <v>0</v>
      </c>
    </row>
    <row r="289" spans="1:10" ht="13.5" x14ac:dyDescent="0.2">
      <c r="A289" s="141"/>
      <c r="B289" s="142" t="s">
        <v>470</v>
      </c>
      <c r="C289" s="161" t="s">
        <v>391</v>
      </c>
      <c r="D289" s="91">
        <v>38.049999999999997</v>
      </c>
      <c r="E289" s="44"/>
      <c r="F289" s="59"/>
      <c r="G289" s="60">
        <f t="shared" si="45"/>
        <v>0</v>
      </c>
      <c r="I289" s="28">
        <f>23.95*2+7.75*2</f>
        <v>63.4</v>
      </c>
      <c r="J289" s="28">
        <f>I289*2*0.3</f>
        <v>38.04</v>
      </c>
    </row>
    <row r="290" spans="1:10" x14ac:dyDescent="0.2">
      <c r="A290" s="144" t="s">
        <v>471</v>
      </c>
      <c r="B290" s="145" t="s">
        <v>291</v>
      </c>
      <c r="C290" s="146"/>
      <c r="D290" s="147"/>
      <c r="E290" s="148"/>
      <c r="F290" s="59"/>
      <c r="G290" s="60">
        <f t="shared" si="45"/>
        <v>0</v>
      </c>
    </row>
    <row r="291" spans="1:10" ht="13.5" x14ac:dyDescent="0.2">
      <c r="A291" s="141"/>
      <c r="B291" s="142" t="s">
        <v>472</v>
      </c>
      <c r="C291" s="161" t="s">
        <v>391</v>
      </c>
      <c r="D291" s="91">
        <v>227.07</v>
      </c>
      <c r="E291" s="44"/>
      <c r="F291" s="59"/>
      <c r="G291" s="60">
        <f t="shared" si="45"/>
        <v>0</v>
      </c>
      <c r="I291" s="28">
        <f>25.8+13.1+3.475+15.725+2.15+1.55+19.1+3.2</f>
        <v>84.100000000000009</v>
      </c>
      <c r="J291" s="28">
        <f>I291*2*1.35</f>
        <v>227.07000000000005</v>
      </c>
    </row>
    <row r="292" spans="1:10" x14ac:dyDescent="0.2">
      <c r="A292" s="132" t="s">
        <v>473</v>
      </c>
      <c r="B292" s="133" t="s">
        <v>474</v>
      </c>
      <c r="C292" s="134"/>
      <c r="D292" s="135"/>
      <c r="E292" s="136"/>
      <c r="F292" s="137"/>
      <c r="G292" s="138"/>
    </row>
    <row r="293" spans="1:10" x14ac:dyDescent="0.2">
      <c r="A293" s="144" t="s">
        <v>117</v>
      </c>
      <c r="B293" s="145" t="s">
        <v>272</v>
      </c>
      <c r="C293" s="146"/>
      <c r="D293" s="147"/>
      <c r="E293" s="148"/>
      <c r="F293" s="149"/>
      <c r="G293" s="150"/>
    </row>
    <row r="294" spans="1:10" ht="13.5" x14ac:dyDescent="0.2">
      <c r="A294" s="141"/>
      <c r="B294" s="142" t="s">
        <v>462</v>
      </c>
      <c r="C294" s="161" t="s">
        <v>391</v>
      </c>
      <c r="D294" s="91">
        <v>6.33</v>
      </c>
      <c r="E294" s="44"/>
      <c r="F294" s="59"/>
      <c r="G294" s="60">
        <f t="shared" ref="G294:G297" si="46">(D294*E294)+(D294*F294)</f>
        <v>0</v>
      </c>
      <c r="I294" s="28">
        <f>2.9+2.85</f>
        <v>5.75</v>
      </c>
      <c r="J294" s="28">
        <f>I294*1.1</f>
        <v>6.3250000000000002</v>
      </c>
    </row>
    <row r="295" spans="1:10" ht="13.5" x14ac:dyDescent="0.2">
      <c r="A295" s="141"/>
      <c r="B295" s="142" t="s">
        <v>476</v>
      </c>
      <c r="C295" s="161" t="s">
        <v>391</v>
      </c>
      <c r="D295" s="91">
        <v>12.2</v>
      </c>
      <c r="E295" s="44"/>
      <c r="F295" s="59"/>
      <c r="G295" s="60">
        <f t="shared" si="46"/>
        <v>0</v>
      </c>
      <c r="I295" s="28">
        <f>5.55*2</f>
        <v>11.1</v>
      </c>
      <c r="J295" s="28">
        <f>I295*1.1</f>
        <v>12.21</v>
      </c>
    </row>
    <row r="296" spans="1:10" x14ac:dyDescent="0.2">
      <c r="A296" s="144" t="s">
        <v>475</v>
      </c>
      <c r="B296" s="145" t="s">
        <v>279</v>
      </c>
      <c r="C296" s="146"/>
      <c r="D296" s="147"/>
      <c r="E296" s="148"/>
      <c r="F296" s="59"/>
      <c r="G296" s="60">
        <f t="shared" si="46"/>
        <v>0</v>
      </c>
    </row>
    <row r="297" spans="1:10" ht="13.5" x14ac:dyDescent="0.2">
      <c r="A297" s="141"/>
      <c r="B297" s="142" t="s">
        <v>280</v>
      </c>
      <c r="C297" s="161" t="s">
        <v>391</v>
      </c>
      <c r="D297" s="91">
        <v>28.4</v>
      </c>
      <c r="E297" s="44"/>
      <c r="F297" s="59"/>
      <c r="G297" s="60">
        <f t="shared" si="46"/>
        <v>0</v>
      </c>
      <c r="I297" s="28">
        <f>6.6*4.3</f>
        <v>28.38</v>
      </c>
      <c r="J297" s="28">
        <f>I297*0.15</f>
        <v>4.2569999999999997</v>
      </c>
    </row>
    <row r="298" spans="1:10" x14ac:dyDescent="0.2">
      <c r="A298" s="118" t="s">
        <v>101</v>
      </c>
      <c r="B298" s="157" t="s">
        <v>11</v>
      </c>
      <c r="C298" s="131"/>
      <c r="D298" s="121"/>
      <c r="E298" s="122"/>
      <c r="F298" s="121"/>
      <c r="G298" s="158"/>
    </row>
    <row r="299" spans="1:10" ht="48" customHeight="1" x14ac:dyDescent="0.2">
      <c r="A299" s="101"/>
      <c r="B299" s="62" t="s">
        <v>102</v>
      </c>
      <c r="C299" s="62"/>
      <c r="D299" s="62"/>
      <c r="E299" s="62"/>
      <c r="F299" s="62"/>
      <c r="G299" s="160"/>
    </row>
    <row r="300" spans="1:10" ht="43.5" customHeight="1" x14ac:dyDescent="0.2">
      <c r="A300" s="63"/>
      <c r="B300" s="62" t="s">
        <v>103</v>
      </c>
      <c r="C300" s="62"/>
      <c r="D300" s="62"/>
      <c r="E300" s="62"/>
      <c r="F300" s="62"/>
      <c r="G300" s="160"/>
    </row>
    <row r="301" spans="1:10" ht="64.5" customHeight="1" x14ac:dyDescent="0.2">
      <c r="A301" s="101"/>
      <c r="B301" s="62" t="s">
        <v>273</v>
      </c>
      <c r="C301" s="62"/>
      <c r="D301" s="62"/>
      <c r="E301" s="62"/>
      <c r="F301" s="62"/>
      <c r="G301" s="160"/>
    </row>
    <row r="302" spans="1:10" x14ac:dyDescent="0.2">
      <c r="A302" s="132" t="s">
        <v>104</v>
      </c>
      <c r="B302" s="133" t="s">
        <v>221</v>
      </c>
      <c r="C302" s="163"/>
      <c r="D302" s="164"/>
      <c r="E302" s="165"/>
      <c r="F302" s="166"/>
      <c r="G302" s="167"/>
    </row>
    <row r="303" spans="1:10" x14ac:dyDescent="0.2">
      <c r="A303" s="132" t="s">
        <v>164</v>
      </c>
      <c r="B303" s="133" t="s">
        <v>64</v>
      </c>
      <c r="C303" s="163"/>
      <c r="D303" s="164"/>
      <c r="E303" s="165"/>
      <c r="F303" s="166"/>
      <c r="G303" s="167"/>
    </row>
    <row r="304" spans="1:10" x14ac:dyDescent="0.2">
      <c r="A304" s="141"/>
      <c r="B304" s="168" t="s">
        <v>480</v>
      </c>
      <c r="C304" s="143" t="s">
        <v>136</v>
      </c>
      <c r="D304" s="91">
        <f>I309/1000</f>
        <v>3.469722</v>
      </c>
      <c r="E304" s="92"/>
      <c r="F304" s="59"/>
      <c r="G304" s="60">
        <f t="shared" ref="G304:G309" si="47">(D304*E304)+(D304*F304)</f>
        <v>0</v>
      </c>
    </row>
    <row r="305" spans="1:11" x14ac:dyDescent="0.2">
      <c r="A305" s="141"/>
      <c r="B305" s="142" t="s">
        <v>286</v>
      </c>
      <c r="C305" s="143" t="s">
        <v>8</v>
      </c>
      <c r="D305" s="91">
        <v>110</v>
      </c>
      <c r="E305" s="92"/>
      <c r="F305" s="59"/>
      <c r="G305" s="60">
        <f t="shared" si="47"/>
        <v>0</v>
      </c>
      <c r="I305" s="139">
        <f>D305*2.469*6</f>
        <v>1629.54</v>
      </c>
      <c r="K305" s="139"/>
    </row>
    <row r="306" spans="1:11" x14ac:dyDescent="0.2">
      <c r="A306" s="141"/>
      <c r="B306" s="142" t="s">
        <v>222</v>
      </c>
      <c r="C306" s="143" t="s">
        <v>8</v>
      </c>
      <c r="D306" s="91">
        <v>111</v>
      </c>
      <c r="E306" s="92"/>
      <c r="F306" s="59"/>
      <c r="G306" s="60">
        <f t="shared" ref="G306:G307" si="48">(D306*E306)+(D306*F306)</f>
        <v>0</v>
      </c>
      <c r="I306" s="139">
        <f>D306*1.58*6</f>
        <v>1052.28</v>
      </c>
      <c r="K306" s="139"/>
    </row>
    <row r="307" spans="1:11" x14ac:dyDescent="0.2">
      <c r="A307" s="141"/>
      <c r="B307" s="142" t="s">
        <v>223</v>
      </c>
      <c r="C307" s="143" t="s">
        <v>8</v>
      </c>
      <c r="D307" s="91">
        <v>11</v>
      </c>
      <c r="E307" s="92"/>
      <c r="F307" s="59"/>
      <c r="G307" s="60">
        <f t="shared" si="48"/>
        <v>0</v>
      </c>
      <c r="I307" s="139">
        <f>D307*0.888*6</f>
        <v>58.608000000000004</v>
      </c>
      <c r="K307" s="139"/>
    </row>
    <row r="308" spans="1:11" x14ac:dyDescent="0.2">
      <c r="A308" s="141"/>
      <c r="B308" s="142" t="s">
        <v>224</v>
      </c>
      <c r="C308" s="143" t="s">
        <v>8</v>
      </c>
      <c r="D308" s="91">
        <v>197</v>
      </c>
      <c r="E308" s="92"/>
      <c r="F308" s="59"/>
      <c r="G308" s="60">
        <f t="shared" si="47"/>
        <v>0</v>
      </c>
      <c r="I308" s="139">
        <f>D308*0.617*6</f>
        <v>729.29399999999998</v>
      </c>
      <c r="J308" s="28">
        <f>15+16+40+14+22+4</f>
        <v>111</v>
      </c>
      <c r="K308" s="139"/>
    </row>
    <row r="309" spans="1:11" x14ac:dyDescent="0.2">
      <c r="A309" s="141"/>
      <c r="B309" s="142" t="s">
        <v>14</v>
      </c>
      <c r="C309" s="143" t="s">
        <v>9</v>
      </c>
      <c r="D309" s="91">
        <f>D304*20</f>
        <v>69.394440000000003</v>
      </c>
      <c r="E309" s="92"/>
      <c r="F309" s="59"/>
      <c r="G309" s="60">
        <f t="shared" si="47"/>
        <v>0</v>
      </c>
      <c r="I309" s="139">
        <f>SUM(I304:I308)</f>
        <v>3469.7219999999998</v>
      </c>
      <c r="J309" s="139"/>
    </row>
    <row r="310" spans="1:11" x14ac:dyDescent="0.2">
      <c r="A310" s="141"/>
      <c r="B310" s="168" t="s">
        <v>481</v>
      </c>
      <c r="C310" s="143" t="s">
        <v>136</v>
      </c>
      <c r="D310" s="91">
        <f>I315/1000</f>
        <v>0.73879199999999989</v>
      </c>
      <c r="E310" s="92"/>
      <c r="F310" s="59"/>
      <c r="G310" s="60">
        <f t="shared" ref="G310:G315" si="49">(D310*E310)+(D310*F310)</f>
        <v>0</v>
      </c>
      <c r="J310" s="139"/>
    </row>
    <row r="311" spans="1:11" x14ac:dyDescent="0.2">
      <c r="A311" s="141"/>
      <c r="B311" s="142" t="s">
        <v>286</v>
      </c>
      <c r="C311" s="143" t="s">
        <v>8</v>
      </c>
      <c r="D311" s="91">
        <v>20</v>
      </c>
      <c r="E311" s="92"/>
      <c r="F311" s="59"/>
      <c r="G311" s="60">
        <f t="shared" si="49"/>
        <v>0</v>
      </c>
      <c r="I311" s="139">
        <f>D311*2.469*6</f>
        <v>296.27999999999997</v>
      </c>
      <c r="J311" s="139"/>
    </row>
    <row r="312" spans="1:11" x14ac:dyDescent="0.2">
      <c r="A312" s="141"/>
      <c r="B312" s="142" t="s">
        <v>222</v>
      </c>
      <c r="C312" s="143" t="s">
        <v>8</v>
      </c>
      <c r="D312" s="91">
        <v>20</v>
      </c>
      <c r="E312" s="92"/>
      <c r="F312" s="59"/>
      <c r="G312" s="60">
        <f t="shared" si="49"/>
        <v>0</v>
      </c>
      <c r="I312" s="139">
        <f>D312*1.58*6</f>
        <v>189.60000000000002</v>
      </c>
      <c r="J312" s="139"/>
    </row>
    <row r="313" spans="1:11" x14ac:dyDescent="0.2">
      <c r="A313" s="141"/>
      <c r="B313" s="142" t="s">
        <v>223</v>
      </c>
      <c r="C313" s="143" t="s">
        <v>8</v>
      </c>
      <c r="D313" s="91">
        <v>3</v>
      </c>
      <c r="E313" s="92"/>
      <c r="F313" s="59"/>
      <c r="G313" s="60">
        <f t="shared" si="49"/>
        <v>0</v>
      </c>
      <c r="I313" s="139">
        <f>D313*0.888*6</f>
        <v>15.984000000000002</v>
      </c>
      <c r="J313" s="139"/>
    </row>
    <row r="314" spans="1:11" x14ac:dyDescent="0.2">
      <c r="A314" s="141"/>
      <c r="B314" s="142" t="s">
        <v>224</v>
      </c>
      <c r="C314" s="143" t="s">
        <v>8</v>
      </c>
      <c r="D314" s="91">
        <v>64</v>
      </c>
      <c r="E314" s="92"/>
      <c r="F314" s="59"/>
      <c r="G314" s="60">
        <f t="shared" si="49"/>
        <v>0</v>
      </c>
      <c r="I314" s="139">
        <f>D314*0.617*6</f>
        <v>236.928</v>
      </c>
      <c r="J314" s="139"/>
    </row>
    <row r="315" spans="1:11" x14ac:dyDescent="0.2">
      <c r="A315" s="141"/>
      <c r="B315" s="142" t="s">
        <v>14</v>
      </c>
      <c r="C315" s="143" t="s">
        <v>9</v>
      </c>
      <c r="D315" s="91">
        <f>D310*20</f>
        <v>14.775839999999999</v>
      </c>
      <c r="E315" s="92"/>
      <c r="F315" s="59"/>
      <c r="G315" s="60">
        <f t="shared" si="49"/>
        <v>0</v>
      </c>
      <c r="I315" s="139">
        <f>SUM(I310:I314)</f>
        <v>738.79199999999992</v>
      </c>
      <c r="J315" s="139"/>
    </row>
    <row r="316" spans="1:11" x14ac:dyDescent="0.2">
      <c r="A316" s="141"/>
      <c r="B316" s="168" t="s">
        <v>482</v>
      </c>
      <c r="C316" s="143" t="s">
        <v>136</v>
      </c>
      <c r="D316" s="91">
        <f>I320/1000</f>
        <v>0.52430399999999999</v>
      </c>
      <c r="E316" s="92"/>
      <c r="F316" s="59"/>
      <c r="G316" s="60">
        <f t="shared" ref="G316:G320" si="50">(D316*E316)+(D316*F316)</f>
        <v>0</v>
      </c>
      <c r="J316" s="139"/>
    </row>
    <row r="317" spans="1:11" x14ac:dyDescent="0.2">
      <c r="A317" s="141"/>
      <c r="B317" s="142" t="s">
        <v>222</v>
      </c>
      <c r="C317" s="143" t="s">
        <v>8</v>
      </c>
      <c r="D317" s="91">
        <v>38</v>
      </c>
      <c r="E317" s="92"/>
      <c r="F317" s="59"/>
      <c r="G317" s="60">
        <f t="shared" si="50"/>
        <v>0</v>
      </c>
      <c r="I317" s="139">
        <f>D317*1.58*6</f>
        <v>360.24</v>
      </c>
      <c r="J317" s="139"/>
    </row>
    <row r="318" spans="1:11" x14ac:dyDescent="0.2">
      <c r="A318" s="141"/>
      <c r="B318" s="142" t="s">
        <v>223</v>
      </c>
      <c r="C318" s="143" t="s">
        <v>8</v>
      </c>
      <c r="D318" s="91">
        <v>3</v>
      </c>
      <c r="E318" s="92"/>
      <c r="F318" s="59"/>
      <c r="G318" s="60">
        <f t="shared" si="50"/>
        <v>0</v>
      </c>
      <c r="I318" s="139">
        <f>D318*0.888*6</f>
        <v>15.984000000000002</v>
      </c>
      <c r="J318" s="139"/>
    </row>
    <row r="319" spans="1:11" x14ac:dyDescent="0.2">
      <c r="A319" s="141"/>
      <c r="B319" s="142" t="s">
        <v>224</v>
      </c>
      <c r="C319" s="143" t="s">
        <v>8</v>
      </c>
      <c r="D319" s="91">
        <v>40</v>
      </c>
      <c r="E319" s="92"/>
      <c r="F319" s="59"/>
      <c r="G319" s="60">
        <f t="shared" si="50"/>
        <v>0</v>
      </c>
      <c r="I319" s="139">
        <f>D319*0.617*6</f>
        <v>148.07999999999998</v>
      </c>
      <c r="J319" s="139"/>
    </row>
    <row r="320" spans="1:11" x14ac:dyDescent="0.2">
      <c r="A320" s="141"/>
      <c r="B320" s="142" t="s">
        <v>14</v>
      </c>
      <c r="C320" s="143" t="s">
        <v>9</v>
      </c>
      <c r="D320" s="91">
        <f>D316*20</f>
        <v>10.486079999999999</v>
      </c>
      <c r="E320" s="92"/>
      <c r="F320" s="59"/>
      <c r="G320" s="60">
        <f t="shared" si="50"/>
        <v>0</v>
      </c>
      <c r="I320" s="139">
        <f>SUM(I316:I319)</f>
        <v>524.30399999999997</v>
      </c>
      <c r="J320" s="139"/>
    </row>
    <row r="321" spans="1:10" x14ac:dyDescent="0.2">
      <c r="A321" s="141"/>
      <c r="B321" s="168" t="s">
        <v>483</v>
      </c>
      <c r="C321" s="143" t="s">
        <v>136</v>
      </c>
      <c r="D321" s="91">
        <f>I326/1000</f>
        <v>3.6635699999999995</v>
      </c>
      <c r="E321" s="92"/>
      <c r="F321" s="59"/>
      <c r="G321" s="60">
        <f t="shared" ref="G321:G326" si="51">(D321*E321)+(D321*F321)</f>
        <v>0</v>
      </c>
      <c r="J321" s="139"/>
    </row>
    <row r="322" spans="1:10" x14ac:dyDescent="0.2">
      <c r="A322" s="141"/>
      <c r="B322" s="142" t="s">
        <v>287</v>
      </c>
      <c r="C322" s="143" t="s">
        <v>8</v>
      </c>
      <c r="D322" s="91">
        <v>40</v>
      </c>
      <c r="E322" s="92"/>
      <c r="F322" s="59"/>
      <c r="G322" s="60">
        <f t="shared" si="51"/>
        <v>0</v>
      </c>
      <c r="I322" s="139">
        <f>D322*3.858*6</f>
        <v>925.92</v>
      </c>
      <c r="J322" s="139"/>
    </row>
    <row r="323" spans="1:10" x14ac:dyDescent="0.2">
      <c r="A323" s="141"/>
      <c r="B323" s="142" t="s">
        <v>286</v>
      </c>
      <c r="C323" s="143" t="s">
        <v>8</v>
      </c>
      <c r="D323" s="91">
        <v>162</v>
      </c>
      <c r="E323" s="92"/>
      <c r="F323" s="59"/>
      <c r="G323" s="60">
        <f t="shared" ref="G323" si="52">(D323*E323)+(D323*F323)</f>
        <v>0</v>
      </c>
      <c r="I323" s="139">
        <f>D323*2.469*6</f>
        <v>2399.8679999999995</v>
      </c>
      <c r="J323" s="139"/>
    </row>
    <row r="324" spans="1:10" x14ac:dyDescent="0.2">
      <c r="A324" s="141"/>
      <c r="B324" s="142" t="s">
        <v>222</v>
      </c>
      <c r="C324" s="143" t="s">
        <v>8</v>
      </c>
      <c r="D324" s="91">
        <v>4</v>
      </c>
      <c r="E324" s="92"/>
      <c r="F324" s="59"/>
      <c r="G324" s="60">
        <f t="shared" ref="G324" si="53">(D324*E324)+(D324*F324)</f>
        <v>0</v>
      </c>
      <c r="I324" s="139">
        <f>D324*1.58*6</f>
        <v>37.92</v>
      </c>
      <c r="J324" s="139"/>
    </row>
    <row r="325" spans="1:10" x14ac:dyDescent="0.2">
      <c r="A325" s="141"/>
      <c r="B325" s="142" t="s">
        <v>224</v>
      </c>
      <c r="C325" s="143" t="s">
        <v>8</v>
      </c>
      <c r="D325" s="91">
        <v>81</v>
      </c>
      <c r="E325" s="92"/>
      <c r="F325" s="59"/>
      <c r="G325" s="60">
        <f t="shared" si="51"/>
        <v>0</v>
      </c>
      <c r="I325" s="139">
        <f>D325*0.617*6</f>
        <v>299.86199999999997</v>
      </c>
      <c r="J325" s="139"/>
    </row>
    <row r="326" spans="1:10" x14ac:dyDescent="0.2">
      <c r="A326" s="141"/>
      <c r="B326" s="142" t="s">
        <v>14</v>
      </c>
      <c r="C326" s="143" t="s">
        <v>9</v>
      </c>
      <c r="D326" s="91">
        <f>D321*20</f>
        <v>73.271399999999986</v>
      </c>
      <c r="E326" s="92"/>
      <c r="F326" s="59"/>
      <c r="G326" s="60">
        <f t="shared" si="51"/>
        <v>0</v>
      </c>
      <c r="I326" s="139">
        <f>SUM(I321:I325)</f>
        <v>3663.5699999999997</v>
      </c>
      <c r="J326" s="139"/>
    </row>
    <row r="327" spans="1:10" x14ac:dyDescent="0.2">
      <c r="A327" s="141"/>
      <c r="B327" s="168" t="s">
        <v>484</v>
      </c>
      <c r="C327" s="143" t="s">
        <v>136</v>
      </c>
      <c r="D327" s="91">
        <f>I331/1000</f>
        <v>0.90302399999999994</v>
      </c>
      <c r="E327" s="92"/>
      <c r="F327" s="59"/>
      <c r="G327" s="60">
        <f t="shared" ref="G327:G331" si="54">(D327*E327)+(D327*F327)</f>
        <v>0</v>
      </c>
      <c r="J327" s="139"/>
    </row>
    <row r="328" spans="1:10" x14ac:dyDescent="0.2">
      <c r="A328" s="141"/>
      <c r="B328" s="142" t="s">
        <v>286</v>
      </c>
      <c r="C328" s="143" t="s">
        <v>8</v>
      </c>
      <c r="D328" s="91">
        <v>21</v>
      </c>
      <c r="E328" s="92"/>
      <c r="F328" s="59"/>
      <c r="G328" s="60">
        <f t="shared" si="54"/>
        <v>0</v>
      </c>
      <c r="I328" s="139">
        <f>D328*2.469*6</f>
        <v>311.09399999999999</v>
      </c>
      <c r="J328" s="139"/>
    </row>
    <row r="329" spans="1:10" x14ac:dyDescent="0.2">
      <c r="A329" s="141"/>
      <c r="B329" s="142" t="s">
        <v>223</v>
      </c>
      <c r="C329" s="143" t="s">
        <v>8</v>
      </c>
      <c r="D329" s="91">
        <v>84</v>
      </c>
      <c r="E329" s="92"/>
      <c r="F329" s="59"/>
      <c r="G329" s="60">
        <f t="shared" si="54"/>
        <v>0</v>
      </c>
      <c r="I329" s="139">
        <f>D329*0.888*6</f>
        <v>447.55200000000002</v>
      </c>
      <c r="J329" s="139"/>
    </row>
    <row r="330" spans="1:10" x14ac:dyDescent="0.2">
      <c r="A330" s="141"/>
      <c r="B330" s="142" t="s">
        <v>224</v>
      </c>
      <c r="C330" s="143" t="s">
        <v>8</v>
      </c>
      <c r="D330" s="91">
        <v>39</v>
      </c>
      <c r="E330" s="92"/>
      <c r="F330" s="59"/>
      <c r="G330" s="60">
        <f t="shared" si="54"/>
        <v>0</v>
      </c>
      <c r="I330" s="139">
        <f>D330*0.617*6</f>
        <v>144.37799999999999</v>
      </c>
      <c r="J330" s="139"/>
    </row>
    <row r="331" spans="1:10" ht="12.75" thickBot="1" x14ac:dyDescent="0.25">
      <c r="A331" s="151"/>
      <c r="B331" s="152" t="s">
        <v>14</v>
      </c>
      <c r="C331" s="153" t="s">
        <v>9</v>
      </c>
      <c r="D331" s="154">
        <f>D327*20</f>
        <v>18.060479999999998</v>
      </c>
      <c r="E331" s="183"/>
      <c r="F331" s="155"/>
      <c r="G331" s="156">
        <f t="shared" si="54"/>
        <v>0</v>
      </c>
      <c r="I331" s="139">
        <f>SUM(I327:I330)</f>
        <v>903.02399999999989</v>
      </c>
      <c r="J331" s="139"/>
    </row>
    <row r="332" spans="1:10" x14ac:dyDescent="0.2">
      <c r="A332" s="141"/>
      <c r="B332" s="168" t="s">
        <v>485</v>
      </c>
      <c r="C332" s="143" t="s">
        <v>136</v>
      </c>
      <c r="D332" s="91">
        <f>I337/1000</f>
        <v>0.64299000000000006</v>
      </c>
      <c r="E332" s="92"/>
      <c r="F332" s="59"/>
      <c r="G332" s="60">
        <f t="shared" ref="G332:G337" si="55">(D332*E332)+(D332*F332)</f>
        <v>0</v>
      </c>
      <c r="J332" s="139"/>
    </row>
    <row r="333" spans="1:10" x14ac:dyDescent="0.2">
      <c r="A333" s="141"/>
      <c r="B333" s="142" t="s">
        <v>286</v>
      </c>
      <c r="C333" s="143" t="s">
        <v>8</v>
      </c>
      <c r="D333" s="91">
        <v>20</v>
      </c>
      <c r="E333" s="92"/>
      <c r="F333" s="59"/>
      <c r="G333" s="60">
        <f t="shared" si="55"/>
        <v>0</v>
      </c>
      <c r="I333" s="139">
        <f>D333*2.469*6</f>
        <v>296.27999999999997</v>
      </c>
      <c r="J333" s="139"/>
    </row>
    <row r="334" spans="1:10" x14ac:dyDescent="0.2">
      <c r="A334" s="141"/>
      <c r="B334" s="142" t="s">
        <v>222</v>
      </c>
      <c r="C334" s="143" t="s">
        <v>8</v>
      </c>
      <c r="D334" s="91">
        <v>21</v>
      </c>
      <c r="E334" s="92"/>
      <c r="F334" s="59"/>
      <c r="G334" s="60">
        <f t="shared" si="55"/>
        <v>0</v>
      </c>
      <c r="I334" s="139">
        <f>D334*1.58*6</f>
        <v>199.07999999999998</v>
      </c>
      <c r="J334" s="139"/>
    </row>
    <row r="335" spans="1:10" x14ac:dyDescent="0.2">
      <c r="A335" s="141"/>
      <c r="B335" s="142" t="s">
        <v>223</v>
      </c>
      <c r="C335" s="143" t="s">
        <v>8</v>
      </c>
      <c r="D335" s="91">
        <v>2</v>
      </c>
      <c r="E335" s="92"/>
      <c r="F335" s="59"/>
      <c r="G335" s="60">
        <f t="shared" si="55"/>
        <v>0</v>
      </c>
      <c r="I335" s="139">
        <f>D335*0.888*6</f>
        <v>10.656000000000001</v>
      </c>
      <c r="J335" s="139"/>
    </row>
    <row r="336" spans="1:10" x14ac:dyDescent="0.2">
      <c r="A336" s="141"/>
      <c r="B336" s="142" t="s">
        <v>224</v>
      </c>
      <c r="C336" s="143" t="s">
        <v>8</v>
      </c>
      <c r="D336" s="91">
        <v>37</v>
      </c>
      <c r="E336" s="92"/>
      <c r="F336" s="59"/>
      <c r="G336" s="60">
        <f t="shared" si="55"/>
        <v>0</v>
      </c>
      <c r="I336" s="139">
        <f>D336*0.617*6</f>
        <v>136.97399999999999</v>
      </c>
      <c r="J336" s="139"/>
    </row>
    <row r="337" spans="1:14" x14ac:dyDescent="0.2">
      <c r="A337" s="141"/>
      <c r="B337" s="142" t="s">
        <v>14</v>
      </c>
      <c r="C337" s="143" t="s">
        <v>9</v>
      </c>
      <c r="D337" s="91">
        <f>D332*20</f>
        <v>12.859800000000002</v>
      </c>
      <c r="E337" s="92"/>
      <c r="F337" s="59"/>
      <c r="G337" s="60">
        <f t="shared" si="55"/>
        <v>0</v>
      </c>
      <c r="I337" s="139">
        <f>SUM(I332:I336)</f>
        <v>642.99</v>
      </c>
      <c r="J337" s="139"/>
    </row>
    <row r="338" spans="1:14" x14ac:dyDescent="0.2">
      <c r="A338" s="141"/>
      <c r="B338" s="168" t="s">
        <v>486</v>
      </c>
      <c r="C338" s="143" t="s">
        <v>136</v>
      </c>
      <c r="D338" s="91">
        <f>I340/1000</f>
        <v>0.62218799999999996</v>
      </c>
      <c r="E338" s="92"/>
      <c r="F338" s="59"/>
      <c r="G338" s="60">
        <f t="shared" ref="G338:G340" si="56">(D338*E338)+(D338*F338)</f>
        <v>0</v>
      </c>
      <c r="J338" s="139"/>
    </row>
    <row r="339" spans="1:14" x14ac:dyDescent="0.2">
      <c r="A339" s="141"/>
      <c r="B339" s="142" t="s">
        <v>222</v>
      </c>
      <c r="C339" s="143" t="s">
        <v>8</v>
      </c>
      <c r="D339" s="91">
        <v>42</v>
      </c>
      <c r="E339" s="92"/>
      <c r="F339" s="59"/>
      <c r="G339" s="60">
        <f t="shared" si="56"/>
        <v>0</v>
      </c>
      <c r="I339" s="139">
        <f>D339*2.469*6</f>
        <v>622.18799999999999</v>
      </c>
      <c r="J339" s="139"/>
    </row>
    <row r="340" spans="1:14" x14ac:dyDescent="0.2">
      <c r="A340" s="141"/>
      <c r="B340" s="142" t="s">
        <v>14</v>
      </c>
      <c r="C340" s="143" t="s">
        <v>9</v>
      </c>
      <c r="D340" s="91">
        <f>D338*20</f>
        <v>12.443759999999999</v>
      </c>
      <c r="E340" s="92"/>
      <c r="F340" s="59"/>
      <c r="G340" s="60">
        <f t="shared" si="56"/>
        <v>0</v>
      </c>
      <c r="I340" s="139">
        <f>SUM(I338:I339)</f>
        <v>622.18799999999999</v>
      </c>
      <c r="J340" s="139"/>
    </row>
    <row r="341" spans="1:14" x14ac:dyDescent="0.2">
      <c r="A341" s="141"/>
      <c r="B341" s="168" t="s">
        <v>487</v>
      </c>
      <c r="C341" s="143" t="s">
        <v>136</v>
      </c>
      <c r="D341" s="91">
        <f>I343/1000</f>
        <v>2.664E-2</v>
      </c>
      <c r="E341" s="92"/>
      <c r="F341" s="59"/>
      <c r="G341" s="60">
        <f t="shared" ref="G341:G347" si="57">(D341*E341)+(D341*F341)</f>
        <v>0</v>
      </c>
      <c r="J341" s="139"/>
    </row>
    <row r="342" spans="1:14" x14ac:dyDescent="0.2">
      <c r="A342" s="141"/>
      <c r="B342" s="142" t="s">
        <v>223</v>
      </c>
      <c r="C342" s="143" t="s">
        <v>8</v>
      </c>
      <c r="D342" s="91">
        <v>5</v>
      </c>
      <c r="E342" s="92"/>
      <c r="F342" s="59"/>
      <c r="G342" s="60">
        <f t="shared" si="57"/>
        <v>0</v>
      </c>
      <c r="I342" s="139">
        <f>D342*0.888*6</f>
        <v>26.64</v>
      </c>
      <c r="J342" s="139"/>
    </row>
    <row r="343" spans="1:14" x14ac:dyDescent="0.2">
      <c r="A343" s="141"/>
      <c r="B343" s="142" t="s">
        <v>14</v>
      </c>
      <c r="C343" s="143" t="s">
        <v>9</v>
      </c>
      <c r="D343" s="91">
        <f>D341*20</f>
        <v>0.53280000000000005</v>
      </c>
      <c r="E343" s="92"/>
      <c r="F343" s="59"/>
      <c r="G343" s="60">
        <f t="shared" si="57"/>
        <v>0</v>
      </c>
      <c r="I343" s="139">
        <f>SUM(I341:I342)</f>
        <v>26.64</v>
      </c>
      <c r="J343" s="139"/>
    </row>
    <row r="344" spans="1:14" x14ac:dyDescent="0.2">
      <c r="A344" s="141"/>
      <c r="B344" s="168" t="s">
        <v>282</v>
      </c>
      <c r="C344" s="143" t="s">
        <v>136</v>
      </c>
      <c r="D344" s="91">
        <f>I347/1000</f>
        <v>2.3840520000000001</v>
      </c>
      <c r="E344" s="92"/>
      <c r="F344" s="59"/>
      <c r="G344" s="60">
        <f t="shared" si="57"/>
        <v>0</v>
      </c>
      <c r="J344" s="139"/>
    </row>
    <row r="345" spans="1:14" x14ac:dyDescent="0.2">
      <c r="A345" s="141"/>
      <c r="B345" s="142" t="s">
        <v>222</v>
      </c>
      <c r="C345" s="143" t="s">
        <v>8</v>
      </c>
      <c r="D345" s="91">
        <v>212</v>
      </c>
      <c r="E345" s="92"/>
      <c r="F345" s="59"/>
      <c r="G345" s="60">
        <f t="shared" si="57"/>
        <v>0</v>
      </c>
      <c r="I345" s="139">
        <f>D345*1.58*6</f>
        <v>2009.7600000000002</v>
      </c>
      <c r="J345" s="139"/>
      <c r="K345" s="28">
        <f>3.25*8*2+2.25*8*2+2.25*8*2+4*8*2+3*8</f>
        <v>212</v>
      </c>
    </row>
    <row r="346" spans="1:14" x14ac:dyDescent="0.2">
      <c r="A346" s="141"/>
      <c r="B346" s="142" t="s">
        <v>423</v>
      </c>
      <c r="C346" s="143" t="s">
        <v>8</v>
      </c>
      <c r="D346" s="91">
        <v>281</v>
      </c>
      <c r="E346" s="92"/>
      <c r="F346" s="59"/>
      <c r="G346" s="60">
        <f t="shared" si="57"/>
        <v>0</v>
      </c>
      <c r="I346" s="139">
        <f>D346*0.222*6</f>
        <v>374.29199999999997</v>
      </c>
      <c r="J346" s="139"/>
      <c r="K346" s="28">
        <f>16.4*2+11.5*2+11.2*2+18.875*2+3.5*3</f>
        <v>126.44999999999999</v>
      </c>
      <c r="L346" s="28">
        <f>K346/0.15</f>
        <v>843</v>
      </c>
      <c r="N346" s="28">
        <f>L346/3</f>
        <v>281</v>
      </c>
    </row>
    <row r="347" spans="1:14" x14ac:dyDescent="0.2">
      <c r="A347" s="141"/>
      <c r="B347" s="142" t="s">
        <v>14</v>
      </c>
      <c r="C347" s="143" t="s">
        <v>9</v>
      </c>
      <c r="D347" s="91">
        <f>D344*20</f>
        <v>47.681040000000003</v>
      </c>
      <c r="E347" s="92"/>
      <c r="F347" s="59"/>
      <c r="G347" s="60">
        <f t="shared" si="57"/>
        <v>0</v>
      </c>
      <c r="I347" s="139">
        <f>SUM(I344:I346)</f>
        <v>2384.0520000000001</v>
      </c>
      <c r="J347" s="139"/>
    </row>
    <row r="348" spans="1:14" x14ac:dyDescent="0.2">
      <c r="A348" s="141"/>
      <c r="B348" s="168" t="s">
        <v>283</v>
      </c>
      <c r="C348" s="143" t="s">
        <v>136</v>
      </c>
      <c r="D348" s="91">
        <f>I351/1000</f>
        <v>0.31221599999999999</v>
      </c>
      <c r="E348" s="92"/>
      <c r="F348" s="59"/>
      <c r="G348" s="60">
        <f>(D348*E348)+(D348*F348)</f>
        <v>0</v>
      </c>
      <c r="J348" s="139"/>
    </row>
    <row r="349" spans="1:14" x14ac:dyDescent="0.2">
      <c r="A349" s="141"/>
      <c r="B349" s="142" t="s">
        <v>222</v>
      </c>
      <c r="C349" s="143" t="s">
        <v>8</v>
      </c>
      <c r="D349" s="91">
        <v>29</v>
      </c>
      <c r="E349" s="92"/>
      <c r="F349" s="59"/>
      <c r="G349" s="60">
        <f t="shared" ref="G349:G351" si="58">(D349*E349)+(D349*F349)</f>
        <v>0</v>
      </c>
      <c r="I349" s="139">
        <f>D349*1.58*6</f>
        <v>274.92</v>
      </c>
      <c r="J349" s="139"/>
      <c r="K349" s="28">
        <f>11.575+13.275</f>
        <v>24.85</v>
      </c>
    </row>
    <row r="350" spans="1:14" x14ac:dyDescent="0.2">
      <c r="A350" s="141"/>
      <c r="B350" s="142" t="s">
        <v>423</v>
      </c>
      <c r="C350" s="143" t="s">
        <v>8</v>
      </c>
      <c r="D350" s="91">
        <v>28</v>
      </c>
      <c r="E350" s="92"/>
      <c r="F350" s="59"/>
      <c r="G350" s="60">
        <f t="shared" si="58"/>
        <v>0</v>
      </c>
      <c r="I350" s="139">
        <f>D350*0.222*6</f>
        <v>37.295999999999999</v>
      </c>
      <c r="J350" s="139"/>
      <c r="K350" s="28">
        <f>11.575+13.275</f>
        <v>24.85</v>
      </c>
      <c r="L350" s="28">
        <f>K350/0.15</f>
        <v>165.66666666666669</v>
      </c>
      <c r="M350" s="28">
        <f>L350/6</f>
        <v>27.611111111111114</v>
      </c>
    </row>
    <row r="351" spans="1:14" x14ac:dyDescent="0.2">
      <c r="A351" s="141"/>
      <c r="B351" s="142" t="s">
        <v>14</v>
      </c>
      <c r="C351" s="143" t="s">
        <v>9</v>
      </c>
      <c r="D351" s="91">
        <f>D348*20</f>
        <v>6.2443200000000001</v>
      </c>
      <c r="E351" s="92"/>
      <c r="F351" s="59"/>
      <c r="G351" s="60">
        <f t="shared" si="58"/>
        <v>0</v>
      </c>
      <c r="I351" s="139">
        <f>SUM(I348:I350)</f>
        <v>312.21600000000001</v>
      </c>
      <c r="J351" s="139"/>
    </row>
    <row r="352" spans="1:14" x14ac:dyDescent="0.2">
      <c r="A352" s="132" t="s">
        <v>137</v>
      </c>
      <c r="B352" s="133" t="s">
        <v>67</v>
      </c>
      <c r="C352" s="163"/>
      <c r="D352" s="164"/>
      <c r="E352" s="165"/>
      <c r="F352" s="166"/>
      <c r="G352" s="167">
        <f t="shared" ref="G352" si="59">(D352*E352)+(D352*F352)</f>
        <v>0</v>
      </c>
    </row>
    <row r="353" spans="1:15" x14ac:dyDescent="0.2">
      <c r="A353" s="170" t="s">
        <v>164</v>
      </c>
      <c r="B353" s="171" t="s">
        <v>172</v>
      </c>
      <c r="C353" s="172"/>
      <c r="D353" s="173"/>
      <c r="E353" s="174"/>
      <c r="F353" s="59"/>
      <c r="G353" s="60"/>
    </row>
    <row r="354" spans="1:15" x14ac:dyDescent="0.2">
      <c r="A354" s="141" t="s">
        <v>185</v>
      </c>
      <c r="B354" s="142" t="s">
        <v>488</v>
      </c>
      <c r="C354" s="143" t="s">
        <v>136</v>
      </c>
      <c r="D354" s="91">
        <f>I357/1000</f>
        <v>0.30273600000000001</v>
      </c>
      <c r="E354" s="92"/>
      <c r="F354" s="59"/>
      <c r="G354" s="60">
        <f t="shared" ref="G354" si="60">(D354*E354)+(D354*F354)</f>
        <v>0</v>
      </c>
    </row>
    <row r="355" spans="1:15" x14ac:dyDescent="0.2">
      <c r="A355" s="144"/>
      <c r="B355" s="142" t="s">
        <v>222</v>
      </c>
      <c r="C355" s="143" t="s">
        <v>8</v>
      </c>
      <c r="D355" s="91">
        <v>28</v>
      </c>
      <c r="E355" s="92"/>
      <c r="F355" s="59"/>
      <c r="G355" s="60">
        <f t="shared" ref="G355:G357" si="61">(D355*E355)+(D355*F355)</f>
        <v>0</v>
      </c>
      <c r="I355" s="139">
        <f>D355*1.58*6</f>
        <v>265.44</v>
      </c>
      <c r="J355" s="28">
        <f>4*7</f>
        <v>28</v>
      </c>
      <c r="L355" s="28">
        <f>4.55/0.15</f>
        <v>30.333333333333332</v>
      </c>
      <c r="M355" s="28">
        <f>31*7</f>
        <v>217</v>
      </c>
      <c r="N355" s="28">
        <f>M355/8</f>
        <v>27.125</v>
      </c>
    </row>
    <row r="356" spans="1:15" x14ac:dyDescent="0.2">
      <c r="A356" s="141"/>
      <c r="B356" s="142" t="s">
        <v>225</v>
      </c>
      <c r="C356" s="143" t="s">
        <v>8</v>
      </c>
      <c r="D356" s="91">
        <v>28</v>
      </c>
      <c r="E356" s="92"/>
      <c r="F356" s="59"/>
      <c r="G356" s="60">
        <f t="shared" si="61"/>
        <v>0</v>
      </c>
      <c r="I356" s="139">
        <f>0.222*D356*6</f>
        <v>37.295999999999999</v>
      </c>
    </row>
    <row r="357" spans="1:15" x14ac:dyDescent="0.2">
      <c r="A357" s="141"/>
      <c r="B357" s="142" t="s">
        <v>14</v>
      </c>
      <c r="C357" s="143" t="s">
        <v>9</v>
      </c>
      <c r="D357" s="91">
        <f>D354*20</f>
        <v>6.0547199999999997</v>
      </c>
      <c r="E357" s="92"/>
      <c r="F357" s="59"/>
      <c r="G357" s="60">
        <f t="shared" si="61"/>
        <v>0</v>
      </c>
      <c r="I357" s="139">
        <f>SUM(I355:I356)</f>
        <v>302.73599999999999</v>
      </c>
      <c r="J357" s="139"/>
    </row>
    <row r="358" spans="1:15" x14ac:dyDescent="0.2">
      <c r="A358" s="141" t="s">
        <v>186</v>
      </c>
      <c r="B358" s="142" t="s">
        <v>489</v>
      </c>
      <c r="C358" s="143" t="s">
        <v>136</v>
      </c>
      <c r="D358" s="91">
        <f>I361/1000</f>
        <v>4.7247480000000008</v>
      </c>
      <c r="E358" s="92"/>
      <c r="F358" s="59"/>
      <c r="G358" s="60">
        <f t="shared" ref="G358:G361" si="62">(D358*E358)+(D358*F358)</f>
        <v>0</v>
      </c>
      <c r="I358" s="139"/>
      <c r="J358" s="139"/>
    </row>
    <row r="359" spans="1:15" x14ac:dyDescent="0.2">
      <c r="A359" s="141"/>
      <c r="B359" s="142" t="s">
        <v>287</v>
      </c>
      <c r="C359" s="143" t="s">
        <v>8</v>
      </c>
      <c r="D359" s="91">
        <v>180</v>
      </c>
      <c r="E359" s="92"/>
      <c r="F359" s="59"/>
      <c r="G359" s="60">
        <f t="shared" si="62"/>
        <v>0</v>
      </c>
      <c r="I359" s="139">
        <f>D359*3.858*6</f>
        <v>4166.6400000000003</v>
      </c>
      <c r="J359" s="28">
        <f>10*18</f>
        <v>180</v>
      </c>
      <c r="L359" s="28">
        <f>35*5</f>
        <v>175</v>
      </c>
      <c r="M359" s="28">
        <f>L359/6</f>
        <v>29.166666666666668</v>
      </c>
      <c r="N359" s="28">
        <f>L359/10</f>
        <v>17.5</v>
      </c>
      <c r="O359" s="28">
        <f>SUM(M359:N359)</f>
        <v>46.666666666666671</v>
      </c>
    </row>
    <row r="360" spans="1:15" x14ac:dyDescent="0.2">
      <c r="A360" s="141"/>
      <c r="B360" s="142" t="s">
        <v>225</v>
      </c>
      <c r="C360" s="143" t="s">
        <v>8</v>
      </c>
      <c r="D360" s="91">
        <v>419</v>
      </c>
      <c r="E360" s="92"/>
      <c r="F360" s="59"/>
      <c r="G360" s="60">
        <f t="shared" si="62"/>
        <v>0</v>
      </c>
      <c r="I360" s="139">
        <f>0.222*D360*6</f>
        <v>558.10799999999995</v>
      </c>
    </row>
    <row r="361" spans="1:15" x14ac:dyDescent="0.2">
      <c r="A361" s="141"/>
      <c r="B361" s="142" t="s">
        <v>14</v>
      </c>
      <c r="C361" s="143" t="s">
        <v>9</v>
      </c>
      <c r="D361" s="91">
        <f>D358*20</f>
        <v>94.49496000000002</v>
      </c>
      <c r="E361" s="92"/>
      <c r="F361" s="59"/>
      <c r="G361" s="60">
        <f t="shared" si="62"/>
        <v>0</v>
      </c>
      <c r="I361" s="139">
        <f>SUM(I359:I360)</f>
        <v>4724.7480000000005</v>
      </c>
      <c r="J361" s="139"/>
    </row>
    <row r="362" spans="1:15" x14ac:dyDescent="0.2">
      <c r="A362" s="141" t="s">
        <v>188</v>
      </c>
      <c r="B362" s="142" t="s">
        <v>490</v>
      </c>
      <c r="C362" s="143" t="s">
        <v>136</v>
      </c>
      <c r="D362" s="91">
        <f>I365/1000</f>
        <v>0.35099999999999998</v>
      </c>
      <c r="E362" s="92"/>
      <c r="F362" s="59"/>
      <c r="G362" s="60">
        <f t="shared" ref="G362:G365" si="63">(D362*E362)+(D362*F362)</f>
        <v>0</v>
      </c>
      <c r="I362" s="139"/>
      <c r="J362" s="139"/>
    </row>
    <row r="363" spans="1:15" x14ac:dyDescent="0.2">
      <c r="A363" s="141"/>
      <c r="B363" s="142" t="s">
        <v>222</v>
      </c>
      <c r="C363" s="143" t="s">
        <v>8</v>
      </c>
      <c r="D363" s="91">
        <v>30</v>
      </c>
      <c r="E363" s="92"/>
      <c r="F363" s="59"/>
      <c r="G363" s="60">
        <f t="shared" si="63"/>
        <v>0</v>
      </c>
      <c r="I363" s="139">
        <f>D363*1.58*6</f>
        <v>284.40000000000003</v>
      </c>
      <c r="J363" s="28">
        <f>4*7</f>
        <v>28</v>
      </c>
    </row>
    <row r="364" spans="1:15" x14ac:dyDescent="0.2">
      <c r="A364" s="141"/>
      <c r="B364" s="142" t="s">
        <v>225</v>
      </c>
      <c r="C364" s="143" t="s">
        <v>8</v>
      </c>
      <c r="D364" s="91">
        <v>50</v>
      </c>
      <c r="E364" s="92"/>
      <c r="F364" s="59"/>
      <c r="G364" s="60">
        <f t="shared" si="63"/>
        <v>0</v>
      </c>
      <c r="I364" s="139">
        <f>0.222*D364*6</f>
        <v>66.599999999999994</v>
      </c>
      <c r="J364" s="139"/>
    </row>
    <row r="365" spans="1:15" x14ac:dyDescent="0.2">
      <c r="A365" s="141"/>
      <c r="B365" s="142" t="s">
        <v>14</v>
      </c>
      <c r="C365" s="143" t="s">
        <v>9</v>
      </c>
      <c r="D365" s="91">
        <f>D362*20</f>
        <v>7.02</v>
      </c>
      <c r="E365" s="92"/>
      <c r="F365" s="59"/>
      <c r="G365" s="60">
        <f t="shared" si="63"/>
        <v>0</v>
      </c>
      <c r="I365" s="139">
        <f>SUM(I363:I364)</f>
        <v>351</v>
      </c>
      <c r="J365" s="139"/>
    </row>
    <row r="366" spans="1:15" x14ac:dyDescent="0.2">
      <c r="A366" s="141" t="s">
        <v>187</v>
      </c>
      <c r="B366" s="142" t="s">
        <v>492</v>
      </c>
      <c r="C366" s="143" t="s">
        <v>136</v>
      </c>
      <c r="D366" s="91">
        <f>I369/1000</f>
        <v>0.29411999999999999</v>
      </c>
      <c r="E366" s="92"/>
      <c r="F366" s="59"/>
      <c r="G366" s="60">
        <f t="shared" ref="G366:G369" si="64">(D366*E366)+(D366*F366)</f>
        <v>0</v>
      </c>
      <c r="I366" s="139"/>
      <c r="J366" s="139"/>
    </row>
    <row r="367" spans="1:15" x14ac:dyDescent="0.2">
      <c r="A367" s="141"/>
      <c r="B367" s="142" t="s">
        <v>222</v>
      </c>
      <c r="C367" s="143" t="s">
        <v>8</v>
      </c>
      <c r="D367" s="91">
        <v>24</v>
      </c>
      <c r="E367" s="92"/>
      <c r="F367" s="59"/>
      <c r="G367" s="60">
        <f t="shared" si="64"/>
        <v>0</v>
      </c>
      <c r="I367" s="139">
        <f>D367*1.58*6</f>
        <v>227.52</v>
      </c>
      <c r="J367" s="28">
        <f>4*7</f>
        <v>28</v>
      </c>
      <c r="K367" s="28">
        <f>35*8</f>
        <v>280</v>
      </c>
      <c r="L367" s="28">
        <f>K367/18</f>
        <v>15.555555555555555</v>
      </c>
    </row>
    <row r="368" spans="1:15" x14ac:dyDescent="0.2">
      <c r="A368" s="141"/>
      <c r="B368" s="142" t="s">
        <v>225</v>
      </c>
      <c r="C368" s="143" t="s">
        <v>8</v>
      </c>
      <c r="D368" s="91">
        <v>50</v>
      </c>
      <c r="E368" s="92"/>
      <c r="F368" s="59"/>
      <c r="G368" s="60">
        <f t="shared" si="64"/>
        <v>0</v>
      </c>
      <c r="I368" s="139">
        <f>0.222*D368*6</f>
        <v>66.599999999999994</v>
      </c>
      <c r="J368" s="139"/>
    </row>
    <row r="369" spans="1:12" x14ac:dyDescent="0.2">
      <c r="A369" s="141"/>
      <c r="B369" s="142" t="s">
        <v>14</v>
      </c>
      <c r="C369" s="143" t="s">
        <v>9</v>
      </c>
      <c r="D369" s="91">
        <f>D366*20</f>
        <v>5.8823999999999996</v>
      </c>
      <c r="E369" s="92"/>
      <c r="F369" s="59"/>
      <c r="G369" s="60">
        <f t="shared" si="64"/>
        <v>0</v>
      </c>
      <c r="I369" s="139">
        <f>SUM(I367:I368)</f>
        <v>294.12</v>
      </c>
      <c r="J369" s="139"/>
    </row>
    <row r="370" spans="1:12" x14ac:dyDescent="0.2">
      <c r="A370" s="170" t="s">
        <v>165</v>
      </c>
      <c r="B370" s="171" t="s">
        <v>198</v>
      </c>
      <c r="C370" s="172" t="s">
        <v>136</v>
      </c>
      <c r="D370" s="173">
        <f>I372/1000</f>
        <v>0.42943200000000004</v>
      </c>
      <c r="E370" s="174"/>
      <c r="F370" s="59"/>
      <c r="G370" s="60">
        <f t="shared" ref="G370:G372" si="65">(D370*E370)+(D370*F370)</f>
        <v>0</v>
      </c>
      <c r="H370" s="175"/>
      <c r="I370" s="176"/>
    </row>
    <row r="371" spans="1:12" x14ac:dyDescent="0.2">
      <c r="A371" s="177" t="s">
        <v>175</v>
      </c>
      <c r="B371" s="142" t="s">
        <v>224</v>
      </c>
      <c r="C371" s="178" t="s">
        <v>8</v>
      </c>
      <c r="D371" s="179">
        <v>116</v>
      </c>
      <c r="E371" s="180"/>
      <c r="F371" s="181"/>
      <c r="G371" s="60">
        <f t="shared" si="65"/>
        <v>0</v>
      </c>
      <c r="H371" s="175"/>
      <c r="I371" s="139">
        <f>0.617*D371*6</f>
        <v>429.43200000000002</v>
      </c>
    </row>
    <row r="372" spans="1:12" x14ac:dyDescent="0.2">
      <c r="A372" s="177"/>
      <c r="B372" s="182" t="s">
        <v>14</v>
      </c>
      <c r="C372" s="178" t="s">
        <v>9</v>
      </c>
      <c r="D372" s="179">
        <f>D370*20</f>
        <v>8.5886400000000016</v>
      </c>
      <c r="E372" s="180"/>
      <c r="F372" s="181"/>
      <c r="G372" s="60">
        <f t="shared" si="65"/>
        <v>0</v>
      </c>
      <c r="H372" s="175"/>
      <c r="I372" s="139">
        <f>SUM(I370:I371)</f>
        <v>429.43200000000002</v>
      </c>
    </row>
    <row r="373" spans="1:12" x14ac:dyDescent="0.2">
      <c r="A373" s="144" t="s">
        <v>176</v>
      </c>
      <c r="B373" s="145" t="s">
        <v>206</v>
      </c>
      <c r="C373" s="146" t="s">
        <v>136</v>
      </c>
      <c r="D373" s="147">
        <f>I375/1000</f>
        <v>2.4914459999999998</v>
      </c>
      <c r="E373" s="148"/>
      <c r="F373" s="59"/>
      <c r="G373" s="60">
        <f t="shared" ref="G373:G375" si="66">(D373*E373)+(D373*F373)</f>
        <v>0</v>
      </c>
    </row>
    <row r="374" spans="1:12" x14ac:dyDescent="0.2">
      <c r="A374" s="144"/>
      <c r="B374" s="142" t="s">
        <v>224</v>
      </c>
      <c r="C374" s="143" t="s">
        <v>8</v>
      </c>
      <c r="D374" s="91">
        <v>673</v>
      </c>
      <c r="E374" s="92"/>
      <c r="F374" s="59"/>
      <c r="G374" s="60">
        <f t="shared" si="66"/>
        <v>0</v>
      </c>
      <c r="I374" s="139">
        <f>0.617*D374*6</f>
        <v>2491.4459999999999</v>
      </c>
      <c r="J374" s="28">
        <v>423.83</v>
      </c>
      <c r="K374" s="28">
        <f>J374*8.66*110%</f>
        <v>4037.4045800000004</v>
      </c>
      <c r="L374" s="28">
        <f>K374/6</f>
        <v>672.90076333333343</v>
      </c>
    </row>
    <row r="375" spans="1:12" x14ac:dyDescent="0.2">
      <c r="A375" s="141"/>
      <c r="B375" s="142" t="s">
        <v>14</v>
      </c>
      <c r="C375" s="143" t="s">
        <v>9</v>
      </c>
      <c r="D375" s="91">
        <f>D373*20</f>
        <v>49.828919999999997</v>
      </c>
      <c r="E375" s="92"/>
      <c r="F375" s="59"/>
      <c r="G375" s="60">
        <f t="shared" si="66"/>
        <v>0</v>
      </c>
      <c r="I375" s="139">
        <f>SUM(I373:I374)</f>
        <v>2491.4459999999999</v>
      </c>
    </row>
    <row r="376" spans="1:12" x14ac:dyDescent="0.2">
      <c r="A376" s="132" t="s">
        <v>138</v>
      </c>
      <c r="B376" s="133" t="s">
        <v>69</v>
      </c>
      <c r="C376" s="163"/>
      <c r="D376" s="164"/>
      <c r="E376" s="165"/>
      <c r="F376" s="166"/>
      <c r="G376" s="167"/>
    </row>
    <row r="377" spans="1:12" x14ac:dyDescent="0.2">
      <c r="A377" s="170" t="s">
        <v>164</v>
      </c>
      <c r="B377" s="171" t="s">
        <v>284</v>
      </c>
      <c r="C377" s="172"/>
      <c r="D377" s="173"/>
      <c r="E377" s="174"/>
      <c r="F377" s="59"/>
      <c r="G377" s="60"/>
    </row>
    <row r="378" spans="1:12" x14ac:dyDescent="0.2">
      <c r="A378" s="141"/>
      <c r="B378" s="142" t="s">
        <v>442</v>
      </c>
      <c r="C378" s="143" t="s">
        <v>136</v>
      </c>
      <c r="D378" s="91">
        <f>I381/1000</f>
        <v>1.1211720000000001</v>
      </c>
      <c r="E378" s="92"/>
      <c r="F378" s="59"/>
      <c r="G378" s="60">
        <f t="shared" ref="G378:G405" si="67">(D378*E378)+(D378*F378)</f>
        <v>0</v>
      </c>
    </row>
    <row r="379" spans="1:12" x14ac:dyDescent="0.2">
      <c r="A379" s="144"/>
      <c r="B379" s="142" t="s">
        <v>222</v>
      </c>
      <c r="C379" s="143" t="s">
        <v>8</v>
      </c>
      <c r="D379" s="91">
        <v>83</v>
      </c>
      <c r="E379" s="92"/>
      <c r="F379" s="59"/>
      <c r="G379" s="60">
        <f t="shared" si="67"/>
        <v>0</v>
      </c>
      <c r="I379" s="139">
        <f>D379*1.58*6</f>
        <v>786.84000000000015</v>
      </c>
    </row>
    <row r="380" spans="1:12" x14ac:dyDescent="0.2">
      <c r="A380" s="141"/>
      <c r="B380" s="142" t="s">
        <v>225</v>
      </c>
      <c r="C380" s="143" t="s">
        <v>8</v>
      </c>
      <c r="D380" s="91">
        <v>251</v>
      </c>
      <c r="E380" s="92"/>
      <c r="F380" s="59"/>
      <c r="G380" s="60">
        <f t="shared" si="67"/>
        <v>0</v>
      </c>
      <c r="I380" s="139">
        <f>0.222*D380*6</f>
        <v>334.33199999999999</v>
      </c>
      <c r="J380" s="28">
        <f>25.8*2+12.975*2+16.275+6.6</f>
        <v>100.42499999999998</v>
      </c>
      <c r="K380" s="28">
        <f>J380/0.1</f>
        <v>1004.2499999999998</v>
      </c>
      <c r="L380" s="28">
        <f>K380/4</f>
        <v>251.06249999999994</v>
      </c>
    </row>
    <row r="381" spans="1:12" x14ac:dyDescent="0.2">
      <c r="A381" s="141"/>
      <c r="B381" s="142" t="s">
        <v>14</v>
      </c>
      <c r="C381" s="143" t="s">
        <v>9</v>
      </c>
      <c r="D381" s="91">
        <f>D378*20</f>
        <v>22.423439999999999</v>
      </c>
      <c r="E381" s="92"/>
      <c r="F381" s="59"/>
      <c r="G381" s="60">
        <f t="shared" si="67"/>
        <v>0</v>
      </c>
      <c r="I381" s="139">
        <f>SUM(I379:I380)</f>
        <v>1121.172</v>
      </c>
      <c r="J381" s="139"/>
    </row>
    <row r="382" spans="1:12" x14ac:dyDescent="0.2">
      <c r="A382" s="141"/>
      <c r="B382" s="142" t="s">
        <v>461</v>
      </c>
      <c r="C382" s="143" t="s">
        <v>136</v>
      </c>
      <c r="D382" s="91">
        <f>I386/1000</f>
        <v>1.3271700000000002</v>
      </c>
      <c r="E382" s="92"/>
      <c r="F382" s="59"/>
      <c r="G382" s="60">
        <f t="shared" ref="G382:G386" si="68">(D382*E382)+(D382*F382)</f>
        <v>0</v>
      </c>
      <c r="I382" s="139"/>
      <c r="J382" s="139"/>
    </row>
    <row r="383" spans="1:12" x14ac:dyDescent="0.2">
      <c r="A383" s="141"/>
      <c r="B383" s="142" t="s">
        <v>287</v>
      </c>
      <c r="C383" s="143" t="s">
        <v>8</v>
      </c>
      <c r="D383" s="91">
        <v>48</v>
      </c>
      <c r="E383" s="92"/>
      <c r="F383" s="59"/>
      <c r="G383" s="60">
        <f t="shared" si="68"/>
        <v>0</v>
      </c>
      <c r="I383" s="139">
        <f>D383*3.858*6</f>
        <v>1111.104</v>
      </c>
    </row>
    <row r="384" spans="1:12" x14ac:dyDescent="0.2">
      <c r="A384" s="141"/>
      <c r="B384" s="142" t="s">
        <v>222</v>
      </c>
      <c r="C384" s="143" t="s">
        <v>8</v>
      </c>
      <c r="D384" s="91">
        <v>6</v>
      </c>
      <c r="E384" s="92"/>
      <c r="F384" s="59"/>
      <c r="G384" s="60">
        <f t="shared" ref="G384:G385" si="69">(D384*E384)+(D384*F384)</f>
        <v>0</v>
      </c>
      <c r="I384" s="139">
        <f>D384*1.58*6</f>
        <v>56.88</v>
      </c>
      <c r="J384" s="28">
        <f>12.7</f>
        <v>12.7</v>
      </c>
      <c r="K384" s="28">
        <f>J384/0.15</f>
        <v>84.666666666666671</v>
      </c>
      <c r="L384" s="28">
        <f>K384/2</f>
        <v>42.333333333333336</v>
      </c>
    </row>
    <row r="385" spans="1:12" x14ac:dyDescent="0.2">
      <c r="A385" s="141"/>
      <c r="B385" s="142" t="s">
        <v>224</v>
      </c>
      <c r="C385" s="178" t="s">
        <v>8</v>
      </c>
      <c r="D385" s="179">
        <v>43</v>
      </c>
      <c r="E385" s="180"/>
      <c r="F385" s="181"/>
      <c r="G385" s="60">
        <f t="shared" si="69"/>
        <v>0</v>
      </c>
      <c r="H385" s="175"/>
      <c r="I385" s="139">
        <f>0.617*D385*6</f>
        <v>159.18599999999998</v>
      </c>
      <c r="J385" s="28">
        <f>32.2*2.2</f>
        <v>70.840000000000018</v>
      </c>
    </row>
    <row r="386" spans="1:12" x14ac:dyDescent="0.2">
      <c r="A386" s="141"/>
      <c r="B386" s="142" t="s">
        <v>14</v>
      </c>
      <c r="C386" s="143" t="s">
        <v>9</v>
      </c>
      <c r="D386" s="91">
        <f>D382*20</f>
        <v>26.543400000000005</v>
      </c>
      <c r="E386" s="92"/>
      <c r="F386" s="59"/>
      <c r="G386" s="60">
        <f t="shared" si="68"/>
        <v>0</v>
      </c>
      <c r="I386" s="139">
        <f>SUM(I383:I385)</f>
        <v>1327.17</v>
      </c>
      <c r="J386" s="139"/>
    </row>
    <row r="387" spans="1:12" x14ac:dyDescent="0.2">
      <c r="A387" s="141"/>
      <c r="B387" s="142" t="s">
        <v>493</v>
      </c>
      <c r="C387" s="143" t="s">
        <v>136</v>
      </c>
      <c r="D387" s="91">
        <f>I390/1000</f>
        <v>0.50569199999999992</v>
      </c>
      <c r="E387" s="92"/>
      <c r="F387" s="59"/>
      <c r="G387" s="60">
        <f t="shared" ref="G387:G398" si="70">(D387*E387)+(D387*F387)</f>
        <v>0</v>
      </c>
      <c r="I387" s="139"/>
      <c r="J387" s="139"/>
    </row>
    <row r="388" spans="1:12" x14ac:dyDescent="0.2">
      <c r="A388" s="141"/>
      <c r="B388" s="142" t="s">
        <v>286</v>
      </c>
      <c r="C388" s="143" t="s">
        <v>8</v>
      </c>
      <c r="D388" s="91">
        <v>30</v>
      </c>
      <c r="E388" s="92"/>
      <c r="F388" s="59"/>
      <c r="G388" s="60">
        <f t="shared" ref="G388" si="71">(D388*E388)+(D388*F388)</f>
        <v>0</v>
      </c>
      <c r="I388" s="139">
        <f>D388*2.469*6</f>
        <v>444.41999999999996</v>
      </c>
      <c r="J388" s="139">
        <f>6.1*3</f>
        <v>18.299999999999997</v>
      </c>
      <c r="K388" s="169">
        <f>J388/0.1</f>
        <v>182.99999999999997</v>
      </c>
      <c r="L388" s="169">
        <f>K388/4</f>
        <v>45.749999999999993</v>
      </c>
    </row>
    <row r="389" spans="1:12" x14ac:dyDescent="0.2">
      <c r="A389" s="141"/>
      <c r="B389" s="142" t="s">
        <v>225</v>
      </c>
      <c r="C389" s="143" t="s">
        <v>8</v>
      </c>
      <c r="D389" s="91">
        <v>46</v>
      </c>
      <c r="E389" s="92"/>
      <c r="F389" s="59"/>
      <c r="G389" s="60">
        <f t="shared" si="70"/>
        <v>0</v>
      </c>
      <c r="I389" s="139">
        <f>0.222*D389*6</f>
        <v>61.271999999999998</v>
      </c>
      <c r="J389" s="139"/>
    </row>
    <row r="390" spans="1:12" ht="12.75" thickBot="1" x14ac:dyDescent="0.25">
      <c r="A390" s="151"/>
      <c r="B390" s="152" t="s">
        <v>14</v>
      </c>
      <c r="C390" s="153" t="s">
        <v>9</v>
      </c>
      <c r="D390" s="154">
        <f>D387*20</f>
        <v>10.113839999999998</v>
      </c>
      <c r="E390" s="183"/>
      <c r="F390" s="155"/>
      <c r="G390" s="156">
        <f t="shared" si="70"/>
        <v>0</v>
      </c>
      <c r="I390" s="139">
        <f>SUM(I388:I389)</f>
        <v>505.69199999999995</v>
      </c>
      <c r="J390" s="139"/>
    </row>
    <row r="391" spans="1:12" x14ac:dyDescent="0.2">
      <c r="A391" s="141"/>
      <c r="B391" s="142" t="s">
        <v>476</v>
      </c>
      <c r="C391" s="143" t="s">
        <v>136</v>
      </c>
      <c r="D391" s="91">
        <f>I394/1000</f>
        <v>0.40716000000000002</v>
      </c>
      <c r="E391" s="92"/>
      <c r="F391" s="59"/>
      <c r="G391" s="60">
        <f t="shared" si="70"/>
        <v>0</v>
      </c>
      <c r="I391" s="139"/>
      <c r="J391" s="139"/>
    </row>
    <row r="392" spans="1:12" x14ac:dyDescent="0.2">
      <c r="A392" s="141"/>
      <c r="B392" s="142" t="s">
        <v>286</v>
      </c>
      <c r="C392" s="143" t="s">
        <v>8</v>
      </c>
      <c r="D392" s="91">
        <v>22</v>
      </c>
      <c r="E392" s="92"/>
      <c r="F392" s="59"/>
      <c r="G392" s="60">
        <f t="shared" si="70"/>
        <v>0</v>
      </c>
      <c r="I392" s="139">
        <f>D392*2.469*6</f>
        <v>325.90800000000002</v>
      </c>
      <c r="J392" s="139">
        <f>3.77+12.6+1.97*4</f>
        <v>24.25</v>
      </c>
      <c r="K392" s="28">
        <f>(J392/0.1)</f>
        <v>242.5</v>
      </c>
      <c r="L392" s="28">
        <f>K392/4</f>
        <v>60.625</v>
      </c>
    </row>
    <row r="393" spans="1:12" x14ac:dyDescent="0.2">
      <c r="A393" s="141"/>
      <c r="B393" s="142" t="s">
        <v>225</v>
      </c>
      <c r="C393" s="143" t="s">
        <v>8</v>
      </c>
      <c r="D393" s="91">
        <v>61</v>
      </c>
      <c r="E393" s="92"/>
      <c r="F393" s="59"/>
      <c r="G393" s="60">
        <f t="shared" si="70"/>
        <v>0</v>
      </c>
      <c r="I393" s="139">
        <f>0.222*D393*6</f>
        <v>81.251999999999995</v>
      </c>
      <c r="J393" s="139"/>
    </row>
    <row r="394" spans="1:12" x14ac:dyDescent="0.2">
      <c r="A394" s="141"/>
      <c r="B394" s="142" t="s">
        <v>14</v>
      </c>
      <c r="C394" s="143" t="s">
        <v>9</v>
      </c>
      <c r="D394" s="91">
        <f>D391*20</f>
        <v>8.1432000000000002</v>
      </c>
      <c r="E394" s="92"/>
      <c r="F394" s="59"/>
      <c r="G394" s="60">
        <f t="shared" si="70"/>
        <v>0</v>
      </c>
      <c r="I394" s="139">
        <f>SUM(I392:I393)</f>
        <v>407.16</v>
      </c>
      <c r="J394" s="139"/>
    </row>
    <row r="395" spans="1:12" x14ac:dyDescent="0.2">
      <c r="A395" s="141"/>
      <c r="B395" s="142" t="s">
        <v>460</v>
      </c>
      <c r="C395" s="143" t="s">
        <v>136</v>
      </c>
      <c r="D395" s="91">
        <f>I398/1000</f>
        <v>9.2591999999999994E-2</v>
      </c>
      <c r="E395" s="92"/>
      <c r="F395" s="59"/>
      <c r="G395" s="60">
        <f t="shared" si="70"/>
        <v>0</v>
      </c>
      <c r="I395" s="139"/>
      <c r="J395" s="139"/>
    </row>
    <row r="396" spans="1:12" x14ac:dyDescent="0.2">
      <c r="A396" s="141"/>
      <c r="B396" s="142" t="s">
        <v>287</v>
      </c>
      <c r="C396" s="143" t="s">
        <v>8</v>
      </c>
      <c r="D396" s="91">
        <v>4</v>
      </c>
      <c r="E396" s="92"/>
      <c r="F396" s="59"/>
      <c r="G396" s="60">
        <f t="shared" ref="G396:G397" si="72">(D396*E396)+(D396*F396)</f>
        <v>0</v>
      </c>
      <c r="I396" s="139">
        <f>D396*3.858*6</f>
        <v>92.591999999999999</v>
      </c>
      <c r="J396" s="139">
        <v>3.77</v>
      </c>
      <c r="K396" s="169">
        <f>J396/0.15</f>
        <v>25.133333333333333</v>
      </c>
      <c r="L396" s="169">
        <f>K396/4</f>
        <v>6.2833333333333332</v>
      </c>
    </row>
    <row r="397" spans="1:12" x14ac:dyDescent="0.2">
      <c r="A397" s="141"/>
      <c r="B397" s="142" t="s">
        <v>498</v>
      </c>
      <c r="C397" s="178" t="s">
        <v>8</v>
      </c>
      <c r="D397" s="179"/>
      <c r="E397" s="180"/>
      <c r="F397" s="181"/>
      <c r="G397" s="60">
        <f t="shared" si="72"/>
        <v>0</v>
      </c>
      <c r="H397" s="175"/>
      <c r="I397" s="139">
        <f>0.617*D397*6</f>
        <v>0</v>
      </c>
      <c r="J397" s="28">
        <f>32.2*2.2</f>
        <v>70.840000000000018</v>
      </c>
    </row>
    <row r="398" spans="1:12" x14ac:dyDescent="0.2">
      <c r="A398" s="141"/>
      <c r="B398" s="142" t="s">
        <v>14</v>
      </c>
      <c r="C398" s="143" t="s">
        <v>9</v>
      </c>
      <c r="D398" s="91">
        <f>D395*20</f>
        <v>1.8518399999999999</v>
      </c>
      <c r="E398" s="92"/>
      <c r="F398" s="59"/>
      <c r="G398" s="60">
        <f t="shared" si="70"/>
        <v>0</v>
      </c>
      <c r="I398" s="139">
        <f>SUM(I396:I397)</f>
        <v>92.591999999999999</v>
      </c>
      <c r="J398" s="139"/>
    </row>
    <row r="399" spans="1:12" x14ac:dyDescent="0.2">
      <c r="A399" s="141"/>
      <c r="B399" s="142" t="s">
        <v>497</v>
      </c>
      <c r="C399" s="143" t="s">
        <v>136</v>
      </c>
      <c r="D399" s="91">
        <f>I402/1000</f>
        <v>0.68713199999999997</v>
      </c>
      <c r="E399" s="92"/>
      <c r="F399" s="59"/>
      <c r="G399" s="60">
        <f t="shared" ref="G399:G402" si="73">(D399*E399)+(D399*F399)</f>
        <v>0</v>
      </c>
      <c r="I399" s="139"/>
      <c r="J399" s="139"/>
    </row>
    <row r="400" spans="1:12" x14ac:dyDescent="0.2">
      <c r="A400" s="141"/>
      <c r="B400" s="142" t="s">
        <v>286</v>
      </c>
      <c r="C400" s="143" t="s">
        <v>8</v>
      </c>
      <c r="D400" s="91">
        <v>40</v>
      </c>
      <c r="E400" s="92"/>
      <c r="F400" s="59"/>
      <c r="G400" s="60">
        <f t="shared" si="73"/>
        <v>0</v>
      </c>
      <c r="I400" s="139">
        <f>D400*2.469*6</f>
        <v>592.55999999999995</v>
      </c>
      <c r="J400" s="139">
        <f>1.4*13+2.95*2+2.15*2</f>
        <v>28.400000000000002</v>
      </c>
      <c r="K400" s="28">
        <f>(J400/0.1)</f>
        <v>284</v>
      </c>
      <c r="L400" s="28">
        <f>K400/4</f>
        <v>71</v>
      </c>
    </row>
    <row r="401" spans="1:17" x14ac:dyDescent="0.2">
      <c r="A401" s="141"/>
      <c r="B401" s="142" t="s">
        <v>225</v>
      </c>
      <c r="C401" s="143" t="s">
        <v>8</v>
      </c>
      <c r="D401" s="91">
        <v>71</v>
      </c>
      <c r="E401" s="92"/>
      <c r="F401" s="59"/>
      <c r="G401" s="60">
        <f t="shared" si="73"/>
        <v>0</v>
      </c>
      <c r="I401" s="139">
        <f>0.222*D401*6</f>
        <v>94.572000000000003</v>
      </c>
      <c r="J401" s="139"/>
    </row>
    <row r="402" spans="1:17" x14ac:dyDescent="0.2">
      <c r="A402" s="141"/>
      <c r="B402" s="142" t="s">
        <v>14</v>
      </c>
      <c r="C402" s="143" t="s">
        <v>9</v>
      </c>
      <c r="D402" s="91">
        <f>D399*20</f>
        <v>13.74264</v>
      </c>
      <c r="E402" s="92"/>
      <c r="F402" s="59"/>
      <c r="G402" s="60">
        <f t="shared" si="73"/>
        <v>0</v>
      </c>
      <c r="I402" s="139">
        <f>SUM(I400:I401)</f>
        <v>687.13199999999995</v>
      </c>
      <c r="J402" s="139"/>
    </row>
    <row r="403" spans="1:17" x14ac:dyDescent="0.2">
      <c r="A403" s="170" t="s">
        <v>165</v>
      </c>
      <c r="B403" s="171" t="s">
        <v>279</v>
      </c>
      <c r="C403" s="172" t="s">
        <v>136</v>
      </c>
      <c r="D403" s="173">
        <f>I405/1000</f>
        <v>1.6399860000000002</v>
      </c>
      <c r="E403" s="174"/>
      <c r="F403" s="59"/>
      <c r="G403" s="60">
        <f t="shared" si="67"/>
        <v>0</v>
      </c>
      <c r="H403" s="175"/>
      <c r="I403" s="176"/>
    </row>
    <row r="404" spans="1:17" x14ac:dyDescent="0.2">
      <c r="A404" s="177" t="s">
        <v>175</v>
      </c>
      <c r="B404" s="142" t="s">
        <v>224</v>
      </c>
      <c r="C404" s="178" t="s">
        <v>8</v>
      </c>
      <c r="D404" s="179">
        <v>443</v>
      </c>
      <c r="E404" s="180"/>
      <c r="F404" s="181"/>
      <c r="G404" s="60">
        <f t="shared" si="67"/>
        <v>0</v>
      </c>
      <c r="H404" s="175"/>
      <c r="I404" s="139">
        <f>0.617*D404*6</f>
        <v>1639.9860000000001</v>
      </c>
      <c r="J404" s="28">
        <v>86.6</v>
      </c>
      <c r="K404" s="28">
        <f>J404*15.32*2</f>
        <v>2653.424</v>
      </c>
      <c r="L404" s="28">
        <f>K404/6</f>
        <v>442.23733333333331</v>
      </c>
    </row>
    <row r="405" spans="1:17" x14ac:dyDescent="0.2">
      <c r="A405" s="177"/>
      <c r="B405" s="182" t="s">
        <v>14</v>
      </c>
      <c r="C405" s="178" t="s">
        <v>9</v>
      </c>
      <c r="D405" s="179">
        <f>D403*20</f>
        <v>32.799720000000001</v>
      </c>
      <c r="E405" s="180"/>
      <c r="F405" s="181"/>
      <c r="G405" s="60">
        <f t="shared" si="67"/>
        <v>0</v>
      </c>
      <c r="H405" s="175"/>
      <c r="I405" s="139">
        <f>SUM(I403:I404)</f>
        <v>1639.9860000000001</v>
      </c>
    </row>
    <row r="406" spans="1:17" x14ac:dyDescent="0.2">
      <c r="A406" s="170" t="s">
        <v>176</v>
      </c>
      <c r="B406" s="171" t="s">
        <v>172</v>
      </c>
      <c r="C406" s="172"/>
      <c r="D406" s="173"/>
      <c r="E406" s="174"/>
      <c r="F406" s="59"/>
      <c r="G406" s="60"/>
    </row>
    <row r="407" spans="1:17" x14ac:dyDescent="0.2">
      <c r="A407" s="141" t="s">
        <v>185</v>
      </c>
      <c r="B407" s="142" t="s">
        <v>491</v>
      </c>
      <c r="C407" s="143" t="s">
        <v>136</v>
      </c>
      <c r="D407" s="91">
        <f>I410/1000</f>
        <v>0.20824800000000002</v>
      </c>
      <c r="E407" s="92"/>
      <c r="F407" s="59"/>
      <c r="G407" s="60">
        <f t="shared" ref="G407:G422" si="74">(D407*E407)+(D407*F407)</f>
        <v>0</v>
      </c>
    </row>
    <row r="408" spans="1:17" x14ac:dyDescent="0.2">
      <c r="A408" s="144"/>
      <c r="B408" s="142" t="s">
        <v>222</v>
      </c>
      <c r="C408" s="143" t="s">
        <v>8</v>
      </c>
      <c r="D408" s="91">
        <v>20</v>
      </c>
      <c r="E408" s="92"/>
      <c r="F408" s="59"/>
      <c r="G408" s="60">
        <f t="shared" si="74"/>
        <v>0</v>
      </c>
      <c r="I408" s="139">
        <f>D408*1.58*6</f>
        <v>189.60000000000002</v>
      </c>
      <c r="J408" s="28">
        <f>4*5</f>
        <v>20</v>
      </c>
      <c r="L408" s="28">
        <f>3.36/0.15</f>
        <v>22.4</v>
      </c>
      <c r="M408" s="28">
        <f>L408*5</f>
        <v>112</v>
      </c>
      <c r="N408" s="28">
        <f>M408/8</f>
        <v>14</v>
      </c>
    </row>
    <row r="409" spans="1:17" x14ac:dyDescent="0.2">
      <c r="A409" s="141"/>
      <c r="B409" s="142" t="s">
        <v>225</v>
      </c>
      <c r="C409" s="143" t="s">
        <v>8</v>
      </c>
      <c r="D409" s="91">
        <v>14</v>
      </c>
      <c r="E409" s="92"/>
      <c r="F409" s="59"/>
      <c r="G409" s="60">
        <f t="shared" si="74"/>
        <v>0</v>
      </c>
      <c r="I409" s="139">
        <f>0.222*D409*6</f>
        <v>18.648</v>
      </c>
    </row>
    <row r="410" spans="1:17" x14ac:dyDescent="0.2">
      <c r="A410" s="141"/>
      <c r="B410" s="142" t="s">
        <v>14</v>
      </c>
      <c r="C410" s="143" t="s">
        <v>9</v>
      </c>
      <c r="D410" s="91">
        <f>D407*20</f>
        <v>4.1649600000000007</v>
      </c>
      <c r="E410" s="92"/>
      <c r="F410" s="59"/>
      <c r="G410" s="60">
        <f t="shared" si="74"/>
        <v>0</v>
      </c>
      <c r="I410" s="139">
        <f>SUM(I408:I409)</f>
        <v>208.24800000000002</v>
      </c>
      <c r="J410" s="139"/>
    </row>
    <row r="411" spans="1:17" x14ac:dyDescent="0.2">
      <c r="A411" s="141" t="s">
        <v>186</v>
      </c>
      <c r="B411" s="142" t="s">
        <v>489</v>
      </c>
      <c r="C411" s="143" t="s">
        <v>136</v>
      </c>
      <c r="D411" s="91">
        <f>I414/1000</f>
        <v>4.5808920000000004</v>
      </c>
      <c r="E411" s="92"/>
      <c r="F411" s="59"/>
      <c r="G411" s="60">
        <f t="shared" si="74"/>
        <v>0</v>
      </c>
      <c r="I411" s="139"/>
      <c r="J411" s="139"/>
    </row>
    <row r="412" spans="1:17" x14ac:dyDescent="0.2">
      <c r="A412" s="141"/>
      <c r="B412" s="142" t="s">
        <v>287</v>
      </c>
      <c r="C412" s="143" t="s">
        <v>8</v>
      </c>
      <c r="D412" s="91">
        <v>180</v>
      </c>
      <c r="E412" s="92"/>
      <c r="F412" s="59"/>
      <c r="G412" s="60">
        <f t="shared" si="74"/>
        <v>0</v>
      </c>
      <c r="I412" s="139">
        <f>D412*3.858*6</f>
        <v>4166.6400000000003</v>
      </c>
      <c r="J412" s="28">
        <v>180</v>
      </c>
      <c r="L412" s="28">
        <f>23*18</f>
        <v>414</v>
      </c>
      <c r="M412" s="28">
        <f>L412/2</f>
        <v>207</v>
      </c>
      <c r="N412" s="28">
        <f>L412*2</f>
        <v>828</v>
      </c>
      <c r="O412" s="28">
        <f>N412-M412*2</f>
        <v>414</v>
      </c>
      <c r="P412" s="28">
        <f>O412/4</f>
        <v>103.5</v>
      </c>
      <c r="Q412" s="28">
        <f>P412+M412</f>
        <v>310.5</v>
      </c>
    </row>
    <row r="413" spans="1:17" x14ac:dyDescent="0.2">
      <c r="A413" s="141"/>
      <c r="B413" s="142" t="s">
        <v>225</v>
      </c>
      <c r="C413" s="143" t="s">
        <v>8</v>
      </c>
      <c r="D413" s="91">
        <v>311</v>
      </c>
      <c r="E413" s="92"/>
      <c r="F413" s="59"/>
      <c r="G413" s="60">
        <f t="shared" si="74"/>
        <v>0</v>
      </c>
      <c r="I413" s="139">
        <f>0.222*D413*6</f>
        <v>414.25200000000001</v>
      </c>
    </row>
    <row r="414" spans="1:17" x14ac:dyDescent="0.2">
      <c r="A414" s="141"/>
      <c r="B414" s="142" t="s">
        <v>14</v>
      </c>
      <c r="C414" s="143" t="s">
        <v>9</v>
      </c>
      <c r="D414" s="91">
        <f>D411*20</f>
        <v>91.617840000000001</v>
      </c>
      <c r="E414" s="92"/>
      <c r="F414" s="59"/>
      <c r="G414" s="60">
        <f t="shared" si="74"/>
        <v>0</v>
      </c>
      <c r="I414" s="139">
        <f>SUM(I412:I413)</f>
        <v>4580.8920000000007</v>
      </c>
      <c r="J414" s="139"/>
    </row>
    <row r="415" spans="1:17" x14ac:dyDescent="0.2">
      <c r="A415" s="141" t="s">
        <v>188</v>
      </c>
      <c r="B415" s="142" t="s">
        <v>490</v>
      </c>
      <c r="C415" s="143" t="s">
        <v>136</v>
      </c>
      <c r="D415" s="91">
        <f>I418/1000</f>
        <v>0.35099999999999998</v>
      </c>
      <c r="E415" s="92"/>
      <c r="F415" s="59"/>
      <c r="G415" s="60">
        <f t="shared" si="74"/>
        <v>0</v>
      </c>
      <c r="I415" s="139"/>
      <c r="J415" s="139"/>
    </row>
    <row r="416" spans="1:17" x14ac:dyDescent="0.2">
      <c r="A416" s="141"/>
      <c r="B416" s="142" t="s">
        <v>222</v>
      </c>
      <c r="C416" s="143" t="s">
        <v>8</v>
      </c>
      <c r="D416" s="91">
        <v>30</v>
      </c>
      <c r="E416" s="92"/>
      <c r="F416" s="59"/>
      <c r="G416" s="60">
        <f t="shared" si="74"/>
        <v>0</v>
      </c>
      <c r="I416" s="139">
        <f>D416*1.58*6</f>
        <v>284.40000000000003</v>
      </c>
      <c r="J416" s="28">
        <f>4*7</f>
        <v>28</v>
      </c>
    </row>
    <row r="417" spans="1:12" x14ac:dyDescent="0.2">
      <c r="A417" s="141"/>
      <c r="B417" s="142" t="s">
        <v>225</v>
      </c>
      <c r="C417" s="143" t="s">
        <v>8</v>
      </c>
      <c r="D417" s="91">
        <v>50</v>
      </c>
      <c r="E417" s="92"/>
      <c r="F417" s="59"/>
      <c r="G417" s="60">
        <f t="shared" si="74"/>
        <v>0</v>
      </c>
      <c r="I417" s="139">
        <f>0.222*D417*6</f>
        <v>66.599999999999994</v>
      </c>
      <c r="J417" s="139"/>
    </row>
    <row r="418" spans="1:12" x14ac:dyDescent="0.2">
      <c r="A418" s="141"/>
      <c r="B418" s="142" t="s">
        <v>14</v>
      </c>
      <c r="C418" s="143" t="s">
        <v>9</v>
      </c>
      <c r="D418" s="91">
        <f>D415*20</f>
        <v>7.02</v>
      </c>
      <c r="E418" s="92"/>
      <c r="F418" s="59"/>
      <c r="G418" s="60">
        <f t="shared" si="74"/>
        <v>0</v>
      </c>
      <c r="I418" s="139">
        <f>SUM(I416:I417)</f>
        <v>351</v>
      </c>
      <c r="J418" s="139"/>
    </row>
    <row r="419" spans="1:12" x14ac:dyDescent="0.2">
      <c r="A419" s="141" t="s">
        <v>187</v>
      </c>
      <c r="B419" s="142" t="s">
        <v>492</v>
      </c>
      <c r="C419" s="143" t="s">
        <v>136</v>
      </c>
      <c r="D419" s="91">
        <f>I422/1000</f>
        <v>0.29411999999999999</v>
      </c>
      <c r="E419" s="92"/>
      <c r="F419" s="59"/>
      <c r="G419" s="60">
        <f t="shared" si="74"/>
        <v>0</v>
      </c>
      <c r="I419" s="139"/>
      <c r="J419" s="139"/>
    </row>
    <row r="420" spans="1:12" x14ac:dyDescent="0.2">
      <c r="A420" s="141"/>
      <c r="B420" s="142" t="s">
        <v>222</v>
      </c>
      <c r="C420" s="143" t="s">
        <v>8</v>
      </c>
      <c r="D420" s="91">
        <v>24</v>
      </c>
      <c r="E420" s="92"/>
      <c r="F420" s="59"/>
      <c r="G420" s="60">
        <f t="shared" si="74"/>
        <v>0</v>
      </c>
      <c r="I420" s="139">
        <f>D420*1.58*6</f>
        <v>227.52</v>
      </c>
      <c r="J420" s="28">
        <f>4*7</f>
        <v>28</v>
      </c>
      <c r="K420" s="28">
        <f>35*8</f>
        <v>280</v>
      </c>
      <c r="L420" s="28">
        <f>K420/18</f>
        <v>15.555555555555555</v>
      </c>
    </row>
    <row r="421" spans="1:12" x14ac:dyDescent="0.2">
      <c r="A421" s="141"/>
      <c r="B421" s="142" t="s">
        <v>225</v>
      </c>
      <c r="C421" s="143" t="s">
        <v>8</v>
      </c>
      <c r="D421" s="91">
        <v>50</v>
      </c>
      <c r="E421" s="92"/>
      <c r="F421" s="59"/>
      <c r="G421" s="60">
        <f t="shared" si="74"/>
        <v>0</v>
      </c>
      <c r="I421" s="139">
        <f>0.222*D421*6</f>
        <v>66.599999999999994</v>
      </c>
      <c r="J421" s="139"/>
    </row>
    <row r="422" spans="1:12" x14ac:dyDescent="0.2">
      <c r="A422" s="141"/>
      <c r="B422" s="142" t="s">
        <v>14</v>
      </c>
      <c r="C422" s="143" t="s">
        <v>9</v>
      </c>
      <c r="D422" s="91">
        <f>D419*20</f>
        <v>5.8823999999999996</v>
      </c>
      <c r="E422" s="92"/>
      <c r="F422" s="59"/>
      <c r="G422" s="60">
        <f t="shared" si="74"/>
        <v>0</v>
      </c>
      <c r="I422" s="139">
        <f>SUM(I420:I421)</f>
        <v>294.12</v>
      </c>
      <c r="J422" s="139"/>
    </row>
    <row r="423" spans="1:12" x14ac:dyDescent="0.2">
      <c r="A423" s="170" t="s">
        <v>177</v>
      </c>
      <c r="B423" s="171" t="s">
        <v>198</v>
      </c>
      <c r="C423" s="172" t="s">
        <v>136</v>
      </c>
      <c r="D423" s="173">
        <f>I425/1000</f>
        <v>0.39981599999999995</v>
      </c>
      <c r="E423" s="174"/>
      <c r="F423" s="59"/>
      <c r="G423" s="60">
        <f t="shared" ref="G423:G425" si="75">(D423*E423)+(D423*F423)</f>
        <v>0</v>
      </c>
      <c r="H423" s="175"/>
      <c r="I423" s="176"/>
    </row>
    <row r="424" spans="1:12" x14ac:dyDescent="0.2">
      <c r="A424" s="177" t="s">
        <v>175</v>
      </c>
      <c r="B424" s="142" t="s">
        <v>224</v>
      </c>
      <c r="C424" s="178" t="s">
        <v>8</v>
      </c>
      <c r="D424" s="179">
        <v>108</v>
      </c>
      <c r="E424" s="180"/>
      <c r="F424" s="181"/>
      <c r="G424" s="60">
        <f t="shared" si="75"/>
        <v>0</v>
      </c>
      <c r="H424" s="175"/>
      <c r="I424" s="139">
        <f>0.617*D424*6</f>
        <v>399.81599999999997</v>
      </c>
    </row>
    <row r="425" spans="1:12" x14ac:dyDescent="0.2">
      <c r="A425" s="177"/>
      <c r="B425" s="182" t="s">
        <v>14</v>
      </c>
      <c r="C425" s="178" t="s">
        <v>9</v>
      </c>
      <c r="D425" s="179">
        <f>D423*20</f>
        <v>7.996319999999999</v>
      </c>
      <c r="E425" s="180"/>
      <c r="F425" s="181"/>
      <c r="G425" s="60">
        <f t="shared" si="75"/>
        <v>0</v>
      </c>
      <c r="H425" s="175"/>
      <c r="I425" s="139">
        <f>SUM(I423:I424)</f>
        <v>399.81599999999997</v>
      </c>
    </row>
    <row r="426" spans="1:12" x14ac:dyDescent="0.2">
      <c r="A426" s="132" t="s">
        <v>281</v>
      </c>
      <c r="B426" s="133" t="s">
        <v>71</v>
      </c>
      <c r="C426" s="163"/>
      <c r="D426" s="164"/>
      <c r="E426" s="165"/>
      <c r="F426" s="166"/>
      <c r="G426" s="167"/>
    </row>
    <row r="427" spans="1:12" x14ac:dyDescent="0.2">
      <c r="A427" s="170" t="s">
        <v>164</v>
      </c>
      <c r="B427" s="171" t="s">
        <v>284</v>
      </c>
      <c r="C427" s="172"/>
      <c r="D427" s="173"/>
      <c r="E427" s="174"/>
      <c r="F427" s="59"/>
      <c r="G427" s="60"/>
    </row>
    <row r="428" spans="1:12" x14ac:dyDescent="0.2">
      <c r="A428" s="141"/>
      <c r="B428" s="142" t="s">
        <v>442</v>
      </c>
      <c r="C428" s="143" t="s">
        <v>136</v>
      </c>
      <c r="D428" s="91">
        <f>I431/1000</f>
        <v>0.80840400000000001</v>
      </c>
      <c r="E428" s="92"/>
      <c r="F428" s="59"/>
      <c r="G428" s="60">
        <f t="shared" ref="G428:G449" si="76">(D428*E428)+(D428*F428)</f>
        <v>0</v>
      </c>
    </row>
    <row r="429" spans="1:12" x14ac:dyDescent="0.2">
      <c r="A429" s="144"/>
      <c r="B429" s="142" t="s">
        <v>222</v>
      </c>
      <c r="C429" s="143" t="s">
        <v>8</v>
      </c>
      <c r="D429" s="91">
        <v>59</v>
      </c>
      <c r="E429" s="92"/>
      <c r="F429" s="59"/>
      <c r="G429" s="60">
        <f t="shared" si="76"/>
        <v>0</v>
      </c>
      <c r="I429" s="139">
        <f>D429*1.58*6</f>
        <v>559.31999999999994</v>
      </c>
    </row>
    <row r="430" spans="1:12" x14ac:dyDescent="0.2">
      <c r="A430" s="141"/>
      <c r="B430" s="142" t="s">
        <v>225</v>
      </c>
      <c r="C430" s="143" t="s">
        <v>8</v>
      </c>
      <c r="D430" s="91">
        <v>187</v>
      </c>
      <c r="E430" s="92"/>
      <c r="F430" s="59"/>
      <c r="G430" s="60">
        <f t="shared" si="76"/>
        <v>0</v>
      </c>
      <c r="I430" s="139">
        <f>0.222*D430*6</f>
        <v>249.084</v>
      </c>
      <c r="J430" s="28">
        <f>25.8*2+16.275+6.6</f>
        <v>74.474999999999994</v>
      </c>
      <c r="K430" s="28">
        <f>J430/0.1</f>
        <v>744.74999999999989</v>
      </c>
      <c r="L430" s="28">
        <f>K430/4</f>
        <v>186.18749999999997</v>
      </c>
    </row>
    <row r="431" spans="1:12" x14ac:dyDescent="0.2">
      <c r="A431" s="141"/>
      <c r="B431" s="142" t="s">
        <v>14</v>
      </c>
      <c r="C431" s="143" t="s">
        <v>9</v>
      </c>
      <c r="D431" s="91">
        <f>D428*20</f>
        <v>16.16808</v>
      </c>
      <c r="E431" s="92"/>
      <c r="F431" s="59"/>
      <c r="G431" s="60">
        <f t="shared" si="76"/>
        <v>0</v>
      </c>
      <c r="I431" s="139">
        <f>SUM(I429:I430)</f>
        <v>808.404</v>
      </c>
      <c r="J431" s="139"/>
    </row>
    <row r="432" spans="1:12" x14ac:dyDescent="0.2">
      <c r="A432" s="141"/>
      <c r="B432" s="142" t="s">
        <v>461</v>
      </c>
      <c r="C432" s="143" t="s">
        <v>136</v>
      </c>
      <c r="D432" s="91">
        <f>I436/1000</f>
        <v>10.598850000000002</v>
      </c>
      <c r="E432" s="92"/>
      <c r="F432" s="59"/>
      <c r="G432" s="60">
        <f t="shared" si="76"/>
        <v>0</v>
      </c>
      <c r="I432" s="139"/>
      <c r="J432" s="139"/>
    </row>
    <row r="433" spans="1:12" x14ac:dyDescent="0.2">
      <c r="A433" s="141"/>
      <c r="B433" s="142" t="s">
        <v>287</v>
      </c>
      <c r="C433" s="143" t="s">
        <v>8</v>
      </c>
      <c r="D433" s="91">
        <v>384</v>
      </c>
      <c r="E433" s="92"/>
      <c r="F433" s="59"/>
      <c r="G433" s="60">
        <f t="shared" si="76"/>
        <v>0</v>
      </c>
      <c r="I433" s="139">
        <f>D433*3.858*6</f>
        <v>8888.8320000000003</v>
      </c>
    </row>
    <row r="434" spans="1:12" x14ac:dyDescent="0.2">
      <c r="A434" s="141"/>
      <c r="B434" s="142" t="s">
        <v>222</v>
      </c>
      <c r="C434" s="143" t="s">
        <v>8</v>
      </c>
      <c r="D434" s="91">
        <v>48</v>
      </c>
      <c r="E434" s="92"/>
      <c r="F434" s="59"/>
      <c r="G434" s="60">
        <f t="shared" si="76"/>
        <v>0</v>
      </c>
      <c r="I434" s="139">
        <f>D434*1.58*6</f>
        <v>455.04</v>
      </c>
      <c r="J434" s="28">
        <f>12.7*8</f>
        <v>101.6</v>
      </c>
      <c r="K434" s="28">
        <f>J434/0.15</f>
        <v>677.33333333333337</v>
      </c>
      <c r="L434" s="28">
        <f>K434/2</f>
        <v>338.66666666666669</v>
      </c>
    </row>
    <row r="435" spans="1:12" x14ac:dyDescent="0.2">
      <c r="A435" s="141"/>
      <c r="B435" s="142" t="s">
        <v>224</v>
      </c>
      <c r="C435" s="178" t="s">
        <v>8</v>
      </c>
      <c r="D435" s="179">
        <v>339</v>
      </c>
      <c r="E435" s="180"/>
      <c r="F435" s="181"/>
      <c r="G435" s="60">
        <f t="shared" si="76"/>
        <v>0</v>
      </c>
      <c r="H435" s="175"/>
      <c r="I435" s="139">
        <f>0.617*D435*6</f>
        <v>1254.9780000000001</v>
      </c>
      <c r="J435" s="28">
        <f>32.2*2.2</f>
        <v>70.840000000000018</v>
      </c>
    </row>
    <row r="436" spans="1:12" x14ac:dyDescent="0.2">
      <c r="A436" s="141"/>
      <c r="B436" s="142" t="s">
        <v>14</v>
      </c>
      <c r="C436" s="143" t="s">
        <v>9</v>
      </c>
      <c r="D436" s="91">
        <f>D432*20</f>
        <v>211.97700000000003</v>
      </c>
      <c r="E436" s="92"/>
      <c r="F436" s="59"/>
      <c r="G436" s="60">
        <f t="shared" si="76"/>
        <v>0</v>
      </c>
      <c r="I436" s="139">
        <f>SUM(I433:I435)</f>
        <v>10598.850000000002</v>
      </c>
      <c r="J436" s="139"/>
    </row>
    <row r="437" spans="1:12" x14ac:dyDescent="0.2">
      <c r="A437" s="141"/>
      <c r="B437" s="142" t="s">
        <v>494</v>
      </c>
      <c r="C437" s="143" t="s">
        <v>136</v>
      </c>
      <c r="D437" s="91">
        <f>I441/1000</f>
        <v>0.77161799999999992</v>
      </c>
      <c r="E437" s="92"/>
      <c r="F437" s="59"/>
      <c r="G437" s="60">
        <f t="shared" ref="G437:G441" si="77">(D437*E437)+(D437*F437)</f>
        <v>0</v>
      </c>
      <c r="I437" s="139"/>
      <c r="J437" s="139"/>
    </row>
    <row r="438" spans="1:12" x14ac:dyDescent="0.2">
      <c r="A438" s="141"/>
      <c r="B438" s="142" t="s">
        <v>287</v>
      </c>
      <c r="C438" s="143" t="s">
        <v>8</v>
      </c>
      <c r="D438" s="91">
        <v>24</v>
      </c>
      <c r="E438" s="92"/>
      <c r="F438" s="59"/>
      <c r="G438" s="60">
        <f t="shared" si="77"/>
        <v>0</v>
      </c>
      <c r="I438" s="139">
        <f>D438*3.858*6</f>
        <v>555.55200000000002</v>
      </c>
      <c r="J438" s="28">
        <v>12.7</v>
      </c>
      <c r="K438" s="28">
        <f>J438/0.15</f>
        <v>84.666666666666671</v>
      </c>
      <c r="L438" s="28">
        <f>K438/2</f>
        <v>42.333333333333336</v>
      </c>
    </row>
    <row r="439" spans="1:12" x14ac:dyDescent="0.2">
      <c r="A439" s="141"/>
      <c r="B439" s="142" t="s">
        <v>222</v>
      </c>
      <c r="C439" s="143" t="s">
        <v>8</v>
      </c>
      <c r="D439" s="91">
        <v>6</v>
      </c>
      <c r="E439" s="92"/>
      <c r="F439" s="59"/>
      <c r="G439" s="60">
        <f t="shared" si="77"/>
        <v>0</v>
      </c>
      <c r="I439" s="139">
        <f>D439*1.58*6</f>
        <v>56.88</v>
      </c>
    </row>
    <row r="440" spans="1:12" x14ac:dyDescent="0.2">
      <c r="A440" s="141"/>
      <c r="B440" s="142" t="s">
        <v>224</v>
      </c>
      <c r="C440" s="178" t="s">
        <v>8</v>
      </c>
      <c r="D440" s="179">
        <v>43</v>
      </c>
      <c r="E440" s="180"/>
      <c r="F440" s="181"/>
      <c r="G440" s="60">
        <f t="shared" si="77"/>
        <v>0</v>
      </c>
      <c r="H440" s="175"/>
      <c r="I440" s="139">
        <f>0.617*D440*6</f>
        <v>159.18599999999998</v>
      </c>
    </row>
    <row r="441" spans="1:12" x14ac:dyDescent="0.2">
      <c r="A441" s="141"/>
      <c r="B441" s="142" t="s">
        <v>14</v>
      </c>
      <c r="C441" s="143" t="s">
        <v>9</v>
      </c>
      <c r="D441" s="91">
        <f>D437*20</f>
        <v>15.432359999999999</v>
      </c>
      <c r="E441" s="92"/>
      <c r="F441" s="59"/>
      <c r="G441" s="60">
        <f t="shared" si="77"/>
        <v>0</v>
      </c>
      <c r="I441" s="139">
        <f>SUM(I438:I440)</f>
        <v>771.61799999999994</v>
      </c>
      <c r="J441" s="139"/>
    </row>
    <row r="442" spans="1:12" x14ac:dyDescent="0.2">
      <c r="A442" s="141"/>
      <c r="B442" s="142" t="s">
        <v>460</v>
      </c>
      <c r="C442" s="143" t="s">
        <v>136</v>
      </c>
      <c r="D442" s="91">
        <f>I445/1000</f>
        <v>0.55555200000000005</v>
      </c>
      <c r="E442" s="92"/>
      <c r="F442" s="59"/>
      <c r="G442" s="60">
        <f t="shared" ref="G442:G445" si="78">(D442*E442)+(D442*F442)</f>
        <v>0</v>
      </c>
      <c r="I442" s="139"/>
      <c r="J442" s="139"/>
    </row>
    <row r="443" spans="1:12" x14ac:dyDescent="0.2">
      <c r="A443" s="141"/>
      <c r="B443" s="142" t="s">
        <v>287</v>
      </c>
      <c r="C443" s="143" t="s">
        <v>8</v>
      </c>
      <c r="D443" s="91">
        <v>24</v>
      </c>
      <c r="E443" s="92"/>
      <c r="F443" s="59"/>
      <c r="G443" s="60">
        <f t="shared" si="78"/>
        <v>0</v>
      </c>
      <c r="I443" s="139">
        <f>D443*3.858*6</f>
        <v>555.55200000000002</v>
      </c>
      <c r="J443" s="28">
        <f>1.97*5</f>
        <v>9.85</v>
      </c>
      <c r="K443" s="28">
        <f>J443/0.15</f>
        <v>65.666666666666671</v>
      </c>
    </row>
    <row r="444" spans="1:12" x14ac:dyDescent="0.2">
      <c r="A444" s="141"/>
      <c r="B444" s="142" t="s">
        <v>495</v>
      </c>
      <c r="C444" s="178" t="s">
        <v>8</v>
      </c>
      <c r="D444" s="179">
        <v>0</v>
      </c>
      <c r="E444" s="180"/>
      <c r="F444" s="181"/>
      <c r="G444" s="60">
        <f t="shared" si="78"/>
        <v>0</v>
      </c>
      <c r="H444" s="175"/>
      <c r="I444" s="139">
        <f>0.617*D444*6</f>
        <v>0</v>
      </c>
    </row>
    <row r="445" spans="1:12" x14ac:dyDescent="0.2">
      <c r="A445" s="141"/>
      <c r="B445" s="142" t="s">
        <v>14</v>
      </c>
      <c r="C445" s="143" t="s">
        <v>9</v>
      </c>
      <c r="D445" s="91">
        <f>D442*20</f>
        <v>11.111040000000001</v>
      </c>
      <c r="E445" s="92"/>
      <c r="F445" s="59"/>
      <c r="G445" s="60">
        <f t="shared" si="78"/>
        <v>0</v>
      </c>
      <c r="I445" s="139">
        <f>SUM(I443:I444)</f>
        <v>555.55200000000002</v>
      </c>
      <c r="J445" s="139"/>
    </row>
    <row r="446" spans="1:12" x14ac:dyDescent="0.2">
      <c r="A446" s="141"/>
      <c r="B446" s="142" t="s">
        <v>459</v>
      </c>
      <c r="C446" s="143" t="s">
        <v>136</v>
      </c>
      <c r="D446" s="91">
        <f>I449/1000</f>
        <v>0.55555200000000005</v>
      </c>
      <c r="E446" s="92"/>
      <c r="F446" s="59"/>
      <c r="G446" s="60">
        <f t="shared" si="76"/>
        <v>0</v>
      </c>
      <c r="I446" s="139"/>
      <c r="J446" s="139"/>
    </row>
    <row r="447" spans="1:12" x14ac:dyDescent="0.2">
      <c r="A447" s="141"/>
      <c r="B447" s="142" t="s">
        <v>287</v>
      </c>
      <c r="C447" s="143" t="s">
        <v>8</v>
      </c>
      <c r="D447" s="91">
        <v>24</v>
      </c>
      <c r="E447" s="92"/>
      <c r="F447" s="59"/>
      <c r="G447" s="60">
        <f t="shared" si="76"/>
        <v>0</v>
      </c>
      <c r="I447" s="139">
        <f>D447*3.858*6</f>
        <v>555.55200000000002</v>
      </c>
      <c r="J447" s="28">
        <f>1.97*5</f>
        <v>9.85</v>
      </c>
      <c r="K447" s="28">
        <f>J447/0.15</f>
        <v>65.666666666666671</v>
      </c>
      <c r="L447" s="28">
        <f>K447/2</f>
        <v>32.833333333333336</v>
      </c>
    </row>
    <row r="448" spans="1:12" x14ac:dyDescent="0.2">
      <c r="A448" s="141"/>
      <c r="B448" s="142" t="s">
        <v>495</v>
      </c>
      <c r="C448" s="178" t="s">
        <v>8</v>
      </c>
      <c r="D448" s="179">
        <v>0</v>
      </c>
      <c r="E448" s="180"/>
      <c r="F448" s="181"/>
      <c r="G448" s="60">
        <f t="shared" si="76"/>
        <v>0</v>
      </c>
      <c r="H448" s="175"/>
      <c r="I448" s="139">
        <f>0.617*D448*6</f>
        <v>0</v>
      </c>
    </row>
    <row r="449" spans="1:18" ht="12.75" thickBot="1" x14ac:dyDescent="0.25">
      <c r="A449" s="151"/>
      <c r="B449" s="152" t="s">
        <v>14</v>
      </c>
      <c r="C449" s="153" t="s">
        <v>9</v>
      </c>
      <c r="D449" s="154">
        <f>D446*20</f>
        <v>11.111040000000001</v>
      </c>
      <c r="E449" s="183"/>
      <c r="F449" s="155"/>
      <c r="G449" s="156">
        <f t="shared" si="76"/>
        <v>0</v>
      </c>
      <c r="I449" s="139">
        <f>SUM(I447:I448)</f>
        <v>555.55200000000002</v>
      </c>
      <c r="J449" s="139"/>
    </row>
    <row r="450" spans="1:18" x14ac:dyDescent="0.2">
      <c r="A450" s="170" t="s">
        <v>165</v>
      </c>
      <c r="B450" s="171" t="s">
        <v>279</v>
      </c>
      <c r="C450" s="172" t="s">
        <v>136</v>
      </c>
      <c r="D450" s="173">
        <f>I453/1000</f>
        <v>6.3222479999999992</v>
      </c>
      <c r="E450" s="174"/>
      <c r="F450" s="59"/>
      <c r="G450" s="60">
        <f t="shared" ref="G450:G453" si="79">(D450*E450)+(D450*F450)</f>
        <v>0</v>
      </c>
      <c r="H450" s="175"/>
      <c r="I450" s="176"/>
      <c r="J450" s="28">
        <v>362</v>
      </c>
      <c r="K450" s="28">
        <f>J450*15.34</f>
        <v>5553.08</v>
      </c>
      <c r="L450" s="28">
        <f>K450*75%</f>
        <v>4164.8099999999995</v>
      </c>
      <c r="M450" s="28">
        <f>SUM(K450:L450)</f>
        <v>9717.89</v>
      </c>
      <c r="N450" s="28">
        <f>M450/6</f>
        <v>1619.6483333333333</v>
      </c>
      <c r="R450" s="28">
        <f>Q450/6</f>
        <v>0</v>
      </c>
    </row>
    <row r="451" spans="1:18" x14ac:dyDescent="0.2">
      <c r="A451" s="177" t="s">
        <v>175</v>
      </c>
      <c r="B451" s="142" t="s">
        <v>224</v>
      </c>
      <c r="C451" s="178" t="s">
        <v>8</v>
      </c>
      <c r="D451" s="179">
        <v>1620</v>
      </c>
      <c r="E451" s="180"/>
      <c r="F451" s="181"/>
      <c r="G451" s="60">
        <f t="shared" si="79"/>
        <v>0</v>
      </c>
      <c r="H451" s="175"/>
      <c r="I451" s="139">
        <f>0.617*D451*6</f>
        <v>5997.24</v>
      </c>
    </row>
    <row r="452" spans="1:18" x14ac:dyDescent="0.2">
      <c r="A452" s="177"/>
      <c r="B452" s="142" t="s">
        <v>223</v>
      </c>
      <c r="C452" s="178" t="s">
        <v>8</v>
      </c>
      <c r="D452" s="179">
        <v>61</v>
      </c>
      <c r="E452" s="180"/>
      <c r="F452" s="181"/>
      <c r="G452" s="60">
        <f t="shared" ref="G452" si="80">(D452*E452)+(D452*F452)</f>
        <v>0</v>
      </c>
      <c r="H452" s="175"/>
      <c r="I452" s="139">
        <f>0.888*D452*6</f>
        <v>325.00799999999998</v>
      </c>
    </row>
    <row r="453" spans="1:18" x14ac:dyDescent="0.2">
      <c r="A453" s="177"/>
      <c r="B453" s="182" t="s">
        <v>14</v>
      </c>
      <c r="C453" s="178" t="s">
        <v>9</v>
      </c>
      <c r="D453" s="179">
        <f>D450*20</f>
        <v>126.44495999999998</v>
      </c>
      <c r="E453" s="180"/>
      <c r="F453" s="181"/>
      <c r="G453" s="60">
        <f t="shared" si="79"/>
        <v>0</v>
      </c>
      <c r="H453" s="175"/>
      <c r="I453" s="139">
        <f>SUM(I451:I452)</f>
        <v>6322.2479999999996</v>
      </c>
    </row>
    <row r="454" spans="1:18" x14ac:dyDescent="0.2">
      <c r="A454" s="170" t="s">
        <v>176</v>
      </c>
      <c r="B454" s="171" t="s">
        <v>172</v>
      </c>
      <c r="C454" s="172"/>
      <c r="D454" s="173"/>
      <c r="E454" s="174"/>
      <c r="F454" s="59"/>
      <c r="G454" s="60"/>
    </row>
    <row r="455" spans="1:18" x14ac:dyDescent="0.2">
      <c r="A455" s="141" t="s">
        <v>185</v>
      </c>
      <c r="B455" s="142" t="s">
        <v>491</v>
      </c>
      <c r="C455" s="143" t="s">
        <v>136</v>
      </c>
      <c r="D455" s="91">
        <f>I458/1000</f>
        <v>0.16084800000000002</v>
      </c>
      <c r="E455" s="92"/>
      <c r="F455" s="59"/>
      <c r="G455" s="60">
        <f t="shared" ref="G455:G469" si="81">(D455*E455)+(D455*F455)</f>
        <v>0</v>
      </c>
    </row>
    <row r="456" spans="1:18" x14ac:dyDescent="0.2">
      <c r="A456" s="144"/>
      <c r="B456" s="142" t="s">
        <v>222</v>
      </c>
      <c r="C456" s="143" t="s">
        <v>8</v>
      </c>
      <c r="D456" s="91">
        <v>15</v>
      </c>
      <c r="E456" s="92"/>
      <c r="F456" s="59"/>
      <c r="G456" s="60">
        <f t="shared" si="81"/>
        <v>0</v>
      </c>
      <c r="I456" s="139">
        <f>D456*1.58*6</f>
        <v>142.20000000000002</v>
      </c>
      <c r="J456" s="28">
        <f>4*5</f>
        <v>20</v>
      </c>
      <c r="L456" s="28">
        <f>3.36/0.15</f>
        <v>22.4</v>
      </c>
      <c r="M456" s="28">
        <f>L456*5</f>
        <v>112</v>
      </c>
      <c r="N456" s="28">
        <f>M456/8</f>
        <v>14</v>
      </c>
    </row>
    <row r="457" spans="1:18" x14ac:dyDescent="0.2">
      <c r="A457" s="141"/>
      <c r="B457" s="142" t="s">
        <v>225</v>
      </c>
      <c r="C457" s="143" t="s">
        <v>8</v>
      </c>
      <c r="D457" s="91">
        <v>14</v>
      </c>
      <c r="E457" s="92"/>
      <c r="F457" s="59"/>
      <c r="G457" s="60">
        <f t="shared" si="81"/>
        <v>0</v>
      </c>
      <c r="I457" s="139">
        <f>0.222*D457*6</f>
        <v>18.648</v>
      </c>
    </row>
    <row r="458" spans="1:18" x14ac:dyDescent="0.2">
      <c r="A458" s="141"/>
      <c r="B458" s="142" t="s">
        <v>14</v>
      </c>
      <c r="C458" s="143" t="s">
        <v>9</v>
      </c>
      <c r="D458" s="91">
        <f>D455*20</f>
        <v>3.2169600000000003</v>
      </c>
      <c r="E458" s="92"/>
      <c r="F458" s="59"/>
      <c r="G458" s="60">
        <f t="shared" si="81"/>
        <v>0</v>
      </c>
      <c r="I458" s="139">
        <f>SUM(I456:I457)</f>
        <v>160.84800000000001</v>
      </c>
      <c r="J458" s="139"/>
    </row>
    <row r="459" spans="1:18" x14ac:dyDescent="0.2">
      <c r="A459" s="141" t="s">
        <v>186</v>
      </c>
      <c r="B459" s="142" t="s">
        <v>489</v>
      </c>
      <c r="C459" s="143" t="s">
        <v>136</v>
      </c>
      <c r="D459" s="91">
        <f>I462/1000</f>
        <v>2.4975719999999999</v>
      </c>
      <c r="E459" s="92"/>
      <c r="F459" s="59"/>
      <c r="G459" s="60">
        <f t="shared" si="81"/>
        <v>0</v>
      </c>
      <c r="I459" s="139"/>
      <c r="J459" s="139"/>
    </row>
    <row r="460" spans="1:18" x14ac:dyDescent="0.2">
      <c r="A460" s="141"/>
      <c r="B460" s="142" t="s">
        <v>287</v>
      </c>
      <c r="C460" s="143" t="s">
        <v>8</v>
      </c>
      <c r="D460" s="91">
        <v>90</v>
      </c>
      <c r="E460" s="92"/>
      <c r="F460" s="59"/>
      <c r="G460" s="60">
        <f t="shared" si="81"/>
        <v>0</v>
      </c>
      <c r="I460" s="139">
        <f>D460*3.858*6</f>
        <v>2083.3200000000002</v>
      </c>
      <c r="J460" s="28">
        <v>180</v>
      </c>
      <c r="L460" s="28">
        <f>23*18</f>
        <v>414</v>
      </c>
      <c r="M460" s="28">
        <f>L460/2</f>
        <v>207</v>
      </c>
      <c r="N460" s="28">
        <f>L460*2</f>
        <v>828</v>
      </c>
      <c r="O460" s="28">
        <f>N460-M460*2</f>
        <v>414</v>
      </c>
      <c r="P460" s="28">
        <f>O460/4</f>
        <v>103.5</v>
      </c>
      <c r="Q460" s="28">
        <f>P460+M460</f>
        <v>310.5</v>
      </c>
    </row>
    <row r="461" spans="1:18" x14ac:dyDescent="0.2">
      <c r="A461" s="141"/>
      <c r="B461" s="142" t="s">
        <v>225</v>
      </c>
      <c r="C461" s="143" t="s">
        <v>8</v>
      </c>
      <c r="D461" s="91">
        <v>311</v>
      </c>
      <c r="E461" s="92"/>
      <c r="F461" s="59"/>
      <c r="G461" s="60">
        <f t="shared" si="81"/>
        <v>0</v>
      </c>
      <c r="I461" s="139">
        <f>0.222*D461*6</f>
        <v>414.25200000000001</v>
      </c>
    </row>
    <row r="462" spans="1:18" x14ac:dyDescent="0.2">
      <c r="A462" s="141"/>
      <c r="B462" s="142" t="s">
        <v>14</v>
      </c>
      <c r="C462" s="143" t="s">
        <v>9</v>
      </c>
      <c r="D462" s="91">
        <f>D459*20</f>
        <v>49.951439999999998</v>
      </c>
      <c r="E462" s="92"/>
      <c r="F462" s="59"/>
      <c r="G462" s="60">
        <f t="shared" si="81"/>
        <v>0</v>
      </c>
      <c r="I462" s="139">
        <f>SUM(I460:I461)</f>
        <v>2497.5720000000001</v>
      </c>
      <c r="J462" s="139"/>
    </row>
    <row r="463" spans="1:18" x14ac:dyDescent="0.2">
      <c r="A463" s="141" t="s">
        <v>188</v>
      </c>
      <c r="B463" s="142" t="s">
        <v>490</v>
      </c>
      <c r="C463" s="143" t="s">
        <v>136</v>
      </c>
      <c r="D463" s="91">
        <f>I466/1000</f>
        <v>0.35099999999999998</v>
      </c>
      <c r="E463" s="92"/>
      <c r="F463" s="59"/>
      <c r="G463" s="60">
        <f t="shared" si="81"/>
        <v>0</v>
      </c>
      <c r="I463" s="139"/>
      <c r="J463" s="139"/>
    </row>
    <row r="464" spans="1:18" x14ac:dyDescent="0.2">
      <c r="A464" s="141"/>
      <c r="B464" s="142" t="s">
        <v>222</v>
      </c>
      <c r="C464" s="143" t="s">
        <v>8</v>
      </c>
      <c r="D464" s="91">
        <v>30</v>
      </c>
      <c r="E464" s="92"/>
      <c r="F464" s="59"/>
      <c r="G464" s="60">
        <f t="shared" si="81"/>
        <v>0</v>
      </c>
      <c r="I464" s="139">
        <f>D464*1.58*6</f>
        <v>284.40000000000003</v>
      </c>
      <c r="J464" s="28">
        <f>10*3</f>
        <v>30</v>
      </c>
    </row>
    <row r="465" spans="1:12" x14ac:dyDescent="0.2">
      <c r="A465" s="141"/>
      <c r="B465" s="142" t="s">
        <v>225</v>
      </c>
      <c r="C465" s="143" t="s">
        <v>8</v>
      </c>
      <c r="D465" s="91">
        <v>50</v>
      </c>
      <c r="E465" s="92"/>
      <c r="F465" s="59"/>
      <c r="G465" s="60">
        <f t="shared" si="81"/>
        <v>0</v>
      </c>
      <c r="I465" s="139">
        <f>0.222*D465*6</f>
        <v>66.599999999999994</v>
      </c>
      <c r="J465" s="139"/>
    </row>
    <row r="466" spans="1:12" x14ac:dyDescent="0.2">
      <c r="A466" s="141"/>
      <c r="B466" s="142" t="s">
        <v>14</v>
      </c>
      <c r="C466" s="143" t="s">
        <v>9</v>
      </c>
      <c r="D466" s="91">
        <f>D463*20</f>
        <v>7.02</v>
      </c>
      <c r="E466" s="92"/>
      <c r="F466" s="59"/>
      <c r="G466" s="60">
        <f t="shared" si="81"/>
        <v>0</v>
      </c>
      <c r="I466" s="139">
        <f>SUM(I464:I465)</f>
        <v>351</v>
      </c>
      <c r="J466" s="139"/>
    </row>
    <row r="467" spans="1:12" x14ac:dyDescent="0.2">
      <c r="A467" s="170" t="s">
        <v>177</v>
      </c>
      <c r="B467" s="171" t="s">
        <v>198</v>
      </c>
      <c r="C467" s="172" t="s">
        <v>136</v>
      </c>
      <c r="D467" s="173">
        <f>I469/1000</f>
        <v>0.39981599999999995</v>
      </c>
      <c r="E467" s="174"/>
      <c r="F467" s="59"/>
      <c r="G467" s="60">
        <f t="shared" si="81"/>
        <v>0</v>
      </c>
      <c r="H467" s="175"/>
      <c r="I467" s="176"/>
      <c r="J467" s="139"/>
    </row>
    <row r="468" spans="1:12" x14ac:dyDescent="0.2">
      <c r="A468" s="177" t="s">
        <v>175</v>
      </c>
      <c r="B468" s="142" t="s">
        <v>224</v>
      </c>
      <c r="C468" s="178" t="s">
        <v>8</v>
      </c>
      <c r="D468" s="179">
        <v>108</v>
      </c>
      <c r="E468" s="180"/>
      <c r="F468" s="181"/>
      <c r="G468" s="60">
        <f t="shared" si="81"/>
        <v>0</v>
      </c>
      <c r="H468" s="175"/>
      <c r="I468" s="139">
        <f>0.617*D468*6</f>
        <v>399.81599999999997</v>
      </c>
      <c r="J468" s="139"/>
    </row>
    <row r="469" spans="1:12" x14ac:dyDescent="0.2">
      <c r="A469" s="177"/>
      <c r="B469" s="182" t="s">
        <v>14</v>
      </c>
      <c r="C469" s="178" t="s">
        <v>9</v>
      </c>
      <c r="D469" s="179">
        <f>D467*20</f>
        <v>7.996319999999999</v>
      </c>
      <c r="E469" s="180"/>
      <c r="F469" s="181"/>
      <c r="G469" s="60">
        <f t="shared" si="81"/>
        <v>0</v>
      </c>
      <c r="H469" s="175"/>
      <c r="I469" s="139">
        <f>SUM(I467:I468)</f>
        <v>399.81599999999997</v>
      </c>
      <c r="J469" s="139"/>
    </row>
    <row r="470" spans="1:12" x14ac:dyDescent="0.2">
      <c r="A470" s="132" t="s">
        <v>288</v>
      </c>
      <c r="B470" s="133" t="s">
        <v>458</v>
      </c>
      <c r="C470" s="163"/>
      <c r="D470" s="164"/>
      <c r="E470" s="165"/>
      <c r="F470" s="166"/>
      <c r="G470" s="167"/>
    </row>
    <row r="471" spans="1:12" x14ac:dyDescent="0.2">
      <c r="A471" s="170" t="s">
        <v>164</v>
      </c>
      <c r="B471" s="171" t="s">
        <v>284</v>
      </c>
      <c r="C471" s="172"/>
      <c r="D471" s="173"/>
      <c r="E471" s="174"/>
      <c r="F471" s="59"/>
      <c r="G471" s="60"/>
    </row>
    <row r="472" spans="1:12" x14ac:dyDescent="0.2">
      <c r="A472" s="141"/>
      <c r="B472" s="142" t="s">
        <v>442</v>
      </c>
      <c r="C472" s="143" t="s">
        <v>136</v>
      </c>
      <c r="D472" s="91">
        <f>I475/1000</f>
        <v>0.90540000000000009</v>
      </c>
      <c r="E472" s="92"/>
      <c r="F472" s="59"/>
      <c r="G472" s="60">
        <f t="shared" ref="G472:G484" si="82">(D472*E472)+(D472*F472)</f>
        <v>0</v>
      </c>
    </row>
    <row r="473" spans="1:12" x14ac:dyDescent="0.2">
      <c r="A473" s="144"/>
      <c r="B473" s="142" t="s">
        <v>222</v>
      </c>
      <c r="C473" s="143" t="s">
        <v>8</v>
      </c>
      <c r="D473" s="91">
        <v>66</v>
      </c>
      <c r="E473" s="92"/>
      <c r="F473" s="59"/>
      <c r="G473" s="60">
        <f t="shared" si="82"/>
        <v>0</v>
      </c>
      <c r="I473" s="139">
        <f>D473*1.58*6</f>
        <v>625.68000000000006</v>
      </c>
    </row>
    <row r="474" spans="1:12" x14ac:dyDescent="0.2">
      <c r="A474" s="141"/>
      <c r="B474" s="142" t="s">
        <v>225</v>
      </c>
      <c r="C474" s="143" t="s">
        <v>8</v>
      </c>
      <c r="D474" s="91">
        <v>210</v>
      </c>
      <c r="E474" s="92"/>
      <c r="F474" s="59"/>
      <c r="G474" s="60">
        <f t="shared" si="82"/>
        <v>0</v>
      </c>
      <c r="I474" s="139">
        <f>0.222*D474*6</f>
        <v>279.71999999999997</v>
      </c>
      <c r="J474" s="28">
        <f>25.8*3+6.6</f>
        <v>84</v>
      </c>
      <c r="K474" s="28">
        <f>J474/0.1</f>
        <v>840</v>
      </c>
      <c r="L474" s="28">
        <f>K474/4</f>
        <v>210</v>
      </c>
    </row>
    <row r="475" spans="1:12" x14ac:dyDescent="0.2">
      <c r="A475" s="141"/>
      <c r="B475" s="142" t="s">
        <v>14</v>
      </c>
      <c r="C475" s="143" t="s">
        <v>9</v>
      </c>
      <c r="D475" s="91">
        <f>D472*20</f>
        <v>18.108000000000001</v>
      </c>
      <c r="E475" s="92"/>
      <c r="F475" s="59"/>
      <c r="G475" s="60">
        <f t="shared" si="82"/>
        <v>0</v>
      </c>
      <c r="I475" s="139">
        <f>SUM(I473:I474)</f>
        <v>905.40000000000009</v>
      </c>
      <c r="J475" s="139"/>
    </row>
    <row r="476" spans="1:12" x14ac:dyDescent="0.2">
      <c r="A476" s="141"/>
      <c r="B476" s="142" t="s">
        <v>461</v>
      </c>
      <c r="C476" s="143" t="s">
        <v>136</v>
      </c>
      <c r="D476" s="91">
        <f>I480/1000</f>
        <v>11.865437999999999</v>
      </c>
      <c r="E476" s="92"/>
      <c r="F476" s="59"/>
      <c r="G476" s="60">
        <f t="shared" si="82"/>
        <v>0</v>
      </c>
      <c r="I476" s="139"/>
      <c r="J476" s="139"/>
    </row>
    <row r="477" spans="1:12" x14ac:dyDescent="0.2">
      <c r="A477" s="141"/>
      <c r="B477" s="142" t="s">
        <v>287</v>
      </c>
      <c r="C477" s="143" t="s">
        <v>8</v>
      </c>
      <c r="D477" s="91">
        <v>432</v>
      </c>
      <c r="E477" s="92"/>
      <c r="F477" s="59"/>
      <c r="G477" s="60">
        <f t="shared" si="82"/>
        <v>0</v>
      </c>
      <c r="I477" s="139">
        <f>D477*3.858*6</f>
        <v>9999.9359999999997</v>
      </c>
      <c r="J477" s="28">
        <f>48*9</f>
        <v>432</v>
      </c>
    </row>
    <row r="478" spans="1:12" x14ac:dyDescent="0.2">
      <c r="A478" s="141"/>
      <c r="B478" s="142" t="s">
        <v>222</v>
      </c>
      <c r="C478" s="143" t="s">
        <v>8</v>
      </c>
      <c r="D478" s="91">
        <v>48</v>
      </c>
      <c r="E478" s="92"/>
      <c r="F478" s="59"/>
      <c r="G478" s="60">
        <f t="shared" si="82"/>
        <v>0</v>
      </c>
      <c r="I478" s="139">
        <f>D478*1.58*6</f>
        <v>455.04</v>
      </c>
      <c r="J478" s="28">
        <f>12.7*9</f>
        <v>114.3</v>
      </c>
      <c r="K478" s="28">
        <f>J478/0.15</f>
        <v>762</v>
      </c>
      <c r="L478" s="28">
        <f>K478/2</f>
        <v>381</v>
      </c>
    </row>
    <row r="479" spans="1:12" x14ac:dyDescent="0.2">
      <c r="A479" s="141"/>
      <c r="B479" s="142" t="s">
        <v>224</v>
      </c>
      <c r="C479" s="178" t="s">
        <v>8</v>
      </c>
      <c r="D479" s="179">
        <v>381</v>
      </c>
      <c r="E479" s="180"/>
      <c r="F479" s="181"/>
      <c r="G479" s="60">
        <f t="shared" si="82"/>
        <v>0</v>
      </c>
      <c r="H479" s="175"/>
      <c r="I479" s="139">
        <f>0.617*D479*6</f>
        <v>1410.462</v>
      </c>
      <c r="J479" s="28">
        <f>32.2*2.2</f>
        <v>70.840000000000018</v>
      </c>
    </row>
    <row r="480" spans="1:12" x14ac:dyDescent="0.2">
      <c r="A480" s="141"/>
      <c r="B480" s="142" t="s">
        <v>14</v>
      </c>
      <c r="C480" s="143" t="s">
        <v>9</v>
      </c>
      <c r="D480" s="91">
        <f>D476*20</f>
        <v>237.30875999999998</v>
      </c>
      <c r="E480" s="92"/>
      <c r="F480" s="59"/>
      <c r="G480" s="60">
        <f t="shared" si="82"/>
        <v>0</v>
      </c>
      <c r="I480" s="139">
        <f>SUM(I477:I479)</f>
        <v>11865.438</v>
      </c>
      <c r="J480" s="139"/>
    </row>
    <row r="481" spans="1:17" x14ac:dyDescent="0.2">
      <c r="A481" s="141"/>
      <c r="B481" s="142" t="s">
        <v>459</v>
      </c>
      <c r="C481" s="143" t="s">
        <v>136</v>
      </c>
      <c r="D481" s="91">
        <f>I484/1000</f>
        <v>0.55555200000000005</v>
      </c>
      <c r="E481" s="92"/>
      <c r="F481" s="59"/>
      <c r="G481" s="60">
        <f t="shared" si="82"/>
        <v>0</v>
      </c>
      <c r="I481" s="139"/>
      <c r="J481" s="139"/>
    </row>
    <row r="482" spans="1:17" x14ac:dyDescent="0.2">
      <c r="A482" s="141"/>
      <c r="B482" s="142" t="s">
        <v>287</v>
      </c>
      <c r="C482" s="143" t="s">
        <v>8</v>
      </c>
      <c r="D482" s="91">
        <v>24</v>
      </c>
      <c r="E482" s="92"/>
      <c r="F482" s="59"/>
      <c r="G482" s="60">
        <f t="shared" si="82"/>
        <v>0</v>
      </c>
      <c r="I482" s="139">
        <f>D482*3.858*6</f>
        <v>555.55200000000002</v>
      </c>
      <c r="J482" s="28">
        <f>1.97*5</f>
        <v>9.85</v>
      </c>
      <c r="K482" s="28">
        <f>J482/0.15</f>
        <v>65.666666666666671</v>
      </c>
      <c r="L482" s="28">
        <f>K482/2</f>
        <v>32.833333333333336</v>
      </c>
    </row>
    <row r="483" spans="1:17" x14ac:dyDescent="0.2">
      <c r="A483" s="141"/>
      <c r="B483" s="142" t="s">
        <v>495</v>
      </c>
      <c r="C483" s="178" t="s">
        <v>8</v>
      </c>
      <c r="D483" s="179">
        <v>0</v>
      </c>
      <c r="E483" s="180"/>
      <c r="F483" s="181"/>
      <c r="G483" s="60">
        <f t="shared" si="82"/>
        <v>0</v>
      </c>
      <c r="H483" s="175"/>
      <c r="I483" s="139">
        <f>0.617*D483*6</f>
        <v>0</v>
      </c>
    </row>
    <row r="484" spans="1:17" x14ac:dyDescent="0.2">
      <c r="A484" s="141"/>
      <c r="B484" s="142" t="s">
        <v>14</v>
      </c>
      <c r="C484" s="143" t="s">
        <v>9</v>
      </c>
      <c r="D484" s="91">
        <f>D481*20</f>
        <v>11.111040000000001</v>
      </c>
      <c r="E484" s="92"/>
      <c r="F484" s="59"/>
      <c r="G484" s="60">
        <f t="shared" si="82"/>
        <v>0</v>
      </c>
      <c r="I484" s="139">
        <f>SUM(I482:I483)</f>
        <v>555.55200000000002</v>
      </c>
      <c r="J484" s="139"/>
    </row>
    <row r="485" spans="1:17" ht="15.75" customHeight="1" x14ac:dyDescent="0.2">
      <c r="A485" s="170" t="s">
        <v>165</v>
      </c>
      <c r="B485" s="171" t="s">
        <v>279</v>
      </c>
      <c r="C485" s="172" t="s">
        <v>136</v>
      </c>
      <c r="D485" s="173">
        <f>I488/1000</f>
        <v>5.8039680000000002</v>
      </c>
      <c r="E485" s="174"/>
      <c r="F485" s="59"/>
      <c r="G485" s="60">
        <f t="shared" ref="G485:G488" si="83">(D485*E485)+(D485*F485)</f>
        <v>0</v>
      </c>
      <c r="H485" s="175"/>
      <c r="I485" s="176"/>
    </row>
    <row r="486" spans="1:17" x14ac:dyDescent="0.2">
      <c r="A486" s="177" t="s">
        <v>175</v>
      </c>
      <c r="B486" s="142" t="s">
        <v>224</v>
      </c>
      <c r="C486" s="178" t="s">
        <v>8</v>
      </c>
      <c r="D486" s="179">
        <v>1480</v>
      </c>
      <c r="E486" s="180"/>
      <c r="F486" s="181"/>
      <c r="G486" s="60">
        <f t="shared" si="83"/>
        <v>0</v>
      </c>
      <c r="H486" s="175"/>
      <c r="I486" s="139">
        <f>0.617*D486*6</f>
        <v>5478.96</v>
      </c>
      <c r="K486" s="28">
        <v>330.75</v>
      </c>
      <c r="L486" s="28">
        <f>K486*15.34</f>
        <v>5073.7049999999999</v>
      </c>
      <c r="M486" s="28">
        <f>L486*75%</f>
        <v>3805.2787499999999</v>
      </c>
      <c r="N486" s="28">
        <f>SUM(L486:M486)</f>
        <v>8878.9837499999994</v>
      </c>
      <c r="O486" s="28">
        <f>N486/6</f>
        <v>1479.8306249999998</v>
      </c>
    </row>
    <row r="487" spans="1:17" x14ac:dyDescent="0.2">
      <c r="A487" s="177"/>
      <c r="B487" s="142" t="s">
        <v>223</v>
      </c>
      <c r="C487" s="178" t="s">
        <v>8</v>
      </c>
      <c r="D487" s="179">
        <v>61</v>
      </c>
      <c r="E487" s="180"/>
      <c r="F487" s="181"/>
      <c r="G487" s="60">
        <f t="shared" si="83"/>
        <v>0</v>
      </c>
      <c r="H487" s="175"/>
      <c r="I487" s="139">
        <f>0.888*D487*6</f>
        <v>325.00799999999998</v>
      </c>
    </row>
    <row r="488" spans="1:17" x14ac:dyDescent="0.2">
      <c r="A488" s="177"/>
      <c r="B488" s="182" t="s">
        <v>14</v>
      </c>
      <c r="C488" s="178" t="s">
        <v>9</v>
      </c>
      <c r="D488" s="179">
        <f>D485*20</f>
        <v>116.07936000000001</v>
      </c>
      <c r="E488" s="180"/>
      <c r="F488" s="181"/>
      <c r="G488" s="60">
        <f t="shared" si="83"/>
        <v>0</v>
      </c>
      <c r="H488" s="175"/>
      <c r="I488" s="139">
        <f>SUM(I486:I487)</f>
        <v>5803.9679999999998</v>
      </c>
    </row>
    <row r="489" spans="1:17" x14ac:dyDescent="0.2">
      <c r="A489" s="170" t="s">
        <v>176</v>
      </c>
      <c r="B489" s="171" t="s">
        <v>172</v>
      </c>
      <c r="C489" s="172"/>
      <c r="D489" s="173"/>
      <c r="E489" s="174"/>
      <c r="F489" s="59"/>
      <c r="G489" s="60"/>
    </row>
    <row r="490" spans="1:17" x14ac:dyDescent="0.2">
      <c r="A490" s="141" t="s">
        <v>185</v>
      </c>
      <c r="B490" s="142" t="s">
        <v>491</v>
      </c>
      <c r="C490" s="143" t="s">
        <v>136</v>
      </c>
      <c r="D490" s="91">
        <f>I493/1000</f>
        <v>0.16084800000000002</v>
      </c>
      <c r="E490" s="92"/>
      <c r="F490" s="59"/>
      <c r="G490" s="60">
        <f t="shared" ref="G490:G504" si="84">(D490*E490)+(D490*F490)</f>
        <v>0</v>
      </c>
    </row>
    <row r="491" spans="1:17" x14ac:dyDescent="0.2">
      <c r="A491" s="144"/>
      <c r="B491" s="142" t="s">
        <v>222</v>
      </c>
      <c r="C491" s="143" t="s">
        <v>8</v>
      </c>
      <c r="D491" s="91">
        <v>15</v>
      </c>
      <c r="E491" s="92"/>
      <c r="F491" s="59"/>
      <c r="G491" s="60">
        <f t="shared" si="84"/>
        <v>0</v>
      </c>
      <c r="I491" s="139">
        <f>D491*1.58*6</f>
        <v>142.20000000000002</v>
      </c>
      <c r="J491" s="28">
        <f>1.5*2*5</f>
        <v>15</v>
      </c>
      <c r="L491" s="28">
        <f>3.36/0.15</f>
        <v>22.4</v>
      </c>
      <c r="M491" s="28">
        <f>L491*5</f>
        <v>112</v>
      </c>
      <c r="N491" s="28">
        <f>M491/8</f>
        <v>14</v>
      </c>
    </row>
    <row r="492" spans="1:17" x14ac:dyDescent="0.2">
      <c r="A492" s="141"/>
      <c r="B492" s="142" t="s">
        <v>225</v>
      </c>
      <c r="C492" s="143" t="s">
        <v>8</v>
      </c>
      <c r="D492" s="91">
        <v>14</v>
      </c>
      <c r="E492" s="92"/>
      <c r="F492" s="59"/>
      <c r="G492" s="60">
        <f t="shared" si="84"/>
        <v>0</v>
      </c>
      <c r="I492" s="139">
        <f>0.222*D492*6</f>
        <v>18.648</v>
      </c>
    </row>
    <row r="493" spans="1:17" x14ac:dyDescent="0.2">
      <c r="A493" s="141"/>
      <c r="B493" s="142" t="s">
        <v>14</v>
      </c>
      <c r="C493" s="143" t="s">
        <v>9</v>
      </c>
      <c r="D493" s="91">
        <f>D490*20</f>
        <v>3.2169600000000003</v>
      </c>
      <c r="E493" s="92"/>
      <c r="F493" s="59"/>
      <c r="G493" s="60">
        <f t="shared" si="84"/>
        <v>0</v>
      </c>
      <c r="I493" s="139">
        <f>SUM(I491:I492)</f>
        <v>160.84800000000001</v>
      </c>
      <c r="J493" s="139"/>
    </row>
    <row r="494" spans="1:17" x14ac:dyDescent="0.2">
      <c r="A494" s="141" t="s">
        <v>186</v>
      </c>
      <c r="B494" s="142" t="s">
        <v>489</v>
      </c>
      <c r="C494" s="143" t="s">
        <v>136</v>
      </c>
      <c r="D494" s="91">
        <f>I497/1000</f>
        <v>3.5392320000000006</v>
      </c>
      <c r="E494" s="92"/>
      <c r="F494" s="59"/>
      <c r="G494" s="60">
        <f t="shared" si="84"/>
        <v>0</v>
      </c>
      <c r="I494" s="139"/>
      <c r="J494" s="139"/>
    </row>
    <row r="495" spans="1:17" x14ac:dyDescent="0.2">
      <c r="A495" s="141"/>
      <c r="B495" s="142" t="s">
        <v>287</v>
      </c>
      <c r="C495" s="143" t="s">
        <v>8</v>
      </c>
      <c r="D495" s="91">
        <v>135</v>
      </c>
      <c r="E495" s="92"/>
      <c r="F495" s="59"/>
      <c r="G495" s="60">
        <f t="shared" si="84"/>
        <v>0</v>
      </c>
      <c r="I495" s="139">
        <f>D495*3.858*6</f>
        <v>3124.9800000000005</v>
      </c>
      <c r="J495" s="28">
        <f>1.5*5*18</f>
        <v>135</v>
      </c>
      <c r="L495" s="28">
        <f>23*18</f>
        <v>414</v>
      </c>
      <c r="M495" s="28">
        <f>L495/2</f>
        <v>207</v>
      </c>
      <c r="N495" s="28">
        <f>L495*2</f>
        <v>828</v>
      </c>
      <c r="O495" s="28">
        <f>N495-M495*2</f>
        <v>414</v>
      </c>
      <c r="P495" s="28">
        <f>O495/4</f>
        <v>103.5</v>
      </c>
      <c r="Q495" s="28">
        <f>P495+M495</f>
        <v>310.5</v>
      </c>
    </row>
    <row r="496" spans="1:17" x14ac:dyDescent="0.2">
      <c r="A496" s="141"/>
      <c r="B496" s="142" t="s">
        <v>225</v>
      </c>
      <c r="C496" s="143" t="s">
        <v>8</v>
      </c>
      <c r="D496" s="91">
        <v>311</v>
      </c>
      <c r="E496" s="92"/>
      <c r="F496" s="59"/>
      <c r="G496" s="60">
        <f t="shared" si="84"/>
        <v>0</v>
      </c>
      <c r="I496" s="139">
        <f>0.222*D496*6</f>
        <v>414.25200000000001</v>
      </c>
    </row>
    <row r="497" spans="1:12" x14ac:dyDescent="0.2">
      <c r="A497" s="141"/>
      <c r="B497" s="142" t="s">
        <v>14</v>
      </c>
      <c r="C497" s="143" t="s">
        <v>9</v>
      </c>
      <c r="D497" s="91">
        <f>D494*20</f>
        <v>70.78464000000001</v>
      </c>
      <c r="E497" s="92"/>
      <c r="F497" s="59"/>
      <c r="G497" s="60">
        <f t="shared" si="84"/>
        <v>0</v>
      </c>
      <c r="I497" s="139">
        <f>SUM(I495:I496)</f>
        <v>3539.2320000000004</v>
      </c>
      <c r="J497" s="139"/>
    </row>
    <row r="498" spans="1:12" x14ac:dyDescent="0.2">
      <c r="A498" s="141" t="s">
        <v>188</v>
      </c>
      <c r="B498" s="142" t="s">
        <v>490</v>
      </c>
      <c r="C498" s="143" t="s">
        <v>136</v>
      </c>
      <c r="D498" s="91">
        <f>I501/1000</f>
        <v>0.28464</v>
      </c>
      <c r="E498" s="92"/>
      <c r="F498" s="59"/>
      <c r="G498" s="60">
        <f t="shared" si="84"/>
        <v>0</v>
      </c>
      <c r="I498" s="139"/>
      <c r="J498" s="139"/>
    </row>
    <row r="499" spans="1:12" x14ac:dyDescent="0.2">
      <c r="A499" s="141"/>
      <c r="B499" s="142" t="s">
        <v>222</v>
      </c>
      <c r="C499" s="143" t="s">
        <v>8</v>
      </c>
      <c r="D499" s="91">
        <v>23</v>
      </c>
      <c r="E499" s="92"/>
      <c r="F499" s="59"/>
      <c r="G499" s="60">
        <f t="shared" si="84"/>
        <v>0</v>
      </c>
      <c r="I499" s="139">
        <f>D499*1.58*6</f>
        <v>218.04000000000002</v>
      </c>
      <c r="J499" s="28">
        <f>1.5*5*3</f>
        <v>22.5</v>
      </c>
    </row>
    <row r="500" spans="1:12" x14ac:dyDescent="0.2">
      <c r="A500" s="141"/>
      <c r="B500" s="142" t="s">
        <v>225</v>
      </c>
      <c r="C500" s="143" t="s">
        <v>8</v>
      </c>
      <c r="D500" s="91">
        <v>50</v>
      </c>
      <c r="E500" s="92"/>
      <c r="F500" s="59"/>
      <c r="G500" s="60">
        <f t="shared" si="84"/>
        <v>0</v>
      </c>
      <c r="I500" s="139">
        <f>0.222*D500*6</f>
        <v>66.599999999999994</v>
      </c>
      <c r="J500" s="139"/>
    </row>
    <row r="501" spans="1:12" x14ac:dyDescent="0.2">
      <c r="A501" s="141"/>
      <c r="B501" s="142" t="s">
        <v>14</v>
      </c>
      <c r="C501" s="143" t="s">
        <v>9</v>
      </c>
      <c r="D501" s="91">
        <f>D498*20</f>
        <v>5.6928000000000001</v>
      </c>
      <c r="E501" s="92"/>
      <c r="F501" s="59"/>
      <c r="G501" s="60">
        <f t="shared" si="84"/>
        <v>0</v>
      </c>
      <c r="I501" s="139">
        <f>SUM(I499:I500)</f>
        <v>284.64</v>
      </c>
      <c r="J501" s="139"/>
    </row>
    <row r="502" spans="1:12" x14ac:dyDescent="0.2">
      <c r="A502" s="170" t="s">
        <v>177</v>
      </c>
      <c r="B502" s="171" t="s">
        <v>198</v>
      </c>
      <c r="C502" s="172" t="s">
        <v>136</v>
      </c>
      <c r="D502" s="173">
        <f>I504/1000</f>
        <v>0.39981599999999995</v>
      </c>
      <c r="E502" s="174"/>
      <c r="F502" s="59"/>
      <c r="G502" s="60">
        <f t="shared" si="84"/>
        <v>0</v>
      </c>
      <c r="H502" s="175"/>
      <c r="I502" s="176"/>
      <c r="J502" s="139"/>
    </row>
    <row r="503" spans="1:12" x14ac:dyDescent="0.2">
      <c r="A503" s="177" t="s">
        <v>175</v>
      </c>
      <c r="B503" s="142" t="s">
        <v>224</v>
      </c>
      <c r="C503" s="178" t="s">
        <v>8</v>
      </c>
      <c r="D503" s="179">
        <v>108</v>
      </c>
      <c r="E503" s="180"/>
      <c r="F503" s="181"/>
      <c r="G503" s="60">
        <f t="shared" si="84"/>
        <v>0</v>
      </c>
      <c r="H503" s="175"/>
      <c r="I503" s="139">
        <f>0.617*D503*6</f>
        <v>399.81599999999997</v>
      </c>
      <c r="J503" s="139"/>
    </row>
    <row r="504" spans="1:12" x14ac:dyDescent="0.2">
      <c r="A504" s="177"/>
      <c r="B504" s="182" t="s">
        <v>14</v>
      </c>
      <c r="C504" s="178" t="s">
        <v>9</v>
      </c>
      <c r="D504" s="179">
        <f>D502*20</f>
        <v>7.996319999999999</v>
      </c>
      <c r="E504" s="180"/>
      <c r="F504" s="181"/>
      <c r="G504" s="60">
        <f t="shared" si="84"/>
        <v>0</v>
      </c>
      <c r="H504" s="175"/>
      <c r="I504" s="139">
        <f>SUM(I502:I503)</f>
        <v>399.81599999999997</v>
      </c>
      <c r="J504" s="139"/>
    </row>
    <row r="505" spans="1:12" x14ac:dyDescent="0.2">
      <c r="A505" s="132" t="s">
        <v>499</v>
      </c>
      <c r="B505" s="133" t="s">
        <v>466</v>
      </c>
      <c r="C505" s="163"/>
      <c r="D505" s="164"/>
      <c r="E505" s="165"/>
      <c r="F505" s="166"/>
      <c r="G505" s="167"/>
    </row>
    <row r="506" spans="1:12" x14ac:dyDescent="0.2">
      <c r="A506" s="170" t="s">
        <v>164</v>
      </c>
      <c r="B506" s="171" t="s">
        <v>284</v>
      </c>
      <c r="C506" s="172"/>
      <c r="D506" s="173"/>
      <c r="E506" s="174"/>
      <c r="F506" s="59"/>
      <c r="G506" s="60"/>
    </row>
    <row r="507" spans="1:12" x14ac:dyDescent="0.2">
      <c r="A507" s="141"/>
      <c r="B507" s="142" t="s">
        <v>442</v>
      </c>
      <c r="C507" s="143" t="s">
        <v>136</v>
      </c>
      <c r="D507" s="91">
        <f>I510/1000</f>
        <v>0.90540000000000009</v>
      </c>
      <c r="E507" s="92"/>
      <c r="F507" s="59"/>
      <c r="G507" s="60">
        <f t="shared" ref="G507:G519" si="85">(D507*E507)+(D507*F507)</f>
        <v>0</v>
      </c>
    </row>
    <row r="508" spans="1:12" ht="12.75" thickBot="1" x14ac:dyDescent="0.25">
      <c r="A508" s="391"/>
      <c r="B508" s="152" t="s">
        <v>222</v>
      </c>
      <c r="C508" s="153" t="s">
        <v>8</v>
      </c>
      <c r="D508" s="154">
        <v>66</v>
      </c>
      <c r="E508" s="183"/>
      <c r="F508" s="155"/>
      <c r="G508" s="156">
        <f t="shared" si="85"/>
        <v>0</v>
      </c>
      <c r="I508" s="139">
        <f>D508*1.58*6</f>
        <v>625.68000000000006</v>
      </c>
    </row>
    <row r="509" spans="1:12" x14ac:dyDescent="0.2">
      <c r="A509" s="141"/>
      <c r="B509" s="142" t="s">
        <v>225</v>
      </c>
      <c r="C509" s="143" t="s">
        <v>8</v>
      </c>
      <c r="D509" s="91">
        <v>210</v>
      </c>
      <c r="E509" s="92"/>
      <c r="F509" s="59"/>
      <c r="G509" s="60">
        <f t="shared" si="85"/>
        <v>0</v>
      </c>
      <c r="I509" s="139">
        <f>0.222*D509*6</f>
        <v>279.71999999999997</v>
      </c>
      <c r="J509" s="28">
        <f>25.8*3+6.6</f>
        <v>84</v>
      </c>
      <c r="K509" s="28">
        <f>J509/0.1</f>
        <v>840</v>
      </c>
      <c r="L509" s="28">
        <f>K509/4</f>
        <v>210</v>
      </c>
    </row>
    <row r="510" spans="1:12" x14ac:dyDescent="0.2">
      <c r="A510" s="141"/>
      <c r="B510" s="142" t="s">
        <v>14</v>
      </c>
      <c r="C510" s="143" t="s">
        <v>9</v>
      </c>
      <c r="D510" s="91">
        <f>D507*20</f>
        <v>18.108000000000001</v>
      </c>
      <c r="E510" s="92"/>
      <c r="F510" s="59"/>
      <c r="G510" s="60">
        <f t="shared" si="85"/>
        <v>0</v>
      </c>
      <c r="I510" s="139">
        <f>SUM(I508:I509)</f>
        <v>905.40000000000009</v>
      </c>
      <c r="J510" s="139"/>
    </row>
    <row r="511" spans="1:12" x14ac:dyDescent="0.2">
      <c r="A511" s="141"/>
      <c r="B511" s="142" t="s">
        <v>461</v>
      </c>
      <c r="C511" s="143" t="s">
        <v>136</v>
      </c>
      <c r="D511" s="91">
        <f>I515/1000</f>
        <v>11.865437999999999</v>
      </c>
      <c r="E511" s="92"/>
      <c r="F511" s="59"/>
      <c r="G511" s="60">
        <f t="shared" si="85"/>
        <v>0</v>
      </c>
      <c r="I511" s="139"/>
      <c r="J511" s="139"/>
    </row>
    <row r="512" spans="1:12" x14ac:dyDescent="0.2">
      <c r="A512" s="141"/>
      <c r="B512" s="142" t="s">
        <v>287</v>
      </c>
      <c r="C512" s="143" t="s">
        <v>8</v>
      </c>
      <c r="D512" s="91">
        <v>432</v>
      </c>
      <c r="E512" s="92"/>
      <c r="F512" s="59"/>
      <c r="G512" s="60">
        <f t="shared" si="85"/>
        <v>0</v>
      </c>
      <c r="I512" s="139">
        <f>D512*3.858*6</f>
        <v>9999.9359999999997</v>
      </c>
      <c r="J512" s="28">
        <f>48*9</f>
        <v>432</v>
      </c>
    </row>
    <row r="513" spans="1:15" x14ac:dyDescent="0.2">
      <c r="A513" s="141"/>
      <c r="B513" s="142" t="s">
        <v>222</v>
      </c>
      <c r="C513" s="143" t="s">
        <v>8</v>
      </c>
      <c r="D513" s="91">
        <v>48</v>
      </c>
      <c r="E513" s="92"/>
      <c r="F513" s="59"/>
      <c r="G513" s="60">
        <f t="shared" si="85"/>
        <v>0</v>
      </c>
      <c r="I513" s="139">
        <f>D513*1.58*6</f>
        <v>455.04</v>
      </c>
      <c r="J513" s="28">
        <f>12.7*9</f>
        <v>114.3</v>
      </c>
      <c r="K513" s="28">
        <f>J513/0.15</f>
        <v>762</v>
      </c>
      <c r="L513" s="28">
        <f>K513/2</f>
        <v>381</v>
      </c>
    </row>
    <row r="514" spans="1:15" x14ac:dyDescent="0.2">
      <c r="A514" s="141"/>
      <c r="B514" s="142" t="s">
        <v>224</v>
      </c>
      <c r="C514" s="178" t="s">
        <v>8</v>
      </c>
      <c r="D514" s="179">
        <v>381</v>
      </c>
      <c r="E514" s="180"/>
      <c r="F514" s="181"/>
      <c r="G514" s="60">
        <f t="shared" si="85"/>
        <v>0</v>
      </c>
      <c r="H514" s="175"/>
      <c r="I514" s="139">
        <f>0.617*D514*6</f>
        <v>1410.462</v>
      </c>
      <c r="J514" s="28">
        <f>32.2*2.2</f>
        <v>70.840000000000018</v>
      </c>
    </row>
    <row r="515" spans="1:15" x14ac:dyDescent="0.2">
      <c r="A515" s="141"/>
      <c r="B515" s="142" t="s">
        <v>14</v>
      </c>
      <c r="C515" s="143" t="s">
        <v>9</v>
      </c>
      <c r="D515" s="91">
        <f>D511*20</f>
        <v>237.30875999999998</v>
      </c>
      <c r="E515" s="92"/>
      <c r="F515" s="59"/>
      <c r="G515" s="60">
        <f t="shared" si="85"/>
        <v>0</v>
      </c>
      <c r="I515" s="139">
        <f>SUM(I512:I514)</f>
        <v>11865.438</v>
      </c>
      <c r="J515" s="139"/>
    </row>
    <row r="516" spans="1:15" x14ac:dyDescent="0.2">
      <c r="A516" s="141"/>
      <c r="B516" s="142" t="s">
        <v>459</v>
      </c>
      <c r="C516" s="143" t="s">
        <v>136</v>
      </c>
      <c r="D516" s="91">
        <f>I519/1000</f>
        <v>0.55555200000000005</v>
      </c>
      <c r="E516" s="92"/>
      <c r="F516" s="59"/>
      <c r="G516" s="60">
        <f t="shared" si="85"/>
        <v>0</v>
      </c>
      <c r="I516" s="139"/>
      <c r="J516" s="139"/>
    </row>
    <row r="517" spans="1:15" x14ac:dyDescent="0.2">
      <c r="A517" s="141"/>
      <c r="B517" s="142" t="s">
        <v>287</v>
      </c>
      <c r="C517" s="143" t="s">
        <v>8</v>
      </c>
      <c r="D517" s="91">
        <v>24</v>
      </c>
      <c r="E517" s="92"/>
      <c r="F517" s="59"/>
      <c r="G517" s="60">
        <f t="shared" si="85"/>
        <v>0</v>
      </c>
      <c r="I517" s="139">
        <f>D517*3.858*6</f>
        <v>555.55200000000002</v>
      </c>
      <c r="J517" s="28">
        <f>1.97*5</f>
        <v>9.85</v>
      </c>
      <c r="K517" s="28">
        <f>J517/0.15</f>
        <v>65.666666666666671</v>
      </c>
      <c r="L517" s="28">
        <f>K517/2</f>
        <v>32.833333333333336</v>
      </c>
    </row>
    <row r="518" spans="1:15" x14ac:dyDescent="0.2">
      <c r="A518" s="141"/>
      <c r="B518" s="142" t="s">
        <v>495</v>
      </c>
      <c r="C518" s="178" t="s">
        <v>8</v>
      </c>
      <c r="D518" s="179">
        <v>0</v>
      </c>
      <c r="E518" s="180"/>
      <c r="F518" s="181"/>
      <c r="G518" s="60">
        <f t="shared" si="85"/>
        <v>0</v>
      </c>
      <c r="H518" s="175"/>
      <c r="I518" s="139">
        <f>0.617*D518*6</f>
        <v>0</v>
      </c>
    </row>
    <row r="519" spans="1:15" x14ac:dyDescent="0.2">
      <c r="A519" s="141"/>
      <c r="B519" s="142" t="s">
        <v>14</v>
      </c>
      <c r="C519" s="143" t="s">
        <v>9</v>
      </c>
      <c r="D519" s="91">
        <f>D516*20</f>
        <v>11.111040000000001</v>
      </c>
      <c r="E519" s="92"/>
      <c r="F519" s="59"/>
      <c r="G519" s="60">
        <f t="shared" si="85"/>
        <v>0</v>
      </c>
      <c r="I519" s="139">
        <f>SUM(I517:I518)</f>
        <v>555.55200000000002</v>
      </c>
      <c r="J519" s="139"/>
    </row>
    <row r="520" spans="1:15" x14ac:dyDescent="0.2">
      <c r="A520" s="170" t="s">
        <v>165</v>
      </c>
      <c r="B520" s="171" t="s">
        <v>279</v>
      </c>
      <c r="C520" s="172" t="s">
        <v>136</v>
      </c>
      <c r="D520" s="173">
        <f>I523/1000</f>
        <v>5.8039680000000002</v>
      </c>
      <c r="E520" s="174"/>
      <c r="F520" s="59"/>
      <c r="G520" s="60">
        <f t="shared" ref="G520:G523" si="86">(D520*E520)+(D520*F520)</f>
        <v>0</v>
      </c>
      <c r="H520" s="175"/>
      <c r="I520" s="176"/>
    </row>
    <row r="521" spans="1:15" x14ac:dyDescent="0.2">
      <c r="A521" s="177" t="s">
        <v>175</v>
      </c>
      <c r="B521" s="142" t="s">
        <v>224</v>
      </c>
      <c r="C521" s="178" t="s">
        <v>8</v>
      </c>
      <c r="D521" s="179">
        <v>1480</v>
      </c>
      <c r="E521" s="180"/>
      <c r="F521" s="181"/>
      <c r="G521" s="60">
        <f t="shared" si="86"/>
        <v>0</v>
      </c>
      <c r="H521" s="175"/>
      <c r="I521" s="139">
        <f>0.617*D521*6</f>
        <v>5478.96</v>
      </c>
      <c r="K521" s="28">
        <v>330.75</v>
      </c>
      <c r="L521" s="28">
        <f>K521*15.34</f>
        <v>5073.7049999999999</v>
      </c>
      <c r="M521" s="28">
        <f>L521*75%</f>
        <v>3805.2787499999999</v>
      </c>
      <c r="N521" s="28">
        <f>SUM(L521:M521)</f>
        <v>8878.9837499999994</v>
      </c>
      <c r="O521" s="28">
        <f>N521/6</f>
        <v>1479.8306249999998</v>
      </c>
    </row>
    <row r="522" spans="1:15" x14ac:dyDescent="0.2">
      <c r="A522" s="177"/>
      <c r="B522" s="142" t="s">
        <v>223</v>
      </c>
      <c r="C522" s="178" t="s">
        <v>8</v>
      </c>
      <c r="D522" s="179">
        <v>61</v>
      </c>
      <c r="E522" s="180"/>
      <c r="F522" s="181"/>
      <c r="G522" s="60">
        <f t="shared" si="86"/>
        <v>0</v>
      </c>
      <c r="H522" s="175"/>
      <c r="I522" s="139">
        <f>0.888*D522*6</f>
        <v>325.00799999999998</v>
      </c>
    </row>
    <row r="523" spans="1:15" x14ac:dyDescent="0.2">
      <c r="A523" s="177"/>
      <c r="B523" s="182" t="s">
        <v>14</v>
      </c>
      <c r="C523" s="178" t="s">
        <v>9</v>
      </c>
      <c r="D523" s="179">
        <f>D520*20</f>
        <v>116.07936000000001</v>
      </c>
      <c r="E523" s="180"/>
      <c r="F523" s="181"/>
      <c r="G523" s="60">
        <f t="shared" si="86"/>
        <v>0</v>
      </c>
      <c r="H523" s="175"/>
      <c r="I523" s="139">
        <f>SUM(I521:I522)</f>
        <v>5803.9679999999998</v>
      </c>
    </row>
    <row r="524" spans="1:15" x14ac:dyDescent="0.2">
      <c r="A524" s="170" t="s">
        <v>176</v>
      </c>
      <c r="B524" s="171" t="s">
        <v>172</v>
      </c>
      <c r="C524" s="172"/>
      <c r="D524" s="173"/>
      <c r="E524" s="174"/>
      <c r="F524" s="59"/>
      <c r="G524" s="60"/>
    </row>
    <row r="525" spans="1:15" x14ac:dyDescent="0.2">
      <c r="A525" s="141" t="s">
        <v>185</v>
      </c>
      <c r="B525" s="142" t="s">
        <v>491</v>
      </c>
      <c r="C525" s="143" t="s">
        <v>136</v>
      </c>
      <c r="D525" s="91">
        <f>I528/1000</f>
        <v>0.16084800000000002</v>
      </c>
      <c r="E525" s="92"/>
      <c r="F525" s="59"/>
      <c r="G525" s="60">
        <f t="shared" ref="G525:G539" si="87">(D525*E525)+(D525*F525)</f>
        <v>0</v>
      </c>
    </row>
    <row r="526" spans="1:15" x14ac:dyDescent="0.2">
      <c r="A526" s="144"/>
      <c r="B526" s="142" t="s">
        <v>222</v>
      </c>
      <c r="C526" s="143" t="s">
        <v>8</v>
      </c>
      <c r="D526" s="91">
        <v>15</v>
      </c>
      <c r="E526" s="92"/>
      <c r="F526" s="59"/>
      <c r="G526" s="60">
        <f t="shared" si="87"/>
        <v>0</v>
      </c>
      <c r="I526" s="139">
        <f>D526*1.58*6</f>
        <v>142.20000000000002</v>
      </c>
      <c r="J526" s="28">
        <f>1.5*2*5</f>
        <v>15</v>
      </c>
      <c r="L526" s="28">
        <f>3.36/0.15</f>
        <v>22.4</v>
      </c>
      <c r="M526" s="28">
        <f>L526*5</f>
        <v>112</v>
      </c>
      <c r="N526" s="28">
        <f>M526/8</f>
        <v>14</v>
      </c>
    </row>
    <row r="527" spans="1:15" x14ac:dyDescent="0.2">
      <c r="A527" s="141"/>
      <c r="B527" s="142" t="s">
        <v>225</v>
      </c>
      <c r="C527" s="143" t="s">
        <v>8</v>
      </c>
      <c r="D527" s="91">
        <v>14</v>
      </c>
      <c r="E527" s="92"/>
      <c r="F527" s="59"/>
      <c r="G527" s="60">
        <f t="shared" si="87"/>
        <v>0</v>
      </c>
      <c r="I527" s="139">
        <f>0.222*D527*6</f>
        <v>18.648</v>
      </c>
    </row>
    <row r="528" spans="1:15" x14ac:dyDescent="0.2">
      <c r="A528" s="141"/>
      <c r="B528" s="142" t="s">
        <v>14</v>
      </c>
      <c r="C528" s="143" t="s">
        <v>9</v>
      </c>
      <c r="D528" s="91">
        <f>D525*20</f>
        <v>3.2169600000000003</v>
      </c>
      <c r="E528" s="92"/>
      <c r="F528" s="59"/>
      <c r="G528" s="60">
        <f t="shared" si="87"/>
        <v>0</v>
      </c>
      <c r="I528" s="139">
        <f>SUM(I526:I527)</f>
        <v>160.84800000000001</v>
      </c>
      <c r="J528" s="139"/>
    </row>
    <row r="529" spans="1:17" x14ac:dyDescent="0.2">
      <c r="A529" s="141" t="s">
        <v>186</v>
      </c>
      <c r="B529" s="142" t="s">
        <v>489</v>
      </c>
      <c r="C529" s="143" t="s">
        <v>136</v>
      </c>
      <c r="D529" s="91">
        <f>I532/1000</f>
        <v>3.5392320000000006</v>
      </c>
      <c r="E529" s="92"/>
      <c r="F529" s="59"/>
      <c r="G529" s="60">
        <f t="shared" si="87"/>
        <v>0</v>
      </c>
      <c r="I529" s="139"/>
      <c r="J529" s="139"/>
    </row>
    <row r="530" spans="1:17" x14ac:dyDescent="0.2">
      <c r="A530" s="141"/>
      <c r="B530" s="142" t="s">
        <v>287</v>
      </c>
      <c r="C530" s="143" t="s">
        <v>8</v>
      </c>
      <c r="D530" s="91">
        <v>135</v>
      </c>
      <c r="E530" s="92"/>
      <c r="F530" s="59"/>
      <c r="G530" s="60">
        <f t="shared" si="87"/>
        <v>0</v>
      </c>
      <c r="I530" s="139">
        <f>D530*3.858*6</f>
        <v>3124.9800000000005</v>
      </c>
      <c r="J530" s="28">
        <f>1.5*5*18</f>
        <v>135</v>
      </c>
      <c r="L530" s="28">
        <f>23*18</f>
        <v>414</v>
      </c>
      <c r="M530" s="28">
        <f>L530/2</f>
        <v>207</v>
      </c>
      <c r="N530" s="28">
        <f>L530*2</f>
        <v>828</v>
      </c>
      <c r="O530" s="28">
        <f>N530-M530*2</f>
        <v>414</v>
      </c>
      <c r="P530" s="28">
        <f>O530/4</f>
        <v>103.5</v>
      </c>
      <c r="Q530" s="28">
        <f>P530+M530</f>
        <v>310.5</v>
      </c>
    </row>
    <row r="531" spans="1:17" x14ac:dyDescent="0.2">
      <c r="A531" s="141"/>
      <c r="B531" s="142" t="s">
        <v>225</v>
      </c>
      <c r="C531" s="143" t="s">
        <v>8</v>
      </c>
      <c r="D531" s="91">
        <v>311</v>
      </c>
      <c r="E531" s="92"/>
      <c r="F531" s="59"/>
      <c r="G531" s="60">
        <f t="shared" si="87"/>
        <v>0</v>
      </c>
      <c r="I531" s="139">
        <f>0.222*D531*6</f>
        <v>414.25200000000001</v>
      </c>
    </row>
    <row r="532" spans="1:17" x14ac:dyDescent="0.2">
      <c r="A532" s="141"/>
      <c r="B532" s="142" t="s">
        <v>14</v>
      </c>
      <c r="C532" s="143" t="s">
        <v>9</v>
      </c>
      <c r="D532" s="91">
        <f>D529*20</f>
        <v>70.78464000000001</v>
      </c>
      <c r="E532" s="92"/>
      <c r="F532" s="59"/>
      <c r="G532" s="60">
        <f t="shared" si="87"/>
        <v>0</v>
      </c>
      <c r="I532" s="139">
        <f>SUM(I530:I531)</f>
        <v>3539.2320000000004</v>
      </c>
      <c r="J532" s="139"/>
    </row>
    <row r="533" spans="1:17" x14ac:dyDescent="0.2">
      <c r="A533" s="141" t="s">
        <v>188</v>
      </c>
      <c r="B533" s="142" t="s">
        <v>490</v>
      </c>
      <c r="C533" s="143" t="s">
        <v>136</v>
      </c>
      <c r="D533" s="91">
        <f>I536/1000</f>
        <v>0.28464</v>
      </c>
      <c r="E533" s="92"/>
      <c r="F533" s="59"/>
      <c r="G533" s="60">
        <f t="shared" si="87"/>
        <v>0</v>
      </c>
      <c r="I533" s="139"/>
      <c r="J533" s="139"/>
    </row>
    <row r="534" spans="1:17" x14ac:dyDescent="0.2">
      <c r="A534" s="141"/>
      <c r="B534" s="142" t="s">
        <v>222</v>
      </c>
      <c r="C534" s="143" t="s">
        <v>8</v>
      </c>
      <c r="D534" s="91">
        <v>23</v>
      </c>
      <c r="E534" s="92"/>
      <c r="F534" s="59"/>
      <c r="G534" s="60">
        <f t="shared" si="87"/>
        <v>0</v>
      </c>
      <c r="I534" s="139">
        <f>D534*1.58*6</f>
        <v>218.04000000000002</v>
      </c>
      <c r="J534" s="28">
        <f>1.5*5*3</f>
        <v>22.5</v>
      </c>
    </row>
    <row r="535" spans="1:17" x14ac:dyDescent="0.2">
      <c r="A535" s="141"/>
      <c r="B535" s="142" t="s">
        <v>225</v>
      </c>
      <c r="C535" s="143" t="s">
        <v>8</v>
      </c>
      <c r="D535" s="91">
        <v>50</v>
      </c>
      <c r="E535" s="92"/>
      <c r="F535" s="59"/>
      <c r="G535" s="60">
        <f t="shared" si="87"/>
        <v>0</v>
      </c>
      <c r="I535" s="139">
        <f>0.222*D535*6</f>
        <v>66.599999999999994</v>
      </c>
      <c r="J535" s="139"/>
    </row>
    <row r="536" spans="1:17" x14ac:dyDescent="0.2">
      <c r="A536" s="141"/>
      <c r="B536" s="142" t="s">
        <v>14</v>
      </c>
      <c r="C536" s="143" t="s">
        <v>9</v>
      </c>
      <c r="D536" s="91">
        <f>D533*20</f>
        <v>5.6928000000000001</v>
      </c>
      <c r="E536" s="92"/>
      <c r="F536" s="59"/>
      <c r="G536" s="60">
        <f t="shared" si="87"/>
        <v>0</v>
      </c>
      <c r="I536" s="139">
        <f>SUM(I534:I535)</f>
        <v>284.64</v>
      </c>
      <c r="J536" s="139"/>
    </row>
    <row r="537" spans="1:17" x14ac:dyDescent="0.2">
      <c r="A537" s="170" t="s">
        <v>177</v>
      </c>
      <c r="B537" s="171" t="s">
        <v>198</v>
      </c>
      <c r="C537" s="172" t="s">
        <v>136</v>
      </c>
      <c r="D537" s="173">
        <f>I539/1000</f>
        <v>0.39981599999999995</v>
      </c>
      <c r="E537" s="174"/>
      <c r="F537" s="59"/>
      <c r="G537" s="60">
        <f t="shared" si="87"/>
        <v>0</v>
      </c>
      <c r="H537" s="175"/>
      <c r="I537" s="176"/>
      <c r="J537" s="139"/>
    </row>
    <row r="538" spans="1:17" x14ac:dyDescent="0.2">
      <c r="A538" s="177" t="s">
        <v>175</v>
      </c>
      <c r="B538" s="142" t="s">
        <v>224</v>
      </c>
      <c r="C538" s="178" t="s">
        <v>8</v>
      </c>
      <c r="D538" s="179">
        <v>108</v>
      </c>
      <c r="E538" s="180"/>
      <c r="F538" s="181"/>
      <c r="G538" s="60">
        <f t="shared" si="87"/>
        <v>0</v>
      </c>
      <c r="H538" s="175"/>
      <c r="I538" s="139">
        <f>0.617*D538*6</f>
        <v>399.81599999999997</v>
      </c>
      <c r="J538" s="139"/>
    </row>
    <row r="539" spans="1:17" x14ac:dyDescent="0.2">
      <c r="A539" s="177"/>
      <c r="B539" s="182" t="s">
        <v>14</v>
      </c>
      <c r="C539" s="178" t="s">
        <v>9</v>
      </c>
      <c r="D539" s="179">
        <f>D537*20</f>
        <v>7.996319999999999</v>
      </c>
      <c r="E539" s="180"/>
      <c r="F539" s="181"/>
      <c r="G539" s="60">
        <f t="shared" si="87"/>
        <v>0</v>
      </c>
      <c r="H539" s="175"/>
      <c r="I539" s="139">
        <f>SUM(I537:I538)</f>
        <v>399.81599999999997</v>
      </c>
      <c r="J539" s="139"/>
    </row>
    <row r="540" spans="1:17" x14ac:dyDescent="0.2">
      <c r="A540" s="132" t="s">
        <v>500</v>
      </c>
      <c r="B540" s="133" t="s">
        <v>260</v>
      </c>
      <c r="C540" s="163"/>
      <c r="D540" s="164"/>
      <c r="E540" s="165"/>
      <c r="F540" s="166"/>
      <c r="G540" s="167"/>
    </row>
    <row r="541" spans="1:17" x14ac:dyDescent="0.2">
      <c r="A541" s="170" t="s">
        <v>164</v>
      </c>
      <c r="B541" s="171" t="s">
        <v>284</v>
      </c>
      <c r="C541" s="172"/>
      <c r="D541" s="173"/>
      <c r="E541" s="174"/>
      <c r="F541" s="59"/>
      <c r="G541" s="60"/>
    </row>
    <row r="542" spans="1:17" x14ac:dyDescent="0.2">
      <c r="A542" s="141"/>
      <c r="B542" s="142" t="s">
        <v>442</v>
      </c>
      <c r="C542" s="143" t="s">
        <v>136</v>
      </c>
      <c r="D542" s="91">
        <f>I545/1000</f>
        <v>0.90540000000000009</v>
      </c>
      <c r="E542" s="92"/>
      <c r="F542" s="59"/>
      <c r="G542" s="60">
        <f t="shared" ref="G542:G556" si="88">(D542*E542)+(D542*F542)</f>
        <v>0</v>
      </c>
    </row>
    <row r="543" spans="1:17" x14ac:dyDescent="0.2">
      <c r="A543" s="144"/>
      <c r="B543" s="142" t="s">
        <v>222</v>
      </c>
      <c r="C543" s="143" t="s">
        <v>8</v>
      </c>
      <c r="D543" s="91">
        <v>66</v>
      </c>
      <c r="E543" s="92"/>
      <c r="F543" s="59"/>
      <c r="G543" s="60">
        <f t="shared" si="88"/>
        <v>0</v>
      </c>
      <c r="I543" s="139">
        <f>D543*1.58*6</f>
        <v>625.68000000000006</v>
      </c>
    </row>
    <row r="544" spans="1:17" x14ac:dyDescent="0.2">
      <c r="A544" s="141"/>
      <c r="B544" s="142" t="s">
        <v>225</v>
      </c>
      <c r="C544" s="143" t="s">
        <v>8</v>
      </c>
      <c r="D544" s="91">
        <v>210</v>
      </c>
      <c r="E544" s="92"/>
      <c r="F544" s="59"/>
      <c r="G544" s="60">
        <f t="shared" si="88"/>
        <v>0</v>
      </c>
      <c r="I544" s="139">
        <f>0.222*D544*6</f>
        <v>279.71999999999997</v>
      </c>
      <c r="J544" s="28">
        <f>25.8*3+6.6</f>
        <v>84</v>
      </c>
      <c r="K544" s="28">
        <f>J544/0.1</f>
        <v>840</v>
      </c>
      <c r="L544" s="28">
        <f>K544/4</f>
        <v>210</v>
      </c>
    </row>
    <row r="545" spans="1:15" x14ac:dyDescent="0.2">
      <c r="A545" s="141"/>
      <c r="B545" s="142" t="s">
        <v>14</v>
      </c>
      <c r="C545" s="143" t="s">
        <v>9</v>
      </c>
      <c r="D545" s="91">
        <f>D542*20</f>
        <v>18.108000000000001</v>
      </c>
      <c r="E545" s="92"/>
      <c r="F545" s="59"/>
      <c r="G545" s="60">
        <f t="shared" si="88"/>
        <v>0</v>
      </c>
      <c r="I545" s="139">
        <f>SUM(I543:I544)</f>
        <v>905.40000000000009</v>
      </c>
      <c r="J545" s="139"/>
    </row>
    <row r="546" spans="1:15" x14ac:dyDescent="0.2">
      <c r="A546" s="141"/>
      <c r="B546" s="142" t="s">
        <v>459</v>
      </c>
      <c r="C546" s="143" t="s">
        <v>136</v>
      </c>
      <c r="D546" s="91">
        <f>I549/1000</f>
        <v>0.55555200000000005</v>
      </c>
      <c r="E546" s="92"/>
      <c r="F546" s="59"/>
      <c r="G546" s="60">
        <f t="shared" si="88"/>
        <v>0</v>
      </c>
      <c r="I546" s="139"/>
      <c r="J546" s="139"/>
    </row>
    <row r="547" spans="1:15" x14ac:dyDescent="0.2">
      <c r="A547" s="141"/>
      <c r="B547" s="142" t="s">
        <v>287</v>
      </c>
      <c r="C547" s="143" t="s">
        <v>8</v>
      </c>
      <c r="D547" s="91">
        <v>24</v>
      </c>
      <c r="E547" s="92"/>
      <c r="F547" s="59"/>
      <c r="G547" s="60">
        <f t="shared" si="88"/>
        <v>0</v>
      </c>
      <c r="I547" s="139">
        <f>D547*3.858*6</f>
        <v>555.55200000000002</v>
      </c>
      <c r="J547" s="28">
        <f>1.97*5</f>
        <v>9.85</v>
      </c>
      <c r="K547" s="28">
        <f>J547/0.15</f>
        <v>65.666666666666671</v>
      </c>
      <c r="L547" s="28">
        <f>K547/2</f>
        <v>32.833333333333336</v>
      </c>
    </row>
    <row r="548" spans="1:15" x14ac:dyDescent="0.2">
      <c r="A548" s="141"/>
      <c r="B548" s="142" t="s">
        <v>495</v>
      </c>
      <c r="C548" s="178" t="s">
        <v>8</v>
      </c>
      <c r="D548" s="179">
        <v>0</v>
      </c>
      <c r="E548" s="180"/>
      <c r="F548" s="181"/>
      <c r="G548" s="60">
        <f t="shared" si="88"/>
        <v>0</v>
      </c>
      <c r="H548" s="175"/>
      <c r="I548" s="139">
        <f>0.617*D548*6</f>
        <v>0</v>
      </c>
    </row>
    <row r="549" spans="1:15" x14ac:dyDescent="0.2">
      <c r="A549" s="141"/>
      <c r="B549" s="142" t="s">
        <v>14</v>
      </c>
      <c r="C549" s="143" t="s">
        <v>9</v>
      </c>
      <c r="D549" s="91">
        <f>D546*20</f>
        <v>11.111040000000001</v>
      </c>
      <c r="E549" s="92"/>
      <c r="F549" s="59"/>
      <c r="G549" s="60">
        <f t="shared" si="88"/>
        <v>0</v>
      </c>
      <c r="I549" s="139">
        <f>SUM(I547:I548)</f>
        <v>555.55200000000002</v>
      </c>
      <c r="J549" s="139"/>
    </row>
    <row r="550" spans="1:15" x14ac:dyDescent="0.2">
      <c r="A550" s="141"/>
      <c r="B550" s="142" t="s">
        <v>496</v>
      </c>
      <c r="C550" s="143" t="s">
        <v>136</v>
      </c>
      <c r="D550" s="91">
        <f>I553/1000</f>
        <v>6.2499600000000006</v>
      </c>
      <c r="E550" s="92"/>
      <c r="F550" s="59"/>
      <c r="G550" s="60">
        <f t="shared" ref="G550:G553" si="89">(D550*E550)+(D550*F550)</f>
        <v>0</v>
      </c>
      <c r="I550" s="139"/>
      <c r="J550" s="139"/>
    </row>
    <row r="551" spans="1:15" x14ac:dyDescent="0.2">
      <c r="A551" s="141"/>
      <c r="B551" s="142" t="s">
        <v>287</v>
      </c>
      <c r="C551" s="143" t="s">
        <v>8</v>
      </c>
      <c r="D551" s="91">
        <v>270</v>
      </c>
      <c r="E551" s="92"/>
      <c r="F551" s="59"/>
      <c r="G551" s="60">
        <f t="shared" si="89"/>
        <v>0</v>
      </c>
      <c r="I551" s="139">
        <f>D551*3.858*6</f>
        <v>6249.9600000000009</v>
      </c>
      <c r="J551" s="28">
        <f>48*9</f>
        <v>432</v>
      </c>
    </row>
    <row r="552" spans="1:15" x14ac:dyDescent="0.2">
      <c r="A552" s="141"/>
      <c r="B552" s="142" t="s">
        <v>501</v>
      </c>
      <c r="C552" s="178" t="s">
        <v>8</v>
      </c>
      <c r="D552" s="179">
        <v>0</v>
      </c>
      <c r="E552" s="180"/>
      <c r="F552" s="181"/>
      <c r="G552" s="60">
        <f t="shared" si="89"/>
        <v>0</v>
      </c>
      <c r="H552" s="175"/>
      <c r="I552" s="139">
        <f>0.617*D552*6</f>
        <v>0</v>
      </c>
    </row>
    <row r="553" spans="1:15" x14ac:dyDescent="0.2">
      <c r="A553" s="141"/>
      <c r="B553" s="142" t="s">
        <v>14</v>
      </c>
      <c r="C553" s="143" t="s">
        <v>9</v>
      </c>
      <c r="D553" s="91">
        <f>D550*20</f>
        <v>124.99920000000002</v>
      </c>
      <c r="E553" s="92"/>
      <c r="F553" s="59"/>
      <c r="G553" s="60">
        <f t="shared" si="89"/>
        <v>0</v>
      </c>
      <c r="I553" s="139">
        <f>SUM(I551:I552)</f>
        <v>6249.9600000000009</v>
      </c>
      <c r="J553" s="139"/>
    </row>
    <row r="554" spans="1:15" x14ac:dyDescent="0.2">
      <c r="A554" s="170" t="s">
        <v>165</v>
      </c>
      <c r="B554" s="171" t="s">
        <v>279</v>
      </c>
      <c r="C554" s="172" t="s">
        <v>136</v>
      </c>
      <c r="D554" s="173">
        <f>I556/1000</f>
        <v>2.9060699999999997</v>
      </c>
      <c r="E554" s="174"/>
      <c r="F554" s="59"/>
      <c r="G554" s="60">
        <f t="shared" si="88"/>
        <v>0</v>
      </c>
      <c r="H554" s="175"/>
      <c r="I554" s="176"/>
    </row>
    <row r="555" spans="1:15" x14ac:dyDescent="0.2">
      <c r="A555" s="177" t="s">
        <v>175</v>
      </c>
      <c r="B555" s="142" t="s">
        <v>224</v>
      </c>
      <c r="C555" s="178" t="s">
        <v>8</v>
      </c>
      <c r="D555" s="179">
        <v>785</v>
      </c>
      <c r="E555" s="180"/>
      <c r="F555" s="181"/>
      <c r="G555" s="60">
        <f t="shared" si="88"/>
        <v>0</v>
      </c>
      <c r="H555" s="175"/>
      <c r="I555" s="139">
        <f>0.617*D555*6</f>
        <v>2906.0699999999997</v>
      </c>
      <c r="K555" s="28">
        <v>153.44999999999999</v>
      </c>
      <c r="L555" s="28">
        <f>K555*15.34</f>
        <v>2353.9229999999998</v>
      </c>
      <c r="M555" s="28">
        <f>L555</f>
        <v>2353.9229999999998</v>
      </c>
      <c r="N555" s="28">
        <f>SUM(L555:M555)</f>
        <v>4707.8459999999995</v>
      </c>
      <c r="O555" s="28">
        <f>N555/6</f>
        <v>784.64099999999996</v>
      </c>
    </row>
    <row r="556" spans="1:15" x14ac:dyDescent="0.2">
      <c r="A556" s="177"/>
      <c r="B556" s="182" t="s">
        <v>14</v>
      </c>
      <c r="C556" s="178" t="s">
        <v>9</v>
      </c>
      <c r="D556" s="179">
        <f>D554*20</f>
        <v>58.121399999999994</v>
      </c>
      <c r="E556" s="180"/>
      <c r="F556" s="181"/>
      <c r="G556" s="60">
        <f t="shared" si="88"/>
        <v>0</v>
      </c>
      <c r="H556" s="175"/>
      <c r="I556" s="139">
        <f>SUM(I554:I555)</f>
        <v>2906.0699999999997</v>
      </c>
    </row>
    <row r="557" spans="1:15" x14ac:dyDescent="0.2">
      <c r="A557" s="170" t="s">
        <v>176</v>
      </c>
      <c r="B557" s="171" t="s">
        <v>172</v>
      </c>
      <c r="C557" s="172" t="s">
        <v>136</v>
      </c>
      <c r="D557" s="173">
        <f>I559/1000</f>
        <v>0.11376</v>
      </c>
      <c r="E557" s="174"/>
      <c r="F557" s="59"/>
      <c r="G557" s="60">
        <f t="shared" ref="G557:G564" si="90">(D557*E557)+(D557*F557)</f>
        <v>0</v>
      </c>
      <c r="H557" s="175"/>
      <c r="I557" s="176"/>
    </row>
    <row r="558" spans="1:15" x14ac:dyDescent="0.2">
      <c r="A558" s="141" t="s">
        <v>185</v>
      </c>
      <c r="B558" s="142" t="s">
        <v>502</v>
      </c>
      <c r="C558" s="143" t="s">
        <v>136</v>
      </c>
      <c r="D558" s="91">
        <f>I561/1000</f>
        <v>0.12708000000000003</v>
      </c>
      <c r="E558" s="92"/>
      <c r="F558" s="59"/>
      <c r="G558" s="60">
        <f t="shared" si="90"/>
        <v>0</v>
      </c>
      <c r="O558" s="28">
        <f>N558/6</f>
        <v>0</v>
      </c>
    </row>
    <row r="559" spans="1:15" x14ac:dyDescent="0.2">
      <c r="A559" s="144"/>
      <c r="B559" s="142" t="s">
        <v>222</v>
      </c>
      <c r="C559" s="143" t="s">
        <v>8</v>
      </c>
      <c r="D559" s="91">
        <v>12</v>
      </c>
      <c r="E559" s="92"/>
      <c r="F559" s="59"/>
      <c r="G559" s="60">
        <f t="shared" si="90"/>
        <v>0</v>
      </c>
      <c r="I559" s="139">
        <f>D559*1.58*6</f>
        <v>113.76</v>
      </c>
      <c r="J559" s="28">
        <f>1.5*2*4</f>
        <v>12</v>
      </c>
      <c r="L559" s="28">
        <f>2.99/0.15</f>
        <v>19.933333333333337</v>
      </c>
      <c r="M559" s="28">
        <f>L559*4</f>
        <v>79.733333333333348</v>
      </c>
      <c r="N559" s="28">
        <f>M559/8</f>
        <v>9.9666666666666686</v>
      </c>
    </row>
    <row r="560" spans="1:15" x14ac:dyDescent="0.2">
      <c r="A560" s="141"/>
      <c r="B560" s="142" t="s">
        <v>225</v>
      </c>
      <c r="C560" s="143" t="s">
        <v>8</v>
      </c>
      <c r="D560" s="91">
        <v>10</v>
      </c>
      <c r="E560" s="92"/>
      <c r="F560" s="59"/>
      <c r="G560" s="60">
        <f t="shared" si="90"/>
        <v>0</v>
      </c>
      <c r="I560" s="139">
        <f>0.222*D560*6</f>
        <v>13.32</v>
      </c>
    </row>
    <row r="561" spans="1:15" x14ac:dyDescent="0.2">
      <c r="A561" s="141"/>
      <c r="B561" s="142" t="s">
        <v>14</v>
      </c>
      <c r="C561" s="143" t="s">
        <v>9</v>
      </c>
      <c r="D561" s="91">
        <f>D558*20</f>
        <v>2.5416000000000007</v>
      </c>
      <c r="E561" s="92"/>
      <c r="F561" s="59"/>
      <c r="G561" s="60">
        <f t="shared" si="90"/>
        <v>0</v>
      </c>
      <c r="I561" s="139">
        <f>SUM(I559:I560)</f>
        <v>127.08000000000001</v>
      </c>
      <c r="J561" s="139"/>
    </row>
    <row r="562" spans="1:15" x14ac:dyDescent="0.2">
      <c r="A562" s="170" t="s">
        <v>177</v>
      </c>
      <c r="B562" s="171" t="s">
        <v>469</v>
      </c>
      <c r="C562" s="172" t="s">
        <v>136</v>
      </c>
      <c r="D562" s="173">
        <f>I564/1000</f>
        <v>0.122166</v>
      </c>
      <c r="E562" s="174"/>
      <c r="F562" s="59"/>
      <c r="G562" s="60">
        <f t="shared" si="90"/>
        <v>0</v>
      </c>
      <c r="H562" s="175"/>
      <c r="I562" s="176"/>
    </row>
    <row r="563" spans="1:15" x14ac:dyDescent="0.2">
      <c r="A563" s="177" t="s">
        <v>175</v>
      </c>
      <c r="B563" s="142" t="s">
        <v>224</v>
      </c>
      <c r="C563" s="178" t="s">
        <v>8</v>
      </c>
      <c r="D563" s="179">
        <v>33</v>
      </c>
      <c r="E563" s="180"/>
      <c r="F563" s="181"/>
      <c r="G563" s="60">
        <f t="shared" si="90"/>
        <v>0</v>
      </c>
      <c r="H563" s="175"/>
      <c r="I563" s="139">
        <f>0.617*D563*6</f>
        <v>122.166</v>
      </c>
      <c r="K563" s="28">
        <f>23.95*2+7.75*2</f>
        <v>63.4</v>
      </c>
      <c r="L563" s="28">
        <f>K563*2*0.3</f>
        <v>38.04</v>
      </c>
    </row>
    <row r="564" spans="1:15" x14ac:dyDescent="0.2">
      <c r="A564" s="177"/>
      <c r="B564" s="182" t="s">
        <v>14</v>
      </c>
      <c r="C564" s="178" t="s">
        <v>9</v>
      </c>
      <c r="D564" s="179">
        <f>D562*20</f>
        <v>2.4433199999999999</v>
      </c>
      <c r="E564" s="180"/>
      <c r="F564" s="181"/>
      <c r="G564" s="60">
        <f t="shared" si="90"/>
        <v>0</v>
      </c>
      <c r="H564" s="175"/>
      <c r="I564" s="139">
        <f>SUM(I562:I563)</f>
        <v>122.166</v>
      </c>
    </row>
    <row r="565" spans="1:15" x14ac:dyDescent="0.2">
      <c r="A565" s="170" t="s">
        <v>178</v>
      </c>
      <c r="B565" s="171" t="s">
        <v>291</v>
      </c>
      <c r="C565" s="172" t="s">
        <v>136</v>
      </c>
      <c r="D565" s="173">
        <f>I567/1000</f>
        <v>0.78112200000000009</v>
      </c>
      <c r="E565" s="174"/>
      <c r="F565" s="59"/>
      <c r="G565" s="60">
        <f t="shared" ref="G565:G567" si="91">(D565*E565)+(D565*F565)</f>
        <v>0</v>
      </c>
      <c r="H565" s="175"/>
      <c r="I565" s="176"/>
    </row>
    <row r="566" spans="1:15" x14ac:dyDescent="0.2">
      <c r="A566" s="177" t="s">
        <v>175</v>
      </c>
      <c r="B566" s="142" t="s">
        <v>224</v>
      </c>
      <c r="C566" s="178" t="s">
        <v>8</v>
      </c>
      <c r="D566" s="179">
        <v>211</v>
      </c>
      <c r="E566" s="180"/>
      <c r="F566" s="181"/>
      <c r="G566" s="60">
        <f t="shared" si="91"/>
        <v>0</v>
      </c>
      <c r="H566" s="175"/>
      <c r="I566" s="139">
        <f>0.617*D566*6</f>
        <v>781.12200000000007</v>
      </c>
      <c r="K566" s="28">
        <f>25.8+13.1+3.475+15.725+2.15+1.55+19.1+3.2</f>
        <v>84.100000000000009</v>
      </c>
      <c r="L566" s="28">
        <f>K566/0.2</f>
        <v>420.5</v>
      </c>
      <c r="M566" s="28">
        <v>106</v>
      </c>
      <c r="N566" s="28">
        <f>105</f>
        <v>105</v>
      </c>
      <c r="O566" s="28">
        <f>SUM(M566:N566)</f>
        <v>211</v>
      </c>
    </row>
    <row r="567" spans="1:15" ht="12.75" thickBot="1" x14ac:dyDescent="0.25">
      <c r="A567" s="389"/>
      <c r="B567" s="390" t="s">
        <v>14</v>
      </c>
      <c r="C567" s="387" t="s">
        <v>9</v>
      </c>
      <c r="D567" s="388">
        <f>D565*20</f>
        <v>15.622440000000001</v>
      </c>
      <c r="E567" s="184"/>
      <c r="F567" s="185"/>
      <c r="G567" s="156">
        <f t="shared" si="91"/>
        <v>0</v>
      </c>
      <c r="H567" s="175"/>
      <c r="I567" s="139">
        <f>SUM(I565:I566)</f>
        <v>781.12200000000007</v>
      </c>
    </row>
    <row r="568" spans="1:15" x14ac:dyDescent="0.2">
      <c r="A568" s="132" t="s">
        <v>288</v>
      </c>
      <c r="B568" s="133" t="s">
        <v>272</v>
      </c>
      <c r="C568" s="163"/>
      <c r="D568" s="164"/>
      <c r="E568" s="165"/>
      <c r="F568" s="166"/>
      <c r="G568" s="167">
        <f t="shared" ref="G568" si="92">(D568*E568)+(D568*F568)</f>
        <v>0</v>
      </c>
    </row>
    <row r="569" spans="1:15" x14ac:dyDescent="0.2">
      <c r="A569" s="170" t="s">
        <v>164</v>
      </c>
      <c r="B569" s="171" t="s">
        <v>272</v>
      </c>
      <c r="C569" s="172"/>
      <c r="D569" s="173"/>
      <c r="E569" s="174"/>
      <c r="F569" s="59"/>
      <c r="G569" s="60"/>
    </row>
    <row r="570" spans="1:15" x14ac:dyDescent="0.2">
      <c r="A570" s="141"/>
      <c r="B570" s="142" t="s">
        <v>442</v>
      </c>
      <c r="C570" s="143" t="s">
        <v>136</v>
      </c>
      <c r="D570" s="91">
        <f>I573/1000</f>
        <v>9.8484000000000002E-2</v>
      </c>
      <c r="E570" s="92"/>
      <c r="F570" s="59"/>
      <c r="G570" s="60">
        <f t="shared" ref="G570:G580" si="93">(D570*E570)+(D570*F570)</f>
        <v>0</v>
      </c>
    </row>
    <row r="571" spans="1:15" x14ac:dyDescent="0.2">
      <c r="A571" s="144"/>
      <c r="B571" s="142" t="s">
        <v>222</v>
      </c>
      <c r="C571" s="143" t="s">
        <v>8</v>
      </c>
      <c r="D571" s="91">
        <v>8</v>
      </c>
      <c r="E571" s="92"/>
      <c r="F571" s="59"/>
      <c r="G571" s="60">
        <f t="shared" si="93"/>
        <v>0</v>
      </c>
      <c r="I571" s="139">
        <f>D571*1.58*6</f>
        <v>75.84</v>
      </c>
      <c r="M571" s="28">
        <f>L571/5</f>
        <v>0</v>
      </c>
    </row>
    <row r="572" spans="1:15" x14ac:dyDescent="0.2">
      <c r="A572" s="141"/>
      <c r="B572" s="142" t="s">
        <v>225</v>
      </c>
      <c r="C572" s="143" t="s">
        <v>8</v>
      </c>
      <c r="D572" s="91">
        <v>17</v>
      </c>
      <c r="E572" s="92"/>
      <c r="F572" s="59"/>
      <c r="G572" s="60">
        <f t="shared" si="93"/>
        <v>0</v>
      </c>
      <c r="I572" s="139">
        <f>0.222*D572*6</f>
        <v>22.643999999999998</v>
      </c>
      <c r="J572" s="28">
        <f>3.4*2</f>
        <v>6.8</v>
      </c>
      <c r="K572" s="28">
        <f>J572/0.1</f>
        <v>68</v>
      </c>
      <c r="L572" s="28">
        <f>K572/4</f>
        <v>17</v>
      </c>
    </row>
    <row r="573" spans="1:15" x14ac:dyDescent="0.2">
      <c r="A573" s="141"/>
      <c r="B573" s="142" t="s">
        <v>14</v>
      </c>
      <c r="C573" s="143" t="s">
        <v>9</v>
      </c>
      <c r="D573" s="91">
        <f>D570*20</f>
        <v>1.9696800000000001</v>
      </c>
      <c r="E573" s="92"/>
      <c r="F573" s="59"/>
      <c r="G573" s="60">
        <f t="shared" si="93"/>
        <v>0</v>
      </c>
      <c r="I573" s="139">
        <f>SUM(I571:I572)</f>
        <v>98.484000000000009</v>
      </c>
    </row>
    <row r="574" spans="1:15" x14ac:dyDescent="0.2">
      <c r="A574" s="141"/>
      <c r="B574" s="142" t="s">
        <v>476</v>
      </c>
      <c r="C574" s="143" t="s">
        <v>136</v>
      </c>
      <c r="D574" s="91">
        <f>I577/1000</f>
        <v>0.20691000000000004</v>
      </c>
      <c r="E574" s="92"/>
      <c r="F574" s="59"/>
      <c r="G574" s="60">
        <f t="shared" si="93"/>
        <v>0</v>
      </c>
      <c r="I574" s="139"/>
    </row>
    <row r="575" spans="1:15" x14ac:dyDescent="0.2">
      <c r="A575" s="141"/>
      <c r="B575" s="142" t="s">
        <v>286</v>
      </c>
      <c r="C575" s="143" t="s">
        <v>8</v>
      </c>
      <c r="D575" s="91">
        <v>11</v>
      </c>
      <c r="E575" s="92"/>
      <c r="F575" s="59"/>
      <c r="G575" s="60">
        <f t="shared" si="93"/>
        <v>0</v>
      </c>
      <c r="I575" s="139">
        <f>D575*2.469*6</f>
        <v>162.95400000000001</v>
      </c>
      <c r="J575" s="28">
        <f>6.5*2</f>
        <v>13</v>
      </c>
      <c r="K575" s="28">
        <f>(J575/0.1)</f>
        <v>130</v>
      </c>
      <c r="L575" s="28">
        <f>K575/4</f>
        <v>32.5</v>
      </c>
    </row>
    <row r="576" spans="1:15" x14ac:dyDescent="0.2">
      <c r="A576" s="141"/>
      <c r="B576" s="142" t="s">
        <v>225</v>
      </c>
      <c r="C576" s="143" t="s">
        <v>8</v>
      </c>
      <c r="D576" s="91">
        <v>33</v>
      </c>
      <c r="E576" s="92"/>
      <c r="F576" s="59"/>
      <c r="G576" s="60">
        <f t="shared" si="93"/>
        <v>0</v>
      </c>
      <c r="I576" s="139">
        <f>0.222*D576*6</f>
        <v>43.956000000000003</v>
      </c>
      <c r="J576" s="139"/>
    </row>
    <row r="577" spans="1:15" x14ac:dyDescent="0.2">
      <c r="A577" s="141"/>
      <c r="B577" s="142" t="s">
        <v>14</v>
      </c>
      <c r="C577" s="143" t="s">
        <v>9</v>
      </c>
      <c r="D577" s="91">
        <f>D574*20</f>
        <v>4.1382000000000012</v>
      </c>
      <c r="E577" s="92"/>
      <c r="F577" s="59"/>
      <c r="G577" s="60">
        <f t="shared" si="93"/>
        <v>0</v>
      </c>
      <c r="I577" s="139">
        <f>SUM(I575:I576)</f>
        <v>206.91000000000003</v>
      </c>
      <c r="J577" s="139"/>
    </row>
    <row r="578" spans="1:15" x14ac:dyDescent="0.2">
      <c r="A578" s="170" t="s">
        <v>165</v>
      </c>
      <c r="B578" s="171" t="s">
        <v>279</v>
      </c>
      <c r="C578" s="172" t="s">
        <v>136</v>
      </c>
      <c r="D578" s="173">
        <f>I580/1000</f>
        <v>0.54049199999999997</v>
      </c>
      <c r="E578" s="174"/>
      <c r="F578" s="59"/>
      <c r="G578" s="60">
        <f t="shared" si="93"/>
        <v>0</v>
      </c>
      <c r="H578" s="175"/>
      <c r="I578" s="176"/>
    </row>
    <row r="579" spans="1:15" x14ac:dyDescent="0.2">
      <c r="A579" s="177" t="s">
        <v>175</v>
      </c>
      <c r="B579" s="142" t="s">
        <v>224</v>
      </c>
      <c r="C579" s="178" t="s">
        <v>8</v>
      </c>
      <c r="D579" s="179">
        <v>146</v>
      </c>
      <c r="E579" s="180"/>
      <c r="F579" s="181"/>
      <c r="G579" s="60">
        <f t="shared" si="93"/>
        <v>0</v>
      </c>
      <c r="H579" s="175"/>
      <c r="I579" s="139">
        <f>0.617*D579*6</f>
        <v>540.49199999999996</v>
      </c>
      <c r="K579" s="28">
        <v>28.3</v>
      </c>
      <c r="L579" s="28">
        <f>K579*15.34</f>
        <v>434.12200000000001</v>
      </c>
      <c r="M579" s="28">
        <f>L579</f>
        <v>434.12200000000001</v>
      </c>
      <c r="N579" s="28">
        <f>SUM(L579:M579)</f>
        <v>868.24400000000003</v>
      </c>
      <c r="O579" s="28">
        <f>N579/6</f>
        <v>144.70733333333334</v>
      </c>
    </row>
    <row r="580" spans="1:15" x14ac:dyDescent="0.2">
      <c r="A580" s="177"/>
      <c r="B580" s="182" t="s">
        <v>14</v>
      </c>
      <c r="C580" s="178" t="s">
        <v>9</v>
      </c>
      <c r="D580" s="179">
        <f>D578*20</f>
        <v>10.809839999999999</v>
      </c>
      <c r="E580" s="180"/>
      <c r="F580" s="181"/>
      <c r="G580" s="60">
        <f t="shared" si="93"/>
        <v>0</v>
      </c>
      <c r="H580" s="175"/>
      <c r="I580" s="139">
        <f>SUM(I578:I579)</f>
        <v>540.49199999999996</v>
      </c>
    </row>
    <row r="581" spans="1:15" x14ac:dyDescent="0.2">
      <c r="A581" s="132" t="s">
        <v>154</v>
      </c>
      <c r="B581" s="133" t="s">
        <v>201</v>
      </c>
      <c r="C581" s="163"/>
      <c r="D581" s="164"/>
      <c r="E581" s="165"/>
      <c r="F581" s="166"/>
      <c r="G581" s="167">
        <f>(D581*E581)+(D581*F581)</f>
        <v>0</v>
      </c>
    </row>
    <row r="582" spans="1:15" x14ac:dyDescent="0.2">
      <c r="A582" s="186" t="s">
        <v>185</v>
      </c>
      <c r="B582" s="145" t="s">
        <v>289</v>
      </c>
      <c r="C582" s="143"/>
      <c r="D582" s="91"/>
      <c r="E582" s="92"/>
      <c r="F582" s="59"/>
      <c r="G582" s="60">
        <f t="shared" ref="G582:G592" si="94">(D582*E582)+(D582*F582)</f>
        <v>0</v>
      </c>
    </row>
    <row r="583" spans="1:15" ht="49.5" customHeight="1" x14ac:dyDescent="0.2">
      <c r="A583" s="187"/>
      <c r="B583" s="142" t="s">
        <v>290</v>
      </c>
      <c r="C583" s="143" t="s">
        <v>390</v>
      </c>
      <c r="D583" s="91">
        <v>19.7</v>
      </c>
      <c r="E583" s="92"/>
      <c r="F583" s="59"/>
      <c r="G583" s="60">
        <f t="shared" si="94"/>
        <v>0</v>
      </c>
      <c r="I583" s="28">
        <f>25.6*2*0.2*0.2*4</f>
        <v>8.1920000000000019</v>
      </c>
      <c r="J583" s="28">
        <f>0.45*0.125*25.6*2*4</f>
        <v>11.520000000000001</v>
      </c>
      <c r="L583" s="28">
        <f>1.2*0.15*0.15*2*3</f>
        <v>0.16200000000000001</v>
      </c>
      <c r="M583" s="28">
        <f>SUM(I583:L583)</f>
        <v>19.874000000000002</v>
      </c>
    </row>
    <row r="584" spans="1:15" ht="12" customHeight="1" x14ac:dyDescent="0.2">
      <c r="A584" s="186" t="s">
        <v>186</v>
      </c>
      <c r="B584" s="145" t="s">
        <v>291</v>
      </c>
      <c r="C584" s="143"/>
      <c r="D584" s="91"/>
      <c r="E584" s="92"/>
      <c r="F584" s="59"/>
      <c r="G584" s="60">
        <f t="shared" ref="G584:G585" si="95">(D584*E584)+(D584*F584)</f>
        <v>0</v>
      </c>
    </row>
    <row r="585" spans="1:15" ht="49.5" customHeight="1" x14ac:dyDescent="0.2">
      <c r="A585" s="187"/>
      <c r="B585" s="142" t="s">
        <v>566</v>
      </c>
      <c r="C585" s="143" t="s">
        <v>390</v>
      </c>
      <c r="D585" s="91">
        <v>7.15</v>
      </c>
      <c r="E585" s="92"/>
      <c r="F585" s="59"/>
      <c r="G585" s="60">
        <f t="shared" si="95"/>
        <v>0</v>
      </c>
    </row>
    <row r="586" spans="1:15" ht="12" customHeight="1" x14ac:dyDescent="0.2">
      <c r="A586" s="186" t="s">
        <v>188</v>
      </c>
      <c r="B586" s="145" t="s">
        <v>359</v>
      </c>
      <c r="C586" s="143"/>
      <c r="D586" s="91"/>
      <c r="E586" s="92"/>
      <c r="F586" s="59"/>
      <c r="G586" s="60">
        <f>(D586*E586)+(D586*F586)</f>
        <v>0</v>
      </c>
    </row>
    <row r="587" spans="1:15" ht="61.5" customHeight="1" x14ac:dyDescent="0.2">
      <c r="A587" s="187"/>
      <c r="B587" s="188" t="s">
        <v>360</v>
      </c>
      <c r="C587" s="143" t="s">
        <v>390</v>
      </c>
      <c r="D587" s="189">
        <v>1.6</v>
      </c>
      <c r="E587" s="44"/>
      <c r="F587" s="59"/>
      <c r="G587" s="60">
        <f t="shared" ref="G587" si="96">(D587*E587)+(D587*F587)</f>
        <v>0</v>
      </c>
    </row>
    <row r="588" spans="1:15" ht="15.75" customHeight="1" x14ac:dyDescent="0.2">
      <c r="A588" s="186" t="s">
        <v>285</v>
      </c>
      <c r="B588" s="145" t="s">
        <v>361</v>
      </c>
      <c r="C588" s="143"/>
      <c r="D588" s="91"/>
      <c r="E588" s="92"/>
      <c r="F588" s="59"/>
      <c r="G588" s="60">
        <f>(D588*E588)+(D588*F588)</f>
        <v>0</v>
      </c>
    </row>
    <row r="589" spans="1:15" ht="72" customHeight="1" x14ac:dyDescent="0.2">
      <c r="A589" s="187"/>
      <c r="B589" s="188" t="s">
        <v>362</v>
      </c>
      <c r="C589" s="143" t="s">
        <v>390</v>
      </c>
      <c r="D589" s="189">
        <v>1.2</v>
      </c>
      <c r="E589" s="44"/>
      <c r="F589" s="59"/>
      <c r="G589" s="60">
        <f t="shared" ref="G589" si="97">(D589*E589)+(D589*F589)</f>
        <v>0</v>
      </c>
      <c r="I589" s="28">
        <f>1.4*0.95*0.075*2*4</f>
        <v>0.79799999999999993</v>
      </c>
      <c r="J589" s="28">
        <f>0.2*0.2*1.4*8</f>
        <v>0.44800000000000006</v>
      </c>
      <c r="K589" s="28">
        <f>SUM(I589:J589)</f>
        <v>1.246</v>
      </c>
    </row>
    <row r="590" spans="1:15" x14ac:dyDescent="0.2">
      <c r="A590" s="144" t="s">
        <v>155</v>
      </c>
      <c r="B590" s="145" t="s">
        <v>252</v>
      </c>
      <c r="C590" s="143"/>
      <c r="D590" s="91"/>
      <c r="E590" s="92"/>
      <c r="F590" s="59"/>
      <c r="G590" s="60">
        <f t="shared" si="94"/>
        <v>0</v>
      </c>
    </row>
    <row r="591" spans="1:15" ht="36.75" customHeight="1" x14ac:dyDescent="0.2">
      <c r="A591" s="187" t="s">
        <v>65</v>
      </c>
      <c r="B591" s="142" t="s">
        <v>392</v>
      </c>
      <c r="C591" s="143" t="s">
        <v>393</v>
      </c>
      <c r="D591" s="91">
        <f>D90+D654+280.9</f>
        <v>638.26</v>
      </c>
      <c r="E591" s="92"/>
      <c r="F591" s="59"/>
      <c r="G591" s="60">
        <f t="shared" si="94"/>
        <v>0</v>
      </c>
      <c r="J591" s="139"/>
    </row>
    <row r="592" spans="1:15" ht="38.25" customHeight="1" x14ac:dyDescent="0.2">
      <c r="A592" s="187" t="s">
        <v>66</v>
      </c>
      <c r="B592" s="142" t="s">
        <v>394</v>
      </c>
      <c r="C592" s="143" t="s">
        <v>15</v>
      </c>
      <c r="D592" s="91">
        <v>1</v>
      </c>
      <c r="E592" s="92"/>
      <c r="F592" s="59"/>
      <c r="G592" s="60">
        <f t="shared" si="94"/>
        <v>0</v>
      </c>
      <c r="I592" s="139"/>
      <c r="J592" s="169"/>
      <c r="K592" s="169"/>
      <c r="L592" s="139"/>
      <c r="M592" s="169"/>
    </row>
    <row r="593" spans="1:13" ht="36" x14ac:dyDescent="0.2">
      <c r="A593" s="187" t="s">
        <v>70</v>
      </c>
      <c r="B593" s="142" t="s">
        <v>395</v>
      </c>
      <c r="C593" s="143" t="s">
        <v>15</v>
      </c>
      <c r="D593" s="91">
        <v>1</v>
      </c>
      <c r="E593" s="92"/>
      <c r="F593" s="59"/>
      <c r="G593" s="60"/>
      <c r="I593" s="169"/>
      <c r="J593" s="169"/>
      <c r="K593" s="169"/>
      <c r="L593" s="169"/>
      <c r="M593" s="169"/>
    </row>
    <row r="594" spans="1:13" x14ac:dyDescent="0.2">
      <c r="A594" s="141"/>
      <c r="B594" s="190"/>
      <c r="C594" s="146"/>
      <c r="D594" s="147"/>
      <c r="E594" s="92"/>
      <c r="F594" s="59"/>
      <c r="G594" s="60"/>
      <c r="I594" s="169"/>
      <c r="J594" s="169"/>
      <c r="K594" s="169"/>
      <c r="L594" s="169"/>
      <c r="M594" s="169"/>
    </row>
    <row r="595" spans="1:13" x14ac:dyDescent="0.2">
      <c r="A595" s="141"/>
      <c r="B595" s="190"/>
      <c r="C595" s="146"/>
      <c r="D595" s="147"/>
      <c r="E595" s="92"/>
      <c r="F595" s="59"/>
      <c r="G595" s="60"/>
      <c r="I595" s="169"/>
      <c r="J595" s="169"/>
      <c r="K595" s="169"/>
      <c r="L595" s="169"/>
      <c r="M595" s="169"/>
    </row>
    <row r="596" spans="1:13" x14ac:dyDescent="0.2">
      <c r="A596" s="141"/>
      <c r="B596" s="190"/>
      <c r="C596" s="146"/>
      <c r="D596" s="147"/>
      <c r="E596" s="92"/>
      <c r="F596" s="59"/>
      <c r="G596" s="60"/>
      <c r="I596" s="169"/>
      <c r="J596" s="169"/>
      <c r="K596" s="169"/>
      <c r="L596" s="169"/>
      <c r="M596" s="169"/>
    </row>
    <row r="597" spans="1:13" x14ac:dyDescent="0.2">
      <c r="A597" s="141"/>
      <c r="B597" s="190"/>
      <c r="C597" s="146"/>
      <c r="D597" s="147"/>
      <c r="E597" s="92"/>
      <c r="F597" s="59"/>
      <c r="G597" s="60"/>
      <c r="I597" s="169"/>
      <c r="J597" s="169"/>
      <c r="K597" s="169"/>
      <c r="L597" s="169"/>
      <c r="M597" s="169"/>
    </row>
    <row r="598" spans="1:13" x14ac:dyDescent="0.2">
      <c r="A598" s="141"/>
      <c r="B598" s="190"/>
      <c r="C598" s="146"/>
      <c r="D598" s="147"/>
      <c r="E598" s="92"/>
      <c r="F598" s="59"/>
      <c r="G598" s="60"/>
      <c r="I598" s="169"/>
      <c r="J598" s="169"/>
      <c r="K598" s="169"/>
      <c r="L598" s="169"/>
      <c r="M598" s="169"/>
    </row>
    <row r="599" spans="1:13" x14ac:dyDescent="0.2">
      <c r="A599" s="141"/>
      <c r="B599" s="190"/>
      <c r="C599" s="146"/>
      <c r="D599" s="147"/>
      <c r="E599" s="92"/>
      <c r="F599" s="59"/>
      <c r="G599" s="60"/>
      <c r="I599" s="169"/>
      <c r="J599" s="169"/>
      <c r="K599" s="169"/>
      <c r="L599" s="169"/>
      <c r="M599" s="169"/>
    </row>
    <row r="600" spans="1:13" x14ac:dyDescent="0.2">
      <c r="A600" s="141"/>
      <c r="B600" s="190"/>
      <c r="C600" s="146"/>
      <c r="D600" s="147"/>
      <c r="E600" s="92"/>
      <c r="F600" s="59"/>
      <c r="G600" s="60"/>
      <c r="I600" s="169"/>
      <c r="J600" s="169"/>
      <c r="K600" s="169"/>
      <c r="L600" s="169"/>
      <c r="M600" s="169"/>
    </row>
    <row r="601" spans="1:13" x14ac:dyDescent="0.2">
      <c r="A601" s="141"/>
      <c r="B601" s="190"/>
      <c r="C601" s="146"/>
      <c r="D601" s="147"/>
      <c r="E601" s="92"/>
      <c r="F601" s="59"/>
      <c r="G601" s="60"/>
      <c r="I601" s="169"/>
      <c r="J601" s="169"/>
      <c r="K601" s="169"/>
      <c r="L601" s="169"/>
      <c r="M601" s="169"/>
    </row>
    <row r="602" spans="1:13" ht="12.75" thickBot="1" x14ac:dyDescent="0.25">
      <c r="A602" s="141"/>
      <c r="B602" s="190"/>
      <c r="C602" s="146"/>
      <c r="D602" s="147"/>
      <c r="E602" s="92"/>
      <c r="F602" s="59"/>
      <c r="G602" s="60"/>
      <c r="I602" s="169"/>
      <c r="J602" s="169"/>
      <c r="K602" s="169"/>
      <c r="L602" s="169"/>
      <c r="M602" s="169"/>
    </row>
    <row r="603" spans="1:13" x14ac:dyDescent="0.2">
      <c r="A603" s="68"/>
      <c r="B603" s="69" t="s">
        <v>150</v>
      </c>
      <c r="C603" s="113"/>
      <c r="D603" s="71"/>
      <c r="E603" s="72"/>
      <c r="F603" s="191"/>
      <c r="G603" s="192"/>
    </row>
    <row r="604" spans="1:13" ht="12.75" thickBot="1" x14ac:dyDescent="0.25">
      <c r="A604" s="73"/>
      <c r="B604" s="74" t="s">
        <v>173</v>
      </c>
      <c r="C604" s="114"/>
      <c r="D604" s="76"/>
      <c r="E604" s="77"/>
      <c r="F604" s="155"/>
      <c r="G604" s="193">
        <f>SUM(G90:G592)</f>
        <v>0</v>
      </c>
    </row>
    <row r="605" spans="1:13" x14ac:dyDescent="0.2">
      <c r="A605" s="40"/>
      <c r="B605" s="80"/>
      <c r="C605" s="56"/>
      <c r="D605" s="57"/>
      <c r="E605" s="44"/>
      <c r="F605" s="59"/>
      <c r="G605" s="150"/>
    </row>
    <row r="606" spans="1:13" x14ac:dyDescent="0.2">
      <c r="A606" s="40"/>
      <c r="B606" s="41" t="s">
        <v>105</v>
      </c>
      <c r="C606" s="56"/>
      <c r="D606" s="57"/>
      <c r="E606" s="44"/>
      <c r="F606" s="59"/>
      <c r="G606" s="60"/>
    </row>
    <row r="607" spans="1:13" x14ac:dyDescent="0.2">
      <c r="A607" s="40"/>
      <c r="B607" s="49" t="s">
        <v>106</v>
      </c>
      <c r="C607" s="56"/>
      <c r="D607" s="57"/>
      <c r="E607" s="44"/>
      <c r="F607" s="59"/>
      <c r="G607" s="60"/>
    </row>
    <row r="608" spans="1:13" x14ac:dyDescent="0.2">
      <c r="A608" s="194">
        <v>4.0999999999999996</v>
      </c>
      <c r="B608" s="55" t="s">
        <v>41</v>
      </c>
      <c r="C608" s="56"/>
      <c r="D608" s="57"/>
      <c r="E608" s="44"/>
      <c r="F608" s="59"/>
      <c r="G608" s="60"/>
    </row>
    <row r="609" spans="1:16" ht="73.5" customHeight="1" x14ac:dyDescent="0.2">
      <c r="A609" s="40"/>
      <c r="B609" s="62" t="s">
        <v>411</v>
      </c>
      <c r="C609" s="62"/>
      <c r="D609" s="62"/>
      <c r="E609" s="62"/>
      <c r="F609" s="62"/>
      <c r="G609" s="160"/>
    </row>
    <row r="610" spans="1:16" ht="75.75" customHeight="1" x14ac:dyDescent="0.2">
      <c r="A610" s="40"/>
      <c r="B610" s="62" t="s">
        <v>412</v>
      </c>
      <c r="C610" s="195"/>
      <c r="D610" s="195"/>
      <c r="E610" s="195"/>
      <c r="F610" s="195"/>
      <c r="G610" s="196"/>
    </row>
    <row r="611" spans="1:16" ht="39" customHeight="1" x14ac:dyDescent="0.2">
      <c r="A611" s="40"/>
      <c r="B611" s="62" t="s">
        <v>259</v>
      </c>
      <c r="C611" s="195"/>
      <c r="D611" s="195"/>
      <c r="E611" s="195"/>
      <c r="F611" s="195"/>
      <c r="G611" s="196"/>
    </row>
    <row r="612" spans="1:16" x14ac:dyDescent="0.2">
      <c r="A612" s="144" t="s">
        <v>137</v>
      </c>
      <c r="B612" s="197" t="s">
        <v>140</v>
      </c>
      <c r="C612" s="143"/>
      <c r="D612" s="91"/>
      <c r="E612" s="92"/>
      <c r="F612" s="59"/>
      <c r="G612" s="60"/>
    </row>
    <row r="613" spans="1:16" x14ac:dyDescent="0.2">
      <c r="A613" s="132" t="s">
        <v>151</v>
      </c>
      <c r="B613" s="198" t="s">
        <v>139</v>
      </c>
      <c r="C613" s="134"/>
      <c r="D613" s="135"/>
      <c r="E613" s="136"/>
      <c r="F613" s="137"/>
      <c r="G613" s="138"/>
      <c r="I613" s="139"/>
    </row>
    <row r="614" spans="1:16" x14ac:dyDescent="0.2">
      <c r="A614" s="144"/>
      <c r="B614" s="199" t="s">
        <v>197</v>
      </c>
      <c r="C614" s="146"/>
      <c r="D614" s="147"/>
      <c r="E614" s="148"/>
      <c r="F614" s="149"/>
      <c r="G614" s="60"/>
    </row>
    <row r="615" spans="1:16" ht="24" x14ac:dyDescent="0.2">
      <c r="A615" s="141"/>
      <c r="B615" s="142" t="s">
        <v>244</v>
      </c>
      <c r="C615" s="143" t="s">
        <v>393</v>
      </c>
      <c r="D615" s="91">
        <v>84.3</v>
      </c>
      <c r="E615" s="92"/>
      <c r="F615" s="59"/>
      <c r="G615" s="60">
        <f t="shared" ref="G615" si="98">(D615*E615)+(D615*F615)</f>
        <v>0</v>
      </c>
      <c r="I615" s="169">
        <f>I205+I206+60.45</f>
        <v>210.61500000000001</v>
      </c>
      <c r="J615" s="169">
        <f>I615*0.4</f>
        <v>84.246000000000009</v>
      </c>
    </row>
    <row r="616" spans="1:16" x14ac:dyDescent="0.2">
      <c r="A616" s="132" t="s">
        <v>152</v>
      </c>
      <c r="B616" s="198" t="s">
        <v>67</v>
      </c>
      <c r="C616" s="134"/>
      <c r="D616" s="135"/>
      <c r="E616" s="136"/>
      <c r="F616" s="137"/>
      <c r="G616" s="138"/>
    </row>
    <row r="617" spans="1:16" x14ac:dyDescent="0.2">
      <c r="A617" s="144" t="s">
        <v>164</v>
      </c>
      <c r="B617" s="199" t="s">
        <v>294</v>
      </c>
      <c r="C617" s="146"/>
      <c r="D617" s="147"/>
      <c r="E617" s="148"/>
      <c r="F617" s="149"/>
      <c r="G617" s="60">
        <f t="shared" ref="G617:G619" si="99">(D617*E617)+(D617*F617)</f>
        <v>0</v>
      </c>
    </row>
    <row r="618" spans="1:16" ht="24" x14ac:dyDescent="0.2">
      <c r="A618" s="187" t="s">
        <v>185</v>
      </c>
      <c r="B618" s="142" t="s">
        <v>508</v>
      </c>
      <c r="C618" s="143" t="s">
        <v>393</v>
      </c>
      <c r="D618" s="91">
        <v>173.75</v>
      </c>
      <c r="E618" s="92"/>
      <c r="F618" s="59"/>
      <c r="G618" s="60">
        <f t="shared" si="99"/>
        <v>0</v>
      </c>
      <c r="I618" s="28">
        <f>2.775*4+2.85*6*2+5.525+4.03+2.95+2.875</f>
        <v>60.680000000000007</v>
      </c>
      <c r="J618" s="28">
        <f>I618*2.86</f>
        <v>173.54480000000001</v>
      </c>
      <c r="K618" s="28">
        <f>11.475+2.225+2.45+2.425+3.3</f>
        <v>21.875</v>
      </c>
      <c r="L618" s="28">
        <f>K618*2.56</f>
        <v>56</v>
      </c>
      <c r="M618" s="28">
        <f>L618+J618</f>
        <v>229.54480000000001</v>
      </c>
      <c r="N618" s="28">
        <v>64.099999999999994</v>
      </c>
      <c r="O618" s="28">
        <f>M618-N618</f>
        <v>165.44480000000001</v>
      </c>
      <c r="P618" s="28">
        <f>O618*105%</f>
        <v>173.71704000000003</v>
      </c>
    </row>
    <row r="619" spans="1:16" x14ac:dyDescent="0.2">
      <c r="A619" s="144" t="s">
        <v>165</v>
      </c>
      <c r="B619" s="199" t="s">
        <v>293</v>
      </c>
      <c r="C619" s="146"/>
      <c r="D619" s="147"/>
      <c r="E619" s="148"/>
      <c r="F619" s="149"/>
      <c r="G619" s="60">
        <f t="shared" si="99"/>
        <v>0</v>
      </c>
    </row>
    <row r="620" spans="1:16" ht="24" x14ac:dyDescent="0.2">
      <c r="A620" s="187" t="s">
        <v>185</v>
      </c>
      <c r="B620" s="142" t="s">
        <v>508</v>
      </c>
      <c r="C620" s="143" t="s">
        <v>393</v>
      </c>
      <c r="D620" s="91">
        <v>53.4</v>
      </c>
      <c r="E620" s="92"/>
      <c r="F620" s="59"/>
      <c r="G620" s="60">
        <f t="shared" ref="G620" si="100">(D620*E620)+(D620*F620)</f>
        <v>0</v>
      </c>
      <c r="I620" s="28">
        <f>0.775*2+0.612*4+2.425*2+3.025+4.03+1.38+2.75</f>
        <v>20.032999999999998</v>
      </c>
      <c r="J620" s="28">
        <f>I620*2.86</f>
        <v>57.29437999999999</v>
      </c>
      <c r="L620" s="28">
        <f>0.775*2+0.612*4+2.425*2</f>
        <v>8.847999999999999</v>
      </c>
      <c r="M620" s="28">
        <f>L620*0.35</f>
        <v>3.0967999999999996</v>
      </c>
      <c r="N620" s="28">
        <f>J620+M620</f>
        <v>60.391179999999991</v>
      </c>
      <c r="O620" s="28">
        <v>7</v>
      </c>
      <c r="P620" s="28">
        <f>N620-O620</f>
        <v>53.391179999999991</v>
      </c>
    </row>
    <row r="621" spans="1:16" x14ac:dyDescent="0.2">
      <c r="A621" s="132" t="s">
        <v>57</v>
      </c>
      <c r="B621" s="198" t="s">
        <v>69</v>
      </c>
      <c r="C621" s="134"/>
      <c r="D621" s="135"/>
      <c r="E621" s="136"/>
      <c r="F621" s="137"/>
      <c r="G621" s="138"/>
    </row>
    <row r="622" spans="1:16" x14ac:dyDescent="0.2">
      <c r="A622" s="144" t="s">
        <v>164</v>
      </c>
      <c r="B622" s="199" t="s">
        <v>294</v>
      </c>
      <c r="C622" s="146"/>
      <c r="D622" s="147"/>
      <c r="E622" s="148"/>
      <c r="F622" s="149"/>
      <c r="G622" s="60">
        <f t="shared" ref="G622:G625" si="101">(D622*E622)+(D622*F622)</f>
        <v>0</v>
      </c>
    </row>
    <row r="623" spans="1:16" ht="24" x14ac:dyDescent="0.2">
      <c r="A623" s="187" t="s">
        <v>185</v>
      </c>
      <c r="B623" s="142" t="s">
        <v>508</v>
      </c>
      <c r="C623" s="143" t="s">
        <v>393</v>
      </c>
      <c r="D623" s="91">
        <v>185.12</v>
      </c>
      <c r="E623" s="92"/>
      <c r="F623" s="59"/>
      <c r="G623" s="60">
        <f t="shared" si="101"/>
        <v>0</v>
      </c>
      <c r="I623" s="28">
        <f>2.775*4+2.85*6*2+5.525*2+6.6</f>
        <v>62.95000000000001</v>
      </c>
      <c r="J623" s="28">
        <f>I623*2.86</f>
        <v>180.03700000000003</v>
      </c>
      <c r="K623" s="28">
        <f>11.475+2.225+2.45+2.425+3.3</f>
        <v>21.875</v>
      </c>
      <c r="L623" s="28">
        <f>K623*2.56</f>
        <v>56</v>
      </c>
      <c r="M623" s="28">
        <f>L623+J623</f>
        <v>236.03700000000003</v>
      </c>
      <c r="N623" s="28">
        <v>59.74</v>
      </c>
      <c r="O623" s="28">
        <f>M623-N623</f>
        <v>176.29700000000003</v>
      </c>
      <c r="P623" s="28">
        <f>O623*105%</f>
        <v>185.11185000000003</v>
      </c>
    </row>
    <row r="624" spans="1:16" x14ac:dyDescent="0.2">
      <c r="A624" s="144" t="s">
        <v>165</v>
      </c>
      <c r="B624" s="199" t="s">
        <v>293</v>
      </c>
      <c r="C624" s="146"/>
      <c r="D624" s="147"/>
      <c r="E624" s="148"/>
      <c r="F624" s="149"/>
      <c r="G624" s="60">
        <f t="shared" si="101"/>
        <v>0</v>
      </c>
    </row>
    <row r="625" spans="1:16" ht="24" x14ac:dyDescent="0.2">
      <c r="A625" s="187" t="s">
        <v>185</v>
      </c>
      <c r="B625" s="142" t="s">
        <v>508</v>
      </c>
      <c r="C625" s="143" t="s">
        <v>393</v>
      </c>
      <c r="D625" s="91">
        <v>37.15</v>
      </c>
      <c r="E625" s="92"/>
      <c r="F625" s="59"/>
      <c r="G625" s="60">
        <f t="shared" si="101"/>
        <v>0</v>
      </c>
      <c r="I625" s="28">
        <f>4+3.35+3+1.475*2+0.325+0.275*2</f>
        <v>14.175000000000001</v>
      </c>
      <c r="J625" s="28">
        <f>I625*3.035</f>
        <v>43.021125000000005</v>
      </c>
      <c r="K625" s="28">
        <v>5.88</v>
      </c>
      <c r="L625" s="28">
        <f>J625-K625</f>
        <v>37.141125000000002</v>
      </c>
    </row>
    <row r="626" spans="1:16" x14ac:dyDescent="0.2">
      <c r="A626" s="132" t="s">
        <v>153</v>
      </c>
      <c r="B626" s="198" t="s">
        <v>71</v>
      </c>
      <c r="C626" s="134"/>
      <c r="D626" s="135"/>
      <c r="E626" s="136"/>
      <c r="F626" s="137"/>
      <c r="G626" s="138"/>
    </row>
    <row r="627" spans="1:16" x14ac:dyDescent="0.2">
      <c r="A627" s="144" t="s">
        <v>164</v>
      </c>
      <c r="B627" s="199" t="s">
        <v>294</v>
      </c>
      <c r="C627" s="146"/>
      <c r="D627" s="147"/>
      <c r="E627" s="148"/>
      <c r="F627" s="149"/>
      <c r="G627" s="60">
        <f t="shared" ref="G627:G630" si="102">(D627*E627)+(D627*F627)</f>
        <v>0</v>
      </c>
    </row>
    <row r="628" spans="1:16" ht="24" x14ac:dyDescent="0.2">
      <c r="A628" s="187" t="s">
        <v>185</v>
      </c>
      <c r="B628" s="142" t="s">
        <v>508</v>
      </c>
      <c r="C628" s="143" t="s">
        <v>393</v>
      </c>
      <c r="D628" s="91">
        <v>153.19999999999999</v>
      </c>
      <c r="E628" s="92"/>
      <c r="F628" s="59"/>
      <c r="G628" s="60">
        <f t="shared" si="102"/>
        <v>0</v>
      </c>
      <c r="I628" s="28">
        <f>2.775*4+2.85*6*2+3.83+3.1+2.95+2.9+0.9</f>
        <v>58.980000000000004</v>
      </c>
      <c r="J628" s="28">
        <f>I628*2.86</f>
        <v>168.68280000000001</v>
      </c>
      <c r="K628" s="28">
        <f>10.1+11.5</f>
        <v>21.6</v>
      </c>
      <c r="L628" s="28">
        <f>K628*2.56</f>
        <v>55.296000000000006</v>
      </c>
      <c r="M628" s="28">
        <f>L628+J628</f>
        <v>223.97880000000004</v>
      </c>
      <c r="N628" s="28">
        <v>78.099999999999994</v>
      </c>
      <c r="O628" s="28">
        <f>M628-N628</f>
        <v>145.87880000000004</v>
      </c>
      <c r="P628" s="28">
        <f>O628*105%</f>
        <v>153.17274000000006</v>
      </c>
    </row>
    <row r="629" spans="1:16" x14ac:dyDescent="0.2">
      <c r="A629" s="144" t="s">
        <v>165</v>
      </c>
      <c r="B629" s="199" t="s">
        <v>293</v>
      </c>
      <c r="C629" s="146"/>
      <c r="D629" s="147"/>
      <c r="E629" s="148"/>
      <c r="F629" s="149"/>
      <c r="G629" s="60">
        <f t="shared" si="102"/>
        <v>0</v>
      </c>
    </row>
    <row r="630" spans="1:16" ht="24" x14ac:dyDescent="0.2">
      <c r="A630" s="187" t="s">
        <v>185</v>
      </c>
      <c r="B630" s="142" t="s">
        <v>508</v>
      </c>
      <c r="C630" s="143" t="s">
        <v>393</v>
      </c>
      <c r="D630" s="91">
        <v>97.82</v>
      </c>
      <c r="E630" s="92"/>
      <c r="F630" s="59"/>
      <c r="G630" s="60">
        <f t="shared" si="102"/>
        <v>0</v>
      </c>
      <c r="I630" s="28">
        <f>4+3.35+3+1.475*2+0.325+0.275*2</f>
        <v>14.175000000000001</v>
      </c>
      <c r="J630" s="28">
        <f>I630*3.035</f>
        <v>43.021125000000005</v>
      </c>
      <c r="K630" s="28">
        <v>5.88</v>
      </c>
      <c r="L630" s="28">
        <f>J630-K630</f>
        <v>37.141125000000002</v>
      </c>
      <c r="M630" s="28">
        <f>7.9*3*2.56</f>
        <v>60.672000000000011</v>
      </c>
      <c r="N630" s="28">
        <f>M630+L630</f>
        <v>97.813125000000014</v>
      </c>
    </row>
    <row r="631" spans="1:16" x14ac:dyDescent="0.2">
      <c r="A631" s="132" t="s">
        <v>154</v>
      </c>
      <c r="B631" s="198" t="s">
        <v>458</v>
      </c>
      <c r="C631" s="134"/>
      <c r="D631" s="135"/>
      <c r="E631" s="136"/>
      <c r="F631" s="137"/>
      <c r="G631" s="138"/>
    </row>
    <row r="632" spans="1:16" x14ac:dyDescent="0.2">
      <c r="A632" s="144" t="s">
        <v>164</v>
      </c>
      <c r="B632" s="199" t="s">
        <v>294</v>
      </c>
      <c r="C632" s="146"/>
      <c r="D632" s="147"/>
      <c r="E632" s="148"/>
      <c r="F632" s="149"/>
      <c r="G632" s="60">
        <f t="shared" ref="G632:G635" si="103">(D632*E632)+(D632*F632)</f>
        <v>0</v>
      </c>
    </row>
    <row r="633" spans="1:16" ht="24" x14ac:dyDescent="0.2">
      <c r="A633" s="187" t="s">
        <v>185</v>
      </c>
      <c r="B633" s="142" t="s">
        <v>508</v>
      </c>
      <c r="C633" s="143" t="s">
        <v>393</v>
      </c>
      <c r="D633" s="91">
        <v>153.19999999999999</v>
      </c>
      <c r="E633" s="92"/>
      <c r="F633" s="59"/>
      <c r="G633" s="60">
        <f t="shared" si="103"/>
        <v>0</v>
      </c>
      <c r="I633" s="28">
        <f>2.775*4+2.85*6*2+3.83+3.1+2.95+2.9+0.9</f>
        <v>58.980000000000004</v>
      </c>
      <c r="J633" s="28">
        <f>I633*2.86</f>
        <v>168.68280000000001</v>
      </c>
      <c r="K633" s="28">
        <f>10.1+11.5</f>
        <v>21.6</v>
      </c>
      <c r="L633" s="28">
        <f>K633*2.56</f>
        <v>55.296000000000006</v>
      </c>
      <c r="M633" s="28">
        <f>L633+J633</f>
        <v>223.97880000000004</v>
      </c>
      <c r="N633" s="28">
        <v>78.099999999999994</v>
      </c>
      <c r="O633" s="28">
        <f>M633-N633</f>
        <v>145.87880000000004</v>
      </c>
      <c r="P633" s="28">
        <f>O633*105%</f>
        <v>153.17274000000006</v>
      </c>
    </row>
    <row r="634" spans="1:16" x14ac:dyDescent="0.2">
      <c r="A634" s="144" t="s">
        <v>165</v>
      </c>
      <c r="B634" s="199" t="s">
        <v>293</v>
      </c>
      <c r="C634" s="146"/>
      <c r="D634" s="147"/>
      <c r="E634" s="148"/>
      <c r="F634" s="149"/>
      <c r="G634" s="60">
        <f t="shared" si="103"/>
        <v>0</v>
      </c>
    </row>
    <row r="635" spans="1:16" ht="24" x14ac:dyDescent="0.2">
      <c r="A635" s="187" t="s">
        <v>185</v>
      </c>
      <c r="B635" s="142" t="s">
        <v>508</v>
      </c>
      <c r="C635" s="143" t="s">
        <v>393</v>
      </c>
      <c r="D635" s="91">
        <v>97.82</v>
      </c>
      <c r="E635" s="92"/>
      <c r="F635" s="59"/>
      <c r="G635" s="60">
        <f t="shared" si="103"/>
        <v>0</v>
      </c>
      <c r="I635" s="28">
        <f>4+3.35+3+1.475*2+0.325+0.275*2</f>
        <v>14.175000000000001</v>
      </c>
      <c r="J635" s="28">
        <f>I635*3.035</f>
        <v>43.021125000000005</v>
      </c>
      <c r="K635" s="28">
        <v>5.88</v>
      </c>
      <c r="L635" s="28">
        <f>J635-K635</f>
        <v>37.141125000000002</v>
      </c>
      <c r="M635" s="28">
        <f>7.9*3*2.56</f>
        <v>60.672000000000011</v>
      </c>
      <c r="N635" s="28">
        <f>M635+L635</f>
        <v>97.813125000000014</v>
      </c>
    </row>
    <row r="636" spans="1:16" x14ac:dyDescent="0.2">
      <c r="A636" s="132" t="s">
        <v>155</v>
      </c>
      <c r="B636" s="198" t="s">
        <v>466</v>
      </c>
      <c r="C636" s="134"/>
      <c r="D636" s="135"/>
      <c r="E636" s="136"/>
      <c r="F636" s="137"/>
      <c r="G636" s="138"/>
    </row>
    <row r="637" spans="1:16" x14ac:dyDescent="0.2">
      <c r="A637" s="144" t="s">
        <v>164</v>
      </c>
      <c r="B637" s="199" t="s">
        <v>294</v>
      </c>
      <c r="C637" s="146"/>
      <c r="D637" s="147"/>
      <c r="E637" s="148"/>
      <c r="F637" s="149"/>
      <c r="G637" s="60">
        <f t="shared" ref="G637:G643" si="104">(D637*E637)+(D637*F637)</f>
        <v>0</v>
      </c>
    </row>
    <row r="638" spans="1:16" ht="24" x14ac:dyDescent="0.2">
      <c r="A638" s="187" t="s">
        <v>185</v>
      </c>
      <c r="B638" s="142" t="s">
        <v>508</v>
      </c>
      <c r="C638" s="143" t="s">
        <v>393</v>
      </c>
      <c r="D638" s="91">
        <v>156.6</v>
      </c>
      <c r="E638" s="92"/>
      <c r="F638" s="59"/>
      <c r="G638" s="60">
        <f t="shared" si="104"/>
        <v>0</v>
      </c>
      <c r="I638" s="28">
        <f>2.775*4+2.85*6*2+3.83+3.1+2.95+2.9+0.9</f>
        <v>58.980000000000004</v>
      </c>
      <c r="J638" s="28">
        <f>I638*2.86</f>
        <v>168.68280000000001</v>
      </c>
      <c r="K638" s="28">
        <f>10.1+11.5</f>
        <v>21.6</v>
      </c>
      <c r="L638" s="28">
        <f>K638*2.71</f>
        <v>58.536000000000001</v>
      </c>
      <c r="M638" s="28">
        <f>L638+J638</f>
        <v>227.21880000000002</v>
      </c>
      <c r="N638" s="28">
        <v>78.099999999999994</v>
      </c>
      <c r="O638" s="28">
        <f>M638-N638</f>
        <v>149.11880000000002</v>
      </c>
      <c r="P638" s="28">
        <f>O638*105%</f>
        <v>156.57474000000002</v>
      </c>
    </row>
    <row r="639" spans="1:16" x14ac:dyDescent="0.2">
      <c r="A639" s="187"/>
      <c r="B639" s="142"/>
      <c r="C639" s="143"/>
      <c r="D639" s="91"/>
      <c r="E639" s="92"/>
      <c r="F639" s="59"/>
      <c r="G639" s="60"/>
    </row>
    <row r="640" spans="1:16" ht="12.75" thickBot="1" x14ac:dyDescent="0.25">
      <c r="A640" s="187"/>
      <c r="B640" s="142"/>
      <c r="C640" s="143"/>
      <c r="D640" s="91"/>
      <c r="E640" s="92"/>
      <c r="F640" s="59"/>
      <c r="G640" s="60"/>
    </row>
    <row r="641" spans="1:18" x14ac:dyDescent="0.2">
      <c r="A641" s="407"/>
      <c r="B641" s="408"/>
      <c r="C641" s="321"/>
      <c r="D641" s="322"/>
      <c r="E641" s="323"/>
      <c r="F641" s="191"/>
      <c r="G641" s="192"/>
    </row>
    <row r="642" spans="1:18" x14ac:dyDescent="0.2">
      <c r="A642" s="144" t="s">
        <v>165</v>
      </c>
      <c r="B642" s="199" t="s">
        <v>293</v>
      </c>
      <c r="C642" s="146"/>
      <c r="D642" s="147"/>
      <c r="E642" s="148"/>
      <c r="F642" s="149"/>
      <c r="G642" s="60">
        <f t="shared" si="104"/>
        <v>0</v>
      </c>
    </row>
    <row r="643" spans="1:18" ht="24" x14ac:dyDescent="0.2">
      <c r="A643" s="187" t="s">
        <v>185</v>
      </c>
      <c r="B643" s="142" t="s">
        <v>508</v>
      </c>
      <c r="C643" s="143" t="s">
        <v>393</v>
      </c>
      <c r="D643" s="91">
        <v>101.4</v>
      </c>
      <c r="E643" s="92"/>
      <c r="F643" s="59"/>
      <c r="G643" s="60">
        <f t="shared" si="104"/>
        <v>0</v>
      </c>
      <c r="I643" s="28">
        <f>4+3.35+3+1.475*2+0.325+0.275*2</f>
        <v>14.175000000000001</v>
      </c>
      <c r="J643" s="28">
        <f>I643*3.035</f>
        <v>43.021125000000005</v>
      </c>
      <c r="K643" s="28">
        <v>5.88</v>
      </c>
      <c r="L643" s="28">
        <f>J643-K643</f>
        <v>37.141125000000002</v>
      </c>
      <c r="M643" s="28">
        <f>7.9*3*2.71</f>
        <v>64.227000000000004</v>
      </c>
      <c r="N643" s="28">
        <f>M643+L643</f>
        <v>101.36812500000001</v>
      </c>
    </row>
    <row r="644" spans="1:18" x14ac:dyDescent="0.2">
      <c r="A644" s="132" t="s">
        <v>154</v>
      </c>
      <c r="B644" s="198" t="s">
        <v>260</v>
      </c>
      <c r="C644" s="134"/>
      <c r="D644" s="135"/>
      <c r="E644" s="136"/>
      <c r="F644" s="137"/>
      <c r="G644" s="138"/>
      <c r="K644" s="139"/>
    </row>
    <row r="645" spans="1:18" x14ac:dyDescent="0.2">
      <c r="A645" s="144" t="s">
        <v>164</v>
      </c>
      <c r="B645" s="199" t="s">
        <v>295</v>
      </c>
      <c r="C645" s="146"/>
      <c r="D645" s="147"/>
      <c r="E645" s="148"/>
      <c r="F645" s="149"/>
      <c r="G645" s="60">
        <f t="shared" ref="G645:G646" si="105">(D645*E645)+(D645*F645)</f>
        <v>0</v>
      </c>
      <c r="K645" s="139"/>
    </row>
    <row r="646" spans="1:18" ht="13.5" x14ac:dyDescent="0.2">
      <c r="A646" s="141"/>
      <c r="B646" s="142" t="s">
        <v>292</v>
      </c>
      <c r="C646" s="143" t="s">
        <v>393</v>
      </c>
      <c r="D646" s="91">
        <v>41.85</v>
      </c>
      <c r="E646" s="92"/>
      <c r="F646" s="59"/>
      <c r="G646" s="60">
        <f t="shared" si="105"/>
        <v>0</v>
      </c>
      <c r="I646" s="28">
        <f>2.85*2+5.55*2</f>
        <v>16.8</v>
      </c>
      <c r="J646" s="28">
        <f>I646*2.49</f>
        <v>41.832000000000008</v>
      </c>
      <c r="K646" s="139"/>
      <c r="L646" s="139"/>
    </row>
    <row r="647" spans="1:18" x14ac:dyDescent="0.2">
      <c r="A647" s="141"/>
      <c r="B647" s="200"/>
      <c r="C647" s="143"/>
      <c r="D647" s="91"/>
      <c r="E647" s="92"/>
      <c r="F647" s="59"/>
      <c r="G647" s="60"/>
      <c r="K647" s="139"/>
    </row>
    <row r="648" spans="1:18" x14ac:dyDescent="0.2">
      <c r="A648" s="118">
        <v>4.3</v>
      </c>
      <c r="B648" s="201" t="s">
        <v>107</v>
      </c>
      <c r="C648" s="131"/>
      <c r="D648" s="121"/>
      <c r="E648" s="122"/>
      <c r="F648" s="121"/>
      <c r="G648" s="202"/>
      <c r="K648" s="139"/>
    </row>
    <row r="649" spans="1:18" ht="109.5" customHeight="1" x14ac:dyDescent="0.2">
      <c r="A649" s="40"/>
      <c r="B649" s="62" t="s">
        <v>396</v>
      </c>
      <c r="C649" s="62"/>
      <c r="D649" s="62"/>
      <c r="E649" s="62"/>
      <c r="F649" s="62"/>
      <c r="G649" s="196"/>
    </row>
    <row r="650" spans="1:18" ht="40.5" customHeight="1" x14ac:dyDescent="0.2">
      <c r="A650" s="40"/>
      <c r="B650" s="62" t="s">
        <v>159</v>
      </c>
      <c r="C650" s="62"/>
      <c r="D650" s="62"/>
      <c r="E650" s="62"/>
      <c r="F650" s="195"/>
      <c r="G650" s="196"/>
    </row>
    <row r="651" spans="1:18" ht="51" customHeight="1" x14ac:dyDescent="0.2">
      <c r="A651" s="40"/>
      <c r="B651" s="62" t="s">
        <v>258</v>
      </c>
      <c r="C651" s="62"/>
      <c r="D651" s="62"/>
      <c r="E651" s="62"/>
      <c r="F651" s="195"/>
      <c r="G651" s="196"/>
    </row>
    <row r="652" spans="1:18" x14ac:dyDescent="0.2">
      <c r="A652" s="132" t="s">
        <v>151</v>
      </c>
      <c r="B652" s="198" t="s">
        <v>139</v>
      </c>
      <c r="C652" s="134"/>
      <c r="D652" s="135"/>
      <c r="E652" s="136"/>
      <c r="F652" s="137"/>
      <c r="G652" s="138"/>
    </row>
    <row r="653" spans="1:18" x14ac:dyDescent="0.2">
      <c r="A653" s="141" t="s">
        <v>164</v>
      </c>
      <c r="B653" s="197" t="s">
        <v>245</v>
      </c>
      <c r="C653" s="146"/>
      <c r="D653" s="147"/>
      <c r="E653" s="148"/>
      <c r="F653" s="149"/>
      <c r="G653" s="60"/>
    </row>
    <row r="654" spans="1:18" ht="13.5" x14ac:dyDescent="0.2">
      <c r="A654" s="141"/>
      <c r="B654" s="200" t="s">
        <v>243</v>
      </c>
      <c r="C654" s="143" t="s">
        <v>393</v>
      </c>
      <c r="D654" s="91">
        <f>D615*2</f>
        <v>168.6</v>
      </c>
      <c r="E654" s="92"/>
      <c r="F654" s="59"/>
      <c r="G654" s="60">
        <f t="shared" ref="G654" si="106">(D654*E654)+(D654*F654)</f>
        <v>0</v>
      </c>
    </row>
    <row r="655" spans="1:18" x14ac:dyDescent="0.2">
      <c r="A655" s="132" t="s">
        <v>152</v>
      </c>
      <c r="B655" s="198" t="s">
        <v>67</v>
      </c>
      <c r="C655" s="134"/>
      <c r="D655" s="135"/>
      <c r="E655" s="136"/>
      <c r="F655" s="137"/>
      <c r="G655" s="138"/>
    </row>
    <row r="656" spans="1:18" s="204" customFormat="1" ht="15" customHeight="1" x14ac:dyDescent="0.2">
      <c r="A656" s="144" t="s">
        <v>164</v>
      </c>
      <c r="B656" s="199" t="s">
        <v>240</v>
      </c>
      <c r="C656" s="146"/>
      <c r="D656" s="147"/>
      <c r="E656" s="148"/>
      <c r="F656" s="203"/>
      <c r="G656" s="60">
        <f t="shared" ref="G656:G657" si="107">(D656*E656)+(D656*F656)</f>
        <v>0</v>
      </c>
      <c r="O656" s="28"/>
      <c r="P656" s="28"/>
      <c r="Q656" s="28"/>
      <c r="R656" s="28"/>
    </row>
    <row r="657" spans="1:18" ht="13.5" x14ac:dyDescent="0.2">
      <c r="A657" s="141"/>
      <c r="B657" s="200" t="s">
        <v>141</v>
      </c>
      <c r="C657" s="143" t="s">
        <v>393</v>
      </c>
      <c r="D657" s="91">
        <v>226.15</v>
      </c>
      <c r="E657" s="92"/>
      <c r="F657" s="59"/>
      <c r="G657" s="60">
        <f t="shared" si="107"/>
        <v>0</v>
      </c>
      <c r="I657" s="28">
        <f>18.5+6.6+6.25+25.6+25.85</f>
        <v>82.800000000000011</v>
      </c>
      <c r="J657" s="28">
        <f>I657*3.46</f>
        <v>286.48800000000006</v>
      </c>
      <c r="K657" s="28">
        <v>62.53</v>
      </c>
      <c r="L657" s="28">
        <f>J657-K657</f>
        <v>223.95800000000006</v>
      </c>
      <c r="M657" s="28">
        <f>1.5*2.86*2</f>
        <v>8.58</v>
      </c>
      <c r="N657" s="28">
        <f>L657-M657</f>
        <v>215.37800000000004</v>
      </c>
    </row>
    <row r="658" spans="1:18" x14ac:dyDescent="0.2">
      <c r="A658" s="186" t="s">
        <v>165</v>
      </c>
      <c r="B658" s="190" t="s">
        <v>241</v>
      </c>
      <c r="C658" s="146"/>
      <c r="D658" s="147"/>
      <c r="E658" s="148"/>
      <c r="F658" s="149"/>
      <c r="G658" s="60">
        <f t="shared" ref="G658:G659" si="108">(D658*E658)+(D658*F658)</f>
        <v>0</v>
      </c>
    </row>
    <row r="659" spans="1:18" ht="25.5" customHeight="1" x14ac:dyDescent="0.2">
      <c r="A659" s="141"/>
      <c r="B659" s="142" t="s">
        <v>242</v>
      </c>
      <c r="C659" s="143" t="s">
        <v>393</v>
      </c>
      <c r="D659" s="91">
        <v>333.6</v>
      </c>
      <c r="E659" s="92"/>
      <c r="F659" s="59"/>
      <c r="G659" s="60">
        <f t="shared" si="108"/>
        <v>0</v>
      </c>
      <c r="I659" s="28">
        <f>0.775*2+0.612*4+2.425*2+3.025+4.03+1.38+2.75</f>
        <v>20.032999999999998</v>
      </c>
      <c r="J659" s="28">
        <f>I659*3.21</f>
        <v>64.305929999999989</v>
      </c>
      <c r="K659" s="28">
        <v>7.1</v>
      </c>
      <c r="L659" s="28">
        <f>J659-K659</f>
        <v>57.205929999999988</v>
      </c>
      <c r="M659" s="28">
        <f>L659*2</f>
        <v>114.41185999999998</v>
      </c>
      <c r="N659" s="28">
        <f>I657*3.21</f>
        <v>265.78800000000001</v>
      </c>
      <c r="O659" s="28">
        <f>N659-K657</f>
        <v>203.25800000000001</v>
      </c>
      <c r="P659" s="28">
        <f>O659+M659</f>
        <v>317.66985999999997</v>
      </c>
      <c r="Q659" s="28">
        <f>P659*105%</f>
        <v>333.55335299999996</v>
      </c>
    </row>
    <row r="660" spans="1:18" x14ac:dyDescent="0.2">
      <c r="A660" s="132" t="s">
        <v>57</v>
      </c>
      <c r="B660" s="198" t="s">
        <v>69</v>
      </c>
      <c r="C660" s="134"/>
      <c r="D660" s="135"/>
      <c r="E660" s="136"/>
      <c r="F660" s="137"/>
      <c r="G660" s="138"/>
    </row>
    <row r="661" spans="1:18" x14ac:dyDescent="0.2">
      <c r="A661" s="144" t="s">
        <v>164</v>
      </c>
      <c r="B661" s="199" t="s">
        <v>240</v>
      </c>
      <c r="C661" s="146"/>
      <c r="D661" s="147"/>
      <c r="E661" s="148"/>
      <c r="F661" s="203"/>
      <c r="G661" s="60">
        <f t="shared" ref="G661:G664" si="109">(D661*E661)+(D661*F661)</f>
        <v>0</v>
      </c>
      <c r="I661" s="28">
        <f>18.5+6.6+6.25+25.6+25.85+12.6</f>
        <v>95.4</v>
      </c>
      <c r="J661" s="28">
        <f>I661*3.36</f>
        <v>320.54399999999998</v>
      </c>
      <c r="K661" s="28">
        <v>59.74</v>
      </c>
      <c r="L661" s="28">
        <f>J661-K661</f>
        <v>260.80399999999997</v>
      </c>
      <c r="M661" s="28">
        <v>24.2</v>
      </c>
      <c r="N661" s="28">
        <f>M661*1.85</f>
        <v>44.77</v>
      </c>
      <c r="O661" s="28">
        <f>M661*0.6+14.3*2.86+N661</f>
        <v>100.18800000000002</v>
      </c>
      <c r="P661" s="28">
        <f>L661+O661</f>
        <v>360.99199999999996</v>
      </c>
      <c r="Q661" s="28">
        <f>P661*105%</f>
        <v>379.04159999999996</v>
      </c>
    </row>
    <row r="662" spans="1:18" ht="13.5" x14ac:dyDescent="0.2">
      <c r="A662" s="141"/>
      <c r="B662" s="200" t="s">
        <v>141</v>
      </c>
      <c r="C662" s="143" t="s">
        <v>393</v>
      </c>
      <c r="D662" s="91">
        <v>379.45</v>
      </c>
      <c r="E662" s="92"/>
      <c r="F662" s="59"/>
      <c r="G662" s="60">
        <f t="shared" si="109"/>
        <v>0</v>
      </c>
    </row>
    <row r="663" spans="1:18" x14ac:dyDescent="0.2">
      <c r="A663" s="186" t="s">
        <v>165</v>
      </c>
      <c r="B663" s="190" t="s">
        <v>241</v>
      </c>
      <c r="C663" s="146"/>
      <c r="D663" s="147"/>
      <c r="E663" s="148"/>
      <c r="F663" s="149"/>
      <c r="G663" s="60">
        <f t="shared" si="109"/>
        <v>0</v>
      </c>
    </row>
    <row r="664" spans="1:18" ht="24" x14ac:dyDescent="0.2">
      <c r="A664" s="141"/>
      <c r="B664" s="142" t="s">
        <v>242</v>
      </c>
      <c r="C664" s="143" t="s">
        <v>393</v>
      </c>
      <c r="D664" s="91">
        <v>336.85</v>
      </c>
      <c r="E664" s="92"/>
      <c r="F664" s="59"/>
      <c r="G664" s="60">
        <f t="shared" si="109"/>
        <v>0</v>
      </c>
      <c r="I664" s="28">
        <f>4+3.35+3+1.475*2+0.325+0.275*2</f>
        <v>14.175000000000001</v>
      </c>
      <c r="J664" s="28">
        <f>I664*3.035</f>
        <v>43.021125000000005</v>
      </c>
      <c r="K664" s="28">
        <v>5.88</v>
      </c>
      <c r="L664" s="28">
        <f>J664-K664</f>
        <v>37.141125000000002</v>
      </c>
      <c r="M664" s="28">
        <f>L664*2</f>
        <v>74.282250000000005</v>
      </c>
      <c r="N664" s="28">
        <f>I661*3.21</f>
        <v>306.23400000000004</v>
      </c>
      <c r="O664" s="28">
        <f>N664-K661</f>
        <v>246.49400000000003</v>
      </c>
      <c r="P664" s="28">
        <f>O664+M664</f>
        <v>320.77625</v>
      </c>
      <c r="Q664" s="28">
        <f>P664*105%</f>
        <v>336.81506250000001</v>
      </c>
    </row>
    <row r="665" spans="1:18" x14ac:dyDescent="0.2">
      <c r="A665" s="132" t="s">
        <v>153</v>
      </c>
      <c r="B665" s="198" t="s">
        <v>71</v>
      </c>
      <c r="C665" s="134"/>
      <c r="D665" s="135"/>
      <c r="E665" s="136"/>
      <c r="F665" s="137"/>
      <c r="G665" s="138"/>
    </row>
    <row r="666" spans="1:18" x14ac:dyDescent="0.2">
      <c r="A666" s="144" t="s">
        <v>164</v>
      </c>
      <c r="B666" s="199" t="s">
        <v>240</v>
      </c>
      <c r="C666" s="146"/>
      <c r="D666" s="147"/>
      <c r="E666" s="148"/>
      <c r="F666" s="203"/>
      <c r="G666" s="60">
        <f t="shared" ref="G666:G669" si="110">(D666*E666)+(D666*F666)</f>
        <v>0</v>
      </c>
      <c r="I666" s="28">
        <f>18.5+6.6+6.25+25.6+25.85+10.675</f>
        <v>93.475000000000009</v>
      </c>
      <c r="J666" s="28">
        <f>I666*3.36</f>
        <v>314.07600000000002</v>
      </c>
      <c r="K666" s="28">
        <v>78.099999999999994</v>
      </c>
      <c r="L666" s="28">
        <f>J666-K666</f>
        <v>235.97600000000003</v>
      </c>
      <c r="M666" s="28">
        <f>2.85*6+1.5+1.7+1.725</f>
        <v>22.025000000000002</v>
      </c>
      <c r="N666" s="28">
        <f>M666*1.85</f>
        <v>40.746250000000003</v>
      </c>
      <c r="O666" s="28">
        <f>M666*0.6+13.3*2.86+N666</f>
        <v>91.999250000000018</v>
      </c>
      <c r="P666" s="28">
        <f>L666+O666</f>
        <v>327.97525000000007</v>
      </c>
      <c r="Q666" s="28">
        <f>P666*105%</f>
        <v>344.37401250000011</v>
      </c>
      <c r="R666" s="28">
        <f>P666-Q666</f>
        <v>-16.398762500000032</v>
      </c>
    </row>
    <row r="667" spans="1:18" ht="13.5" x14ac:dyDescent="0.2">
      <c r="A667" s="141"/>
      <c r="B667" s="200" t="s">
        <v>141</v>
      </c>
      <c r="C667" s="143" t="s">
        <v>393</v>
      </c>
      <c r="D667" s="91">
        <v>344.4</v>
      </c>
      <c r="E667" s="92"/>
      <c r="F667" s="59"/>
      <c r="G667" s="60">
        <f t="shared" si="110"/>
        <v>0</v>
      </c>
    </row>
    <row r="668" spans="1:18" x14ac:dyDescent="0.2">
      <c r="A668" s="186" t="s">
        <v>165</v>
      </c>
      <c r="B668" s="190" t="s">
        <v>241</v>
      </c>
      <c r="C668" s="146"/>
      <c r="D668" s="147"/>
      <c r="E668" s="148"/>
      <c r="F668" s="149"/>
      <c r="G668" s="60">
        <f t="shared" si="110"/>
        <v>0</v>
      </c>
    </row>
    <row r="669" spans="1:18" ht="24" x14ac:dyDescent="0.2">
      <c r="A669" s="141"/>
      <c r="B669" s="142" t="s">
        <v>242</v>
      </c>
      <c r="C669" s="143" t="s">
        <v>393</v>
      </c>
      <c r="D669" s="91">
        <v>469.75</v>
      </c>
      <c r="E669" s="92"/>
      <c r="F669" s="59"/>
      <c r="G669" s="60">
        <f t="shared" si="110"/>
        <v>0</v>
      </c>
      <c r="I669" s="28">
        <f>4+3.35+3+1.475*2+0.325+0.275*2+8.3*3</f>
        <v>39.075000000000003</v>
      </c>
      <c r="J669" s="28">
        <f>I669*3.035</f>
        <v>118.59262500000001</v>
      </c>
      <c r="K669" s="28">
        <v>5.88</v>
      </c>
      <c r="L669" s="28">
        <f>J669-K669</f>
        <v>112.71262500000002</v>
      </c>
      <c r="M669" s="28">
        <f>L669*2</f>
        <v>225.42525000000003</v>
      </c>
      <c r="N669" s="28">
        <f>I666*3.21</f>
        <v>300.05475000000001</v>
      </c>
      <c r="O669" s="28">
        <f>N669-K666</f>
        <v>221.95475000000002</v>
      </c>
      <c r="P669" s="28">
        <f>O669+M669</f>
        <v>447.38000000000005</v>
      </c>
      <c r="Q669" s="28">
        <f>P669*105%</f>
        <v>469.74900000000008</v>
      </c>
    </row>
    <row r="670" spans="1:18" x14ac:dyDescent="0.2">
      <c r="A670" s="132" t="s">
        <v>154</v>
      </c>
      <c r="B670" s="198" t="s">
        <v>458</v>
      </c>
      <c r="C670" s="134"/>
      <c r="D670" s="135"/>
      <c r="E670" s="136"/>
      <c r="F670" s="137"/>
      <c r="G670" s="138"/>
    </row>
    <row r="671" spans="1:18" x14ac:dyDescent="0.2">
      <c r="A671" s="144" t="s">
        <v>164</v>
      </c>
      <c r="B671" s="199" t="s">
        <v>240</v>
      </c>
      <c r="C671" s="146"/>
      <c r="D671" s="147"/>
      <c r="E671" s="148"/>
      <c r="F671" s="203"/>
      <c r="G671" s="60">
        <f t="shared" ref="G671:G674" si="111">(D671*E671)+(D671*F671)</f>
        <v>0</v>
      </c>
      <c r="I671" s="28">
        <f>18.5+6.6+6.25+25.6+25.85+10.675</f>
        <v>93.475000000000009</v>
      </c>
      <c r="J671" s="28">
        <f>I671*3.36</f>
        <v>314.07600000000002</v>
      </c>
      <c r="K671" s="28">
        <v>78.099999999999994</v>
      </c>
      <c r="L671" s="28">
        <f>J671-K671</f>
        <v>235.97600000000003</v>
      </c>
      <c r="M671" s="28">
        <f>16.1+1.6+1.72+1.75</f>
        <v>21.17</v>
      </c>
      <c r="N671" s="28">
        <f>M671*1.85</f>
        <v>39.164500000000004</v>
      </c>
      <c r="O671" s="28">
        <f>M671*0.6+17.1*2.86+N671</f>
        <v>100.77250000000001</v>
      </c>
      <c r="P671" s="28">
        <f>L671+O671</f>
        <v>336.74850000000004</v>
      </c>
      <c r="Q671" s="28">
        <f>P671*105%</f>
        <v>353.58592500000003</v>
      </c>
    </row>
    <row r="672" spans="1:18" ht="13.5" x14ac:dyDescent="0.2">
      <c r="A672" s="141"/>
      <c r="B672" s="200" t="s">
        <v>141</v>
      </c>
      <c r="C672" s="143" t="s">
        <v>393</v>
      </c>
      <c r="D672" s="91">
        <v>353.6</v>
      </c>
      <c r="E672" s="92"/>
      <c r="F672" s="59"/>
      <c r="G672" s="60">
        <f t="shared" si="111"/>
        <v>0</v>
      </c>
    </row>
    <row r="673" spans="1:17" x14ac:dyDescent="0.2">
      <c r="A673" s="186" t="s">
        <v>165</v>
      </c>
      <c r="B673" s="190" t="s">
        <v>241</v>
      </c>
      <c r="C673" s="146"/>
      <c r="D673" s="147"/>
      <c r="E673" s="148"/>
      <c r="F673" s="149"/>
      <c r="G673" s="60">
        <f t="shared" si="111"/>
        <v>0</v>
      </c>
    </row>
    <row r="674" spans="1:17" ht="24" x14ac:dyDescent="0.2">
      <c r="A674" s="141"/>
      <c r="B674" s="142" t="s">
        <v>242</v>
      </c>
      <c r="C674" s="143" t="s">
        <v>393</v>
      </c>
      <c r="D674" s="91">
        <v>469.75</v>
      </c>
      <c r="E674" s="92"/>
      <c r="F674" s="59"/>
      <c r="G674" s="60">
        <f t="shared" si="111"/>
        <v>0</v>
      </c>
      <c r="I674" s="28">
        <f>4+3.35+3+1.475*2+0.325+0.275*2+8.3*3</f>
        <v>39.075000000000003</v>
      </c>
      <c r="J674" s="28">
        <f>I674*3.035</f>
        <v>118.59262500000001</v>
      </c>
      <c r="K674" s="28">
        <v>5.88</v>
      </c>
      <c r="L674" s="28">
        <f>J674-K674</f>
        <v>112.71262500000002</v>
      </c>
      <c r="M674" s="28">
        <f>L674*2</f>
        <v>225.42525000000003</v>
      </c>
      <c r="N674" s="28">
        <f>I671*3.21</f>
        <v>300.05475000000001</v>
      </c>
      <c r="O674" s="28">
        <f>N674-K671</f>
        <v>221.95475000000002</v>
      </c>
      <c r="P674" s="28">
        <f>O674+M674</f>
        <v>447.38000000000005</v>
      </c>
      <c r="Q674" s="28">
        <f>P674*105%</f>
        <v>469.74900000000008</v>
      </c>
    </row>
    <row r="675" spans="1:17" x14ac:dyDescent="0.2">
      <c r="A675" s="132" t="s">
        <v>155</v>
      </c>
      <c r="B675" s="198" t="s">
        <v>466</v>
      </c>
      <c r="C675" s="134"/>
      <c r="D675" s="135"/>
      <c r="E675" s="136"/>
      <c r="F675" s="137"/>
      <c r="G675" s="138"/>
    </row>
    <row r="676" spans="1:17" x14ac:dyDescent="0.2">
      <c r="A676" s="144" t="s">
        <v>164</v>
      </c>
      <c r="B676" s="199" t="s">
        <v>240</v>
      </c>
      <c r="C676" s="146"/>
      <c r="D676" s="147"/>
      <c r="E676" s="148"/>
      <c r="F676" s="203"/>
      <c r="G676" s="60">
        <f t="shared" ref="G676:G681" si="112">(D676*E676)+(D676*F676)</f>
        <v>0</v>
      </c>
      <c r="I676" s="28">
        <f>18.5+6.6+6.25+25.6+25.85+10.675</f>
        <v>93.475000000000009</v>
      </c>
      <c r="J676" s="28">
        <f>I676*3.36</f>
        <v>314.07600000000002</v>
      </c>
      <c r="K676" s="28">
        <v>78.099999999999994</v>
      </c>
      <c r="L676" s="28">
        <f>J676-K676</f>
        <v>235.97600000000003</v>
      </c>
      <c r="M676" s="28">
        <f>16.1+1.6+1.72+1.75</f>
        <v>21.17</v>
      </c>
      <c r="N676" s="28">
        <f>M676*1.85</f>
        <v>39.164500000000004</v>
      </c>
      <c r="O676" s="28">
        <f>M676*0.6+17.1*2.86+N676</f>
        <v>100.77250000000001</v>
      </c>
      <c r="P676" s="28">
        <f>L676+O676</f>
        <v>336.74850000000004</v>
      </c>
      <c r="Q676" s="28">
        <f>P676*105%</f>
        <v>353.58592500000003</v>
      </c>
    </row>
    <row r="677" spans="1:17" ht="13.5" x14ac:dyDescent="0.2">
      <c r="A677" s="141"/>
      <c r="B677" s="200" t="s">
        <v>141</v>
      </c>
      <c r="C677" s="143" t="s">
        <v>393</v>
      </c>
      <c r="D677" s="91">
        <v>353.6</v>
      </c>
      <c r="E677" s="92"/>
      <c r="F677" s="59"/>
      <c r="G677" s="60">
        <f t="shared" si="112"/>
        <v>0</v>
      </c>
    </row>
    <row r="678" spans="1:17" x14ac:dyDescent="0.2">
      <c r="A678" s="141"/>
      <c r="B678" s="200"/>
      <c r="C678" s="143"/>
      <c r="D678" s="91"/>
      <c r="E678" s="92"/>
      <c r="F678" s="59"/>
      <c r="G678" s="60"/>
    </row>
    <row r="679" spans="1:17" ht="12.75" thickBot="1" x14ac:dyDescent="0.25">
      <c r="A679" s="151"/>
      <c r="B679" s="392"/>
      <c r="C679" s="153"/>
      <c r="D679" s="154"/>
      <c r="E679" s="183"/>
      <c r="F679" s="155"/>
      <c r="G679" s="156"/>
    </row>
    <row r="680" spans="1:17" x14ac:dyDescent="0.2">
      <c r="A680" s="186" t="s">
        <v>165</v>
      </c>
      <c r="B680" s="190" t="s">
        <v>241</v>
      </c>
      <c r="C680" s="146"/>
      <c r="D680" s="147"/>
      <c r="E680" s="148"/>
      <c r="F680" s="149"/>
      <c r="G680" s="60">
        <f t="shared" si="112"/>
        <v>0</v>
      </c>
    </row>
    <row r="681" spans="1:17" ht="24" x14ac:dyDescent="0.2">
      <c r="A681" s="141"/>
      <c r="B681" s="142" t="s">
        <v>242</v>
      </c>
      <c r="C681" s="143" t="s">
        <v>393</v>
      </c>
      <c r="D681" s="91">
        <v>511.15</v>
      </c>
      <c r="E681" s="92"/>
      <c r="F681" s="59"/>
      <c r="G681" s="60">
        <f t="shared" si="112"/>
        <v>0</v>
      </c>
      <c r="I681" s="28">
        <f>4+3.35+3+1.475*2+0.325+0.275*2+8.3*3</f>
        <v>39.075000000000003</v>
      </c>
      <c r="J681" s="28">
        <f>I681*3.36</f>
        <v>131.292</v>
      </c>
      <c r="K681" s="28">
        <v>5.88</v>
      </c>
      <c r="L681" s="28">
        <f>J681-K681</f>
        <v>125.41200000000001</v>
      </c>
      <c r="M681" s="28">
        <f>L681*2</f>
        <v>250.82400000000001</v>
      </c>
      <c r="N681" s="28">
        <f>I676*3.36</f>
        <v>314.07600000000002</v>
      </c>
      <c r="O681" s="28">
        <f>N681-K676</f>
        <v>235.97600000000003</v>
      </c>
      <c r="P681" s="28">
        <f>O681+M681</f>
        <v>486.80000000000007</v>
      </c>
      <c r="Q681" s="28">
        <f>P681*105%</f>
        <v>511.1400000000001</v>
      </c>
    </row>
    <row r="682" spans="1:17" x14ac:dyDescent="0.2">
      <c r="A682" s="141"/>
      <c r="B682" s="142"/>
      <c r="C682" s="143"/>
      <c r="D682" s="91"/>
      <c r="E682" s="92"/>
      <c r="F682" s="59"/>
      <c r="G682" s="60"/>
    </row>
    <row r="683" spans="1:17" x14ac:dyDescent="0.2">
      <c r="A683" s="132" t="s">
        <v>154</v>
      </c>
      <c r="B683" s="198" t="s">
        <v>260</v>
      </c>
      <c r="C683" s="134"/>
      <c r="D683" s="135"/>
      <c r="E683" s="136"/>
      <c r="F683" s="137"/>
      <c r="G683" s="138"/>
    </row>
    <row r="684" spans="1:17" x14ac:dyDescent="0.2">
      <c r="A684" s="144" t="s">
        <v>164</v>
      </c>
      <c r="B684" s="199" t="s">
        <v>240</v>
      </c>
      <c r="C684" s="146"/>
      <c r="D684" s="147"/>
      <c r="E684" s="148"/>
      <c r="F684" s="203"/>
      <c r="G684" s="60">
        <f t="shared" ref="G684:G687" si="113">(D684*E684)+(D684*F684)</f>
        <v>0</v>
      </c>
    </row>
    <row r="685" spans="1:17" ht="13.5" x14ac:dyDescent="0.2">
      <c r="A685" s="141"/>
      <c r="B685" s="200" t="s">
        <v>141</v>
      </c>
      <c r="C685" s="143" t="s">
        <v>393</v>
      </c>
      <c r="D685" s="91">
        <v>323.2</v>
      </c>
      <c r="E685" s="92"/>
      <c r="F685" s="59"/>
      <c r="G685" s="60">
        <f t="shared" si="113"/>
        <v>0</v>
      </c>
      <c r="I685" s="28">
        <f>3.55*2+6.6*2</f>
        <v>20.299999999999997</v>
      </c>
      <c r="J685" s="28">
        <f>I685*2.99</f>
        <v>60.696999999999996</v>
      </c>
      <c r="K685" s="139">
        <f>J685-2.61</f>
        <v>58.086999999999996</v>
      </c>
      <c r="L685" s="139">
        <f>J289+J291+K685</f>
        <v>323.19700000000006</v>
      </c>
      <c r="O685" s="139"/>
    </row>
    <row r="686" spans="1:17" x14ac:dyDescent="0.2">
      <c r="A686" s="186" t="s">
        <v>165</v>
      </c>
      <c r="B686" s="190" t="s">
        <v>241</v>
      </c>
      <c r="C686" s="146"/>
      <c r="D686" s="147"/>
      <c r="E686" s="148"/>
      <c r="F686" s="149"/>
      <c r="G686" s="60">
        <f t="shared" si="113"/>
        <v>0</v>
      </c>
      <c r="K686" s="139"/>
    </row>
    <row r="687" spans="1:17" ht="13.5" x14ac:dyDescent="0.2">
      <c r="A687" s="141"/>
      <c r="B687" s="142" t="s">
        <v>296</v>
      </c>
      <c r="C687" s="143" t="s">
        <v>393</v>
      </c>
      <c r="D687" s="91">
        <v>55.05</v>
      </c>
      <c r="E687" s="92"/>
      <c r="F687" s="59"/>
      <c r="G687" s="60">
        <f t="shared" si="113"/>
        <v>0</v>
      </c>
      <c r="I687" s="28">
        <f>3.55*2+6.6*2</f>
        <v>20.299999999999997</v>
      </c>
      <c r="J687" s="28">
        <f>I687*2.84</f>
        <v>57.651999999999987</v>
      </c>
      <c r="K687" s="139">
        <f>J687-2.61</f>
        <v>55.041999999999987</v>
      </c>
      <c r="L687" s="139"/>
      <c r="M687" s="139"/>
      <c r="N687" s="139"/>
    </row>
    <row r="688" spans="1:17" x14ac:dyDescent="0.2">
      <c r="A688" s="144" t="s">
        <v>281</v>
      </c>
      <c r="B688" s="197" t="s">
        <v>378</v>
      </c>
      <c r="C688" s="143"/>
      <c r="D688" s="91"/>
      <c r="E688" s="92"/>
      <c r="F688" s="59"/>
      <c r="G688" s="60"/>
    </row>
    <row r="689" spans="1:15" ht="33.75" customHeight="1" x14ac:dyDescent="0.2">
      <c r="A689" s="141"/>
      <c r="B689" s="142" t="s">
        <v>397</v>
      </c>
      <c r="C689" s="143" t="s">
        <v>15</v>
      </c>
      <c r="D689" s="91">
        <v>1</v>
      </c>
      <c r="E689" s="92"/>
      <c r="F689" s="59"/>
      <c r="G689" s="60">
        <f t="shared" ref="G689" si="114">(D689*E689)+(D689*F689)</f>
        <v>0</v>
      </c>
    </row>
    <row r="690" spans="1:15" x14ac:dyDescent="0.2">
      <c r="A690" s="186"/>
      <c r="B690" s="190"/>
      <c r="C690" s="143"/>
      <c r="D690" s="91"/>
      <c r="E690" s="92"/>
      <c r="F690" s="59"/>
      <c r="G690" s="60"/>
    </row>
    <row r="691" spans="1:15" x14ac:dyDescent="0.2">
      <c r="A691" s="186"/>
      <c r="B691" s="190"/>
      <c r="C691" s="143"/>
      <c r="D691" s="91"/>
      <c r="E691" s="92"/>
      <c r="F691" s="59"/>
      <c r="G691" s="60"/>
    </row>
    <row r="692" spans="1:15" ht="12.75" thickBot="1" x14ac:dyDescent="0.25">
      <c r="A692" s="186"/>
      <c r="B692" s="190"/>
      <c r="C692" s="143"/>
      <c r="D692" s="91"/>
      <c r="E692" s="92"/>
      <c r="F692" s="59"/>
      <c r="G692" s="60"/>
    </row>
    <row r="693" spans="1:15" x14ac:dyDescent="0.2">
      <c r="A693" s="68"/>
      <c r="B693" s="69" t="s">
        <v>149</v>
      </c>
      <c r="C693" s="113"/>
      <c r="D693" s="71"/>
      <c r="E693" s="72"/>
      <c r="F693" s="191"/>
      <c r="G693" s="192"/>
    </row>
    <row r="694" spans="1:15" ht="12.75" thickBot="1" x14ac:dyDescent="0.25">
      <c r="A694" s="73"/>
      <c r="B694" s="74" t="s">
        <v>199</v>
      </c>
      <c r="C694" s="114"/>
      <c r="D694" s="76"/>
      <c r="E694" s="77"/>
      <c r="F694" s="155"/>
      <c r="G694" s="193">
        <f>SUM(G614:G669)</f>
        <v>0</v>
      </c>
    </row>
    <row r="695" spans="1:15" x14ac:dyDescent="0.2">
      <c r="A695" s="40"/>
      <c r="B695" s="80"/>
      <c r="C695" s="56"/>
      <c r="D695" s="57"/>
      <c r="E695" s="44"/>
      <c r="F695" s="59"/>
      <c r="G695" s="150"/>
    </row>
    <row r="696" spans="1:15" x14ac:dyDescent="0.2">
      <c r="A696" s="40"/>
      <c r="B696" s="80"/>
      <c r="C696" s="56"/>
      <c r="D696" s="57"/>
      <c r="E696" s="44"/>
      <c r="F696" s="59"/>
      <c r="G696" s="150"/>
    </row>
    <row r="697" spans="1:15" x14ac:dyDescent="0.2">
      <c r="A697" s="40"/>
      <c r="B697" s="80"/>
      <c r="C697" s="56"/>
      <c r="D697" s="57"/>
      <c r="E697" s="44"/>
      <c r="F697" s="59"/>
      <c r="G697" s="150"/>
    </row>
    <row r="698" spans="1:15" x14ac:dyDescent="0.2">
      <c r="A698" s="40"/>
      <c r="B698" s="80"/>
      <c r="C698" s="56"/>
      <c r="D698" s="57"/>
      <c r="E698" s="44"/>
      <c r="F698" s="59"/>
      <c r="G698" s="150"/>
      <c r="K698" s="28">
        <f>(30.53+10.025+22.025+11.525)*2</f>
        <v>148.21</v>
      </c>
      <c r="L698" s="28">
        <f>5.525*8</f>
        <v>44.2</v>
      </c>
      <c r="M698" s="28">
        <f>K698-L698</f>
        <v>104.01</v>
      </c>
    </row>
    <row r="699" spans="1:15" x14ac:dyDescent="0.2">
      <c r="A699" s="205"/>
      <c r="B699" s="206" t="s">
        <v>108</v>
      </c>
      <c r="C699" s="207"/>
      <c r="D699" s="43"/>
      <c r="E699" s="208"/>
      <c r="F699" s="59"/>
      <c r="G699" s="60"/>
      <c r="K699" s="28">
        <f>18.45*2+11.45*2</f>
        <v>59.8</v>
      </c>
      <c r="N699" s="28">
        <f>M698+K699</f>
        <v>163.81</v>
      </c>
      <c r="O699" s="28">
        <f>N699/0.74</f>
        <v>221.36486486486487</v>
      </c>
    </row>
    <row r="700" spans="1:15" x14ac:dyDescent="0.2">
      <c r="A700" s="205"/>
      <c r="B700" s="209" t="s">
        <v>109</v>
      </c>
      <c r="C700" s="207"/>
      <c r="D700" s="43"/>
      <c r="E700" s="208"/>
      <c r="F700" s="59"/>
      <c r="G700" s="60"/>
      <c r="K700" s="28">
        <f>SUM(K698:K699)</f>
        <v>208.01</v>
      </c>
      <c r="L700" s="28">
        <f>K700*5.8</f>
        <v>1206.4579999999999</v>
      </c>
      <c r="M700" s="28">
        <f>L700/18.3</f>
        <v>65.926666666666662</v>
      </c>
    </row>
    <row r="701" spans="1:15" x14ac:dyDescent="0.2">
      <c r="A701" s="194" t="s">
        <v>110</v>
      </c>
      <c r="B701" s="51" t="s">
        <v>41</v>
      </c>
      <c r="C701" s="42"/>
      <c r="D701" s="43"/>
      <c r="E701" s="44"/>
      <c r="F701" s="59"/>
      <c r="G701" s="60"/>
    </row>
    <row r="702" spans="1:15" ht="49.5" customHeight="1" x14ac:dyDescent="0.2">
      <c r="A702" s="194"/>
      <c r="B702" s="62" t="s">
        <v>142</v>
      </c>
      <c r="C702" s="62"/>
      <c r="D702" s="62"/>
      <c r="E702" s="62"/>
      <c r="F702" s="62"/>
      <c r="G702" s="160"/>
    </row>
    <row r="703" spans="1:15" x14ac:dyDescent="0.2">
      <c r="A703" s="210" t="s">
        <v>144</v>
      </c>
      <c r="B703" s="211" t="s">
        <v>202</v>
      </c>
      <c r="C703" s="212"/>
      <c r="D703" s="213"/>
      <c r="E703" s="214"/>
      <c r="F703" s="215"/>
      <c r="G703" s="216"/>
    </row>
    <row r="704" spans="1:15" x14ac:dyDescent="0.2">
      <c r="A704" s="352"/>
      <c r="B704" s="353" t="s">
        <v>209</v>
      </c>
      <c r="C704" s="354"/>
      <c r="D704" s="355"/>
      <c r="E704" s="208"/>
      <c r="F704" s="181"/>
      <c r="G704" s="217"/>
    </row>
    <row r="705" spans="1:14" x14ac:dyDescent="0.2">
      <c r="A705" s="356" t="s">
        <v>151</v>
      </c>
      <c r="B705" s="357" t="s">
        <v>67</v>
      </c>
      <c r="C705" s="358"/>
      <c r="D705" s="359"/>
      <c r="E705" s="165"/>
      <c r="F705" s="166"/>
      <c r="G705" s="167">
        <f t="shared" ref="G705:G710" si="115">(D705*E705)+(D705*F705)</f>
        <v>0</v>
      </c>
    </row>
    <row r="706" spans="1:14" ht="13.5" x14ac:dyDescent="0.2">
      <c r="A706" s="352"/>
      <c r="B706" s="360" t="s">
        <v>512</v>
      </c>
      <c r="C706" s="354" t="s">
        <v>391</v>
      </c>
      <c r="D706" s="355">
        <v>254.8</v>
      </c>
      <c r="E706" s="180"/>
      <c r="F706" s="181"/>
      <c r="G706" s="217">
        <f t="shared" si="115"/>
        <v>0</v>
      </c>
      <c r="I706" s="28">
        <v>252.8</v>
      </c>
      <c r="J706" s="28">
        <v>72.5</v>
      </c>
    </row>
    <row r="707" spans="1:14" ht="13.5" x14ac:dyDescent="0.2">
      <c r="A707" s="352"/>
      <c r="B707" s="360" t="s">
        <v>513</v>
      </c>
      <c r="C707" s="354" t="s">
        <v>391</v>
      </c>
      <c r="D707" s="355">
        <v>70.5</v>
      </c>
      <c r="E707" s="180"/>
      <c r="F707" s="181"/>
      <c r="G707" s="217">
        <f t="shared" si="115"/>
        <v>0</v>
      </c>
      <c r="I707" s="28">
        <f>25.8*0.45+3.55*5.05+15.775*1.725+1.76*3.4+2.425*3.2</f>
        <v>70.493375</v>
      </c>
    </row>
    <row r="708" spans="1:14" ht="13.5" x14ac:dyDescent="0.2">
      <c r="A708" s="352"/>
      <c r="B708" s="360" t="s">
        <v>514</v>
      </c>
      <c r="C708" s="354" t="s">
        <v>391</v>
      </c>
      <c r="D708" s="355">
        <v>5.2</v>
      </c>
      <c r="E708" s="180"/>
      <c r="F708" s="181"/>
      <c r="G708" s="217">
        <f t="shared" ref="G708:G709" si="116">(D708*E708)+(D708*F708)</f>
        <v>0</v>
      </c>
    </row>
    <row r="709" spans="1:14" ht="13.5" x14ac:dyDescent="0.2">
      <c r="A709" s="352"/>
      <c r="B709" s="360" t="s">
        <v>515</v>
      </c>
      <c r="C709" s="354" t="s">
        <v>391</v>
      </c>
      <c r="D709" s="355">
        <v>9.4499999999999993</v>
      </c>
      <c r="E709" s="180"/>
      <c r="F709" s="181"/>
      <c r="G709" s="217">
        <f t="shared" si="116"/>
        <v>0</v>
      </c>
    </row>
    <row r="710" spans="1:14" ht="13.5" x14ac:dyDescent="0.2">
      <c r="A710" s="352"/>
      <c r="B710" s="360" t="s">
        <v>298</v>
      </c>
      <c r="C710" s="354" t="s">
        <v>391</v>
      </c>
      <c r="D710" s="355">
        <v>17.3</v>
      </c>
      <c r="E710" s="180"/>
      <c r="F710" s="181"/>
      <c r="G710" s="217">
        <f t="shared" si="115"/>
        <v>0</v>
      </c>
      <c r="I710" s="139">
        <f>4.04*3</f>
        <v>12.120000000000001</v>
      </c>
      <c r="J710" s="28">
        <f>1.5*0.175*24</f>
        <v>6.2999999999999989</v>
      </c>
      <c r="K710" s="139">
        <f>0.3*1.5*3</f>
        <v>1.3499999999999999</v>
      </c>
      <c r="L710" s="139">
        <f>SUM(I710:K710)</f>
        <v>19.770000000000003</v>
      </c>
    </row>
    <row r="711" spans="1:14" ht="13.5" x14ac:dyDescent="0.2">
      <c r="A711" s="352"/>
      <c r="B711" s="360" t="s">
        <v>516</v>
      </c>
      <c r="C711" s="354" t="s">
        <v>391</v>
      </c>
      <c r="D711" s="355">
        <v>11.5</v>
      </c>
      <c r="E711" s="180"/>
      <c r="F711" s="181"/>
      <c r="G711" s="217">
        <f t="shared" ref="G711" si="117">(D711*E711)+(D711*F711)</f>
        <v>0</v>
      </c>
      <c r="I711" s="139"/>
      <c r="K711" s="139"/>
      <c r="L711" s="139"/>
    </row>
    <row r="712" spans="1:14" x14ac:dyDescent="0.2">
      <c r="A712" s="352"/>
      <c r="B712" s="360"/>
      <c r="C712" s="354"/>
      <c r="D712" s="355"/>
      <c r="E712" s="180"/>
      <c r="F712" s="181"/>
      <c r="G712" s="217"/>
      <c r="I712" s="139"/>
      <c r="K712" s="139"/>
    </row>
    <row r="713" spans="1:14" x14ac:dyDescent="0.2">
      <c r="A713" s="356" t="s">
        <v>152</v>
      </c>
      <c r="B713" s="357" t="s">
        <v>69</v>
      </c>
      <c r="C713" s="358"/>
      <c r="D713" s="359"/>
      <c r="E713" s="165"/>
      <c r="F713" s="166"/>
      <c r="G713" s="167">
        <f t="shared" ref="G713:G718" si="118">(D713*E713)+(D713*F713)</f>
        <v>0</v>
      </c>
    </row>
    <row r="714" spans="1:14" ht="13.5" x14ac:dyDescent="0.2">
      <c r="A714" s="352"/>
      <c r="B714" s="360" t="s">
        <v>517</v>
      </c>
      <c r="C714" s="354" t="s">
        <v>391</v>
      </c>
      <c r="D714" s="355">
        <v>52</v>
      </c>
      <c r="E714" s="180"/>
      <c r="F714" s="181"/>
      <c r="G714" s="217">
        <f t="shared" si="118"/>
        <v>0</v>
      </c>
      <c r="I714" s="28">
        <f>16.1*1.225*2+10.2*1.225</f>
        <v>51.940000000000005</v>
      </c>
      <c r="L714" s="28">
        <f>SUM(I714:K714)</f>
        <v>51.940000000000005</v>
      </c>
    </row>
    <row r="715" spans="1:14" ht="13.5" x14ac:dyDescent="0.2">
      <c r="A715" s="352"/>
      <c r="B715" s="360" t="s">
        <v>513</v>
      </c>
      <c r="C715" s="354" t="s">
        <v>391</v>
      </c>
      <c r="D715" s="355">
        <v>42.1</v>
      </c>
      <c r="E715" s="180"/>
      <c r="F715" s="181"/>
      <c r="G715" s="217">
        <f t="shared" si="118"/>
        <v>0</v>
      </c>
      <c r="I715" s="28">
        <f>15.8*1.575+5.05*3.4</f>
        <v>42.055</v>
      </c>
    </row>
    <row r="716" spans="1:14" ht="13.5" x14ac:dyDescent="0.2">
      <c r="A716" s="352"/>
      <c r="B716" s="360" t="s">
        <v>518</v>
      </c>
      <c r="C716" s="354" t="s">
        <v>391</v>
      </c>
      <c r="D716" s="355">
        <v>13.25</v>
      </c>
      <c r="E716" s="180"/>
      <c r="F716" s="181"/>
      <c r="G716" s="217">
        <f t="shared" ref="G716" si="119">(D716*E716)+(D716*F716)</f>
        <v>0</v>
      </c>
    </row>
    <row r="717" spans="1:14" ht="13.5" x14ac:dyDescent="0.2">
      <c r="A717" s="352"/>
      <c r="B717" s="360" t="s">
        <v>298</v>
      </c>
      <c r="C717" s="354" t="s">
        <v>391</v>
      </c>
      <c r="D717" s="355">
        <v>17.3</v>
      </c>
      <c r="E717" s="180"/>
      <c r="F717" s="181"/>
      <c r="G717" s="217">
        <f t="shared" si="118"/>
        <v>0</v>
      </c>
      <c r="I717" s="139">
        <f>4.22*3.025</f>
        <v>12.765499999999999</v>
      </c>
      <c r="J717" s="28">
        <f>1.5*0.175*20</f>
        <v>5.2499999999999991</v>
      </c>
      <c r="K717" s="139">
        <f>SUM(I717:J717)</f>
        <v>18.015499999999999</v>
      </c>
      <c r="N717" s="26"/>
    </row>
    <row r="718" spans="1:14" ht="13.5" x14ac:dyDescent="0.2">
      <c r="A718" s="352"/>
      <c r="B718" s="360" t="s">
        <v>413</v>
      </c>
      <c r="C718" s="354" t="s">
        <v>391</v>
      </c>
      <c r="D718" s="355">
        <v>9</v>
      </c>
      <c r="E718" s="180"/>
      <c r="F718" s="181"/>
      <c r="G718" s="217">
        <f t="shared" si="118"/>
        <v>0</v>
      </c>
      <c r="I718" s="139">
        <f>1.425*3.15*2</f>
        <v>8.9774999999999991</v>
      </c>
      <c r="K718" s="139"/>
    </row>
    <row r="719" spans="1:14" x14ac:dyDescent="0.2">
      <c r="A719" s="352"/>
      <c r="B719" s="360"/>
      <c r="C719" s="354"/>
      <c r="D719" s="355"/>
      <c r="E719" s="180"/>
      <c r="F719" s="181"/>
      <c r="G719" s="217"/>
      <c r="I719" s="139"/>
      <c r="K719" s="139"/>
    </row>
    <row r="720" spans="1:14" x14ac:dyDescent="0.2">
      <c r="A720" s="356" t="s">
        <v>57</v>
      </c>
      <c r="B720" s="357" t="s">
        <v>71</v>
      </c>
      <c r="C720" s="358"/>
      <c r="D720" s="359"/>
      <c r="E720" s="165"/>
      <c r="F720" s="166"/>
      <c r="G720" s="167">
        <f t="shared" ref="G720:G724" si="120">(D720*E720)+(D720*F720)</f>
        <v>0</v>
      </c>
      <c r="I720" s="139"/>
    </row>
    <row r="721" spans="1:11" ht="13.5" x14ac:dyDescent="0.2">
      <c r="A721" s="352"/>
      <c r="B721" s="360" t="s">
        <v>297</v>
      </c>
      <c r="C721" s="354" t="s">
        <v>391</v>
      </c>
      <c r="D721" s="355">
        <v>205.84</v>
      </c>
      <c r="E721" s="180"/>
      <c r="F721" s="181"/>
      <c r="G721" s="217">
        <f t="shared" si="120"/>
        <v>0</v>
      </c>
      <c r="I721" s="28">
        <f>51.46*4</f>
        <v>205.84</v>
      </c>
    </row>
    <row r="722" spans="1:11" ht="13.5" x14ac:dyDescent="0.2">
      <c r="A722" s="352"/>
      <c r="B722" s="360" t="s">
        <v>513</v>
      </c>
      <c r="C722" s="354" t="s">
        <v>391</v>
      </c>
      <c r="D722" s="355">
        <v>114.55</v>
      </c>
      <c r="E722" s="180"/>
      <c r="F722" s="181"/>
      <c r="G722" s="217">
        <f t="shared" si="120"/>
        <v>0</v>
      </c>
    </row>
    <row r="723" spans="1:11" ht="13.5" x14ac:dyDescent="0.2">
      <c r="A723" s="352"/>
      <c r="B723" s="360" t="s">
        <v>298</v>
      </c>
      <c r="C723" s="354" t="s">
        <v>391</v>
      </c>
      <c r="D723" s="355">
        <v>17.3</v>
      </c>
      <c r="E723" s="180"/>
      <c r="F723" s="181"/>
      <c r="G723" s="217">
        <f t="shared" si="120"/>
        <v>0</v>
      </c>
      <c r="I723" s="139"/>
      <c r="K723" s="139"/>
    </row>
    <row r="724" spans="1:11" ht="13.5" x14ac:dyDescent="0.2">
      <c r="A724" s="352"/>
      <c r="B724" s="360" t="s">
        <v>413</v>
      </c>
      <c r="C724" s="354" t="s">
        <v>391</v>
      </c>
      <c r="D724" s="355">
        <v>9</v>
      </c>
      <c r="E724" s="180"/>
      <c r="F724" s="181"/>
      <c r="G724" s="217">
        <f t="shared" si="120"/>
        <v>0</v>
      </c>
      <c r="I724" s="139"/>
      <c r="K724" s="139"/>
    </row>
    <row r="725" spans="1:11" x14ac:dyDescent="0.2">
      <c r="A725" s="356" t="s">
        <v>153</v>
      </c>
      <c r="B725" s="357" t="s">
        <v>458</v>
      </c>
      <c r="C725" s="358"/>
      <c r="D725" s="359"/>
      <c r="E725" s="165"/>
      <c r="F725" s="166"/>
      <c r="G725" s="167">
        <f t="shared" ref="G725:G729" si="121">(D725*E725)+(D725*F725)</f>
        <v>0</v>
      </c>
    </row>
    <row r="726" spans="1:11" ht="13.5" x14ac:dyDescent="0.2">
      <c r="A726" s="352"/>
      <c r="B726" s="360" t="s">
        <v>297</v>
      </c>
      <c r="C726" s="354" t="s">
        <v>391</v>
      </c>
      <c r="D726" s="355">
        <v>205.84</v>
      </c>
      <c r="E726" s="180"/>
      <c r="F726" s="181"/>
      <c r="G726" s="217">
        <f t="shared" si="121"/>
        <v>0</v>
      </c>
    </row>
    <row r="727" spans="1:11" ht="13.5" x14ac:dyDescent="0.2">
      <c r="A727" s="352"/>
      <c r="B727" s="360" t="s">
        <v>513</v>
      </c>
      <c r="C727" s="354" t="s">
        <v>391</v>
      </c>
      <c r="D727" s="355">
        <v>79.61</v>
      </c>
      <c r="E727" s="180"/>
      <c r="F727" s="181"/>
      <c r="G727" s="217">
        <f t="shared" si="121"/>
        <v>0</v>
      </c>
      <c r="I727" s="28">
        <f>16.1*1.8+3.8*3.075+6.2*5.8+3.225*0.925</f>
        <v>79.608125000000001</v>
      </c>
    </row>
    <row r="728" spans="1:11" ht="13.5" x14ac:dyDescent="0.2">
      <c r="A728" s="352"/>
      <c r="B728" s="360" t="s">
        <v>298</v>
      </c>
      <c r="C728" s="354" t="s">
        <v>391</v>
      </c>
      <c r="D728" s="355">
        <v>17.3</v>
      </c>
      <c r="E728" s="180"/>
      <c r="F728" s="181"/>
      <c r="G728" s="217">
        <f t="shared" si="121"/>
        <v>0</v>
      </c>
    </row>
    <row r="729" spans="1:11" ht="14.25" thickBot="1" x14ac:dyDescent="0.25">
      <c r="A729" s="393"/>
      <c r="B729" s="394" t="s">
        <v>413</v>
      </c>
      <c r="C729" s="362" t="s">
        <v>391</v>
      </c>
      <c r="D729" s="363">
        <v>9</v>
      </c>
      <c r="E729" s="184"/>
      <c r="F729" s="185"/>
      <c r="G729" s="395">
        <f t="shared" si="121"/>
        <v>0</v>
      </c>
    </row>
    <row r="730" spans="1:11" x14ac:dyDescent="0.2">
      <c r="A730" s="352"/>
      <c r="B730" s="360"/>
      <c r="C730" s="354"/>
      <c r="D730" s="355"/>
      <c r="E730" s="180"/>
      <c r="F730" s="181"/>
      <c r="G730" s="217"/>
    </row>
    <row r="731" spans="1:11" x14ac:dyDescent="0.2">
      <c r="A731" s="356" t="s">
        <v>154</v>
      </c>
      <c r="B731" s="357" t="s">
        <v>466</v>
      </c>
      <c r="C731" s="358"/>
      <c r="D731" s="359"/>
      <c r="E731" s="165"/>
      <c r="F731" s="166"/>
      <c r="G731" s="167">
        <f t="shared" ref="G731:G735" si="122">(D731*E731)+(D731*F731)</f>
        <v>0</v>
      </c>
    </row>
    <row r="732" spans="1:11" ht="13.5" x14ac:dyDescent="0.2">
      <c r="A732" s="352"/>
      <c r="B732" s="360" t="s">
        <v>297</v>
      </c>
      <c r="C732" s="354" t="s">
        <v>391</v>
      </c>
      <c r="D732" s="355">
        <v>205.84</v>
      </c>
      <c r="E732" s="180"/>
      <c r="F732" s="181"/>
      <c r="G732" s="217">
        <f t="shared" si="122"/>
        <v>0</v>
      </c>
    </row>
    <row r="733" spans="1:11" ht="13.5" x14ac:dyDescent="0.2">
      <c r="A733" s="352"/>
      <c r="B733" s="360" t="s">
        <v>513</v>
      </c>
      <c r="C733" s="354" t="s">
        <v>391</v>
      </c>
      <c r="D733" s="355">
        <v>79.61</v>
      </c>
      <c r="E733" s="180"/>
      <c r="F733" s="181"/>
      <c r="G733" s="217">
        <f t="shared" si="122"/>
        <v>0</v>
      </c>
    </row>
    <row r="734" spans="1:11" ht="13.5" x14ac:dyDescent="0.2">
      <c r="A734" s="352"/>
      <c r="B734" s="360" t="s">
        <v>298</v>
      </c>
      <c r="C734" s="354" t="s">
        <v>391</v>
      </c>
      <c r="D734" s="355">
        <v>17.3</v>
      </c>
      <c r="E734" s="180"/>
      <c r="F734" s="181"/>
      <c r="G734" s="217">
        <f t="shared" si="122"/>
        <v>0</v>
      </c>
    </row>
    <row r="735" spans="1:11" ht="13.5" x14ac:dyDescent="0.2">
      <c r="A735" s="352"/>
      <c r="B735" s="360" t="s">
        <v>413</v>
      </c>
      <c r="C735" s="354" t="s">
        <v>391</v>
      </c>
      <c r="D735" s="355">
        <v>9</v>
      </c>
      <c r="E735" s="180"/>
      <c r="F735" s="181"/>
      <c r="G735" s="217">
        <f t="shared" si="122"/>
        <v>0</v>
      </c>
    </row>
    <row r="736" spans="1:11" x14ac:dyDescent="0.2">
      <c r="A736" s="356" t="s">
        <v>155</v>
      </c>
      <c r="B736" s="357" t="s">
        <v>260</v>
      </c>
      <c r="C736" s="358"/>
      <c r="D736" s="359"/>
      <c r="E736" s="165"/>
      <c r="F736" s="166"/>
      <c r="G736" s="167">
        <f t="shared" ref="G736:G738" si="123">(D736*E736)+(D736*F736)</f>
        <v>0</v>
      </c>
    </row>
    <row r="737" spans="1:13" ht="13.5" x14ac:dyDescent="0.2">
      <c r="A737" s="352"/>
      <c r="B737" s="360" t="s">
        <v>519</v>
      </c>
      <c r="C737" s="354" t="s">
        <v>391</v>
      </c>
      <c r="D737" s="355">
        <v>153.44999999999999</v>
      </c>
      <c r="E737" s="180"/>
      <c r="F737" s="181"/>
      <c r="G737" s="217">
        <f t="shared" si="123"/>
        <v>0</v>
      </c>
      <c r="I737" s="28">
        <f>153.45</f>
        <v>153.44999999999999</v>
      </c>
    </row>
    <row r="738" spans="1:13" ht="13.5" x14ac:dyDescent="0.2">
      <c r="A738" s="352"/>
      <c r="B738" s="360" t="s">
        <v>520</v>
      </c>
      <c r="C738" s="354" t="s">
        <v>391</v>
      </c>
      <c r="D738" s="355">
        <v>28.4</v>
      </c>
      <c r="E738" s="180"/>
      <c r="F738" s="181"/>
      <c r="G738" s="217">
        <f t="shared" si="123"/>
        <v>0</v>
      </c>
      <c r="I738" s="28">
        <v>28.4</v>
      </c>
    </row>
    <row r="739" spans="1:13" x14ac:dyDescent="0.2">
      <c r="A739" s="352"/>
      <c r="B739" s="360"/>
      <c r="C739" s="354"/>
      <c r="D739" s="355"/>
      <c r="E739" s="180"/>
      <c r="F739" s="181"/>
      <c r="G739" s="217"/>
    </row>
    <row r="740" spans="1:13" x14ac:dyDescent="0.2">
      <c r="A740" s="210" t="s">
        <v>145</v>
      </c>
      <c r="B740" s="211" t="s">
        <v>146</v>
      </c>
      <c r="C740" s="218"/>
      <c r="D740" s="219"/>
      <c r="E740" s="214"/>
      <c r="F740" s="215"/>
      <c r="G740" s="216"/>
    </row>
    <row r="741" spans="1:13" ht="48" customHeight="1" x14ac:dyDescent="0.2">
      <c r="A741" s="194"/>
      <c r="B741" s="62" t="s">
        <v>230</v>
      </c>
      <c r="C741" s="62"/>
      <c r="D741" s="62"/>
      <c r="E741" s="62"/>
      <c r="F741" s="62"/>
      <c r="G741" s="160"/>
    </row>
    <row r="742" spans="1:13" ht="24.75" customHeight="1" x14ac:dyDescent="0.2">
      <c r="A742" s="220"/>
      <c r="B742" s="62" t="s">
        <v>231</v>
      </c>
      <c r="C742" s="62"/>
      <c r="D742" s="62"/>
      <c r="E742" s="62"/>
      <c r="F742" s="62"/>
      <c r="G742" s="160"/>
    </row>
    <row r="743" spans="1:13" ht="50.25" customHeight="1" x14ac:dyDescent="0.2">
      <c r="A743" s="220"/>
      <c r="B743" s="62" t="s">
        <v>398</v>
      </c>
      <c r="C743" s="62"/>
      <c r="D743" s="62"/>
      <c r="E743" s="62"/>
      <c r="F743" s="62"/>
      <c r="G743" s="160"/>
    </row>
    <row r="744" spans="1:13" ht="50.25" customHeight="1" x14ac:dyDescent="0.2">
      <c r="A744" s="220"/>
      <c r="B744" s="62" t="s">
        <v>299</v>
      </c>
      <c r="C744" s="62"/>
      <c r="D744" s="62"/>
      <c r="E744" s="62"/>
      <c r="F744" s="62"/>
      <c r="G744" s="160"/>
    </row>
    <row r="745" spans="1:13" x14ac:dyDescent="0.2">
      <c r="A745" s="356" t="s">
        <v>151</v>
      </c>
      <c r="B745" s="357" t="s">
        <v>67</v>
      </c>
      <c r="C745" s="358"/>
      <c r="D745" s="359"/>
      <c r="E745" s="221"/>
      <c r="F745" s="166"/>
      <c r="G745" s="167"/>
    </row>
    <row r="746" spans="1:13" x14ac:dyDescent="0.2">
      <c r="A746" s="352" t="s">
        <v>232</v>
      </c>
      <c r="B746" s="361" t="s">
        <v>226</v>
      </c>
      <c r="C746" s="354"/>
      <c r="D746" s="355"/>
      <c r="E746" s="180"/>
      <c r="F746" s="181"/>
      <c r="G746" s="217"/>
      <c r="I746" s="222"/>
      <c r="J746" s="223"/>
      <c r="K746" s="224"/>
    </row>
    <row r="747" spans="1:13" x14ac:dyDescent="0.2">
      <c r="A747" s="352" t="s">
        <v>164</v>
      </c>
      <c r="B747" s="361" t="s">
        <v>521</v>
      </c>
      <c r="C747" s="354"/>
      <c r="D747" s="355"/>
      <c r="E747" s="180"/>
      <c r="F747" s="181"/>
      <c r="G747" s="217"/>
      <c r="I747" s="222"/>
      <c r="J747" s="223"/>
      <c r="K747" s="224"/>
    </row>
    <row r="748" spans="1:13" ht="13.5" x14ac:dyDescent="0.2">
      <c r="A748" s="352"/>
      <c r="B748" s="360" t="s">
        <v>512</v>
      </c>
      <c r="C748" s="354" t="s">
        <v>391</v>
      </c>
      <c r="D748" s="355">
        <f>D706</f>
        <v>254.8</v>
      </c>
      <c r="E748" s="180"/>
      <c r="F748" s="181"/>
      <c r="G748" s="217">
        <f t="shared" ref="G748" si="124">(D748*E748)+(D748*F748)</f>
        <v>0</v>
      </c>
      <c r="I748" s="222"/>
      <c r="J748" s="223"/>
      <c r="K748" s="224"/>
    </row>
    <row r="749" spans="1:13" ht="13.5" x14ac:dyDescent="0.2">
      <c r="A749" s="352"/>
      <c r="B749" s="360" t="s">
        <v>522</v>
      </c>
      <c r="C749" s="354" t="s">
        <v>391</v>
      </c>
      <c r="D749" s="355">
        <v>9.4499999999999993</v>
      </c>
      <c r="E749" s="180"/>
      <c r="F749" s="181"/>
      <c r="G749" s="217">
        <f t="shared" ref="G749:G750" si="125">(D749*E749)+(D749*F749)</f>
        <v>0</v>
      </c>
      <c r="I749" s="222"/>
      <c r="J749" s="223"/>
      <c r="K749" s="224"/>
    </row>
    <row r="750" spans="1:13" ht="13.5" x14ac:dyDescent="0.2">
      <c r="A750" s="352"/>
      <c r="B750" s="360" t="s">
        <v>516</v>
      </c>
      <c r="C750" s="354" t="s">
        <v>391</v>
      </c>
      <c r="D750" s="355">
        <v>11.5</v>
      </c>
      <c r="E750" s="180"/>
      <c r="F750" s="181"/>
      <c r="G750" s="217">
        <f t="shared" si="125"/>
        <v>0</v>
      </c>
      <c r="I750" s="222"/>
      <c r="J750" s="223"/>
      <c r="K750" s="224"/>
    </row>
    <row r="751" spans="1:13" x14ac:dyDescent="0.2">
      <c r="A751" s="352" t="s">
        <v>165</v>
      </c>
      <c r="B751" s="361" t="s">
        <v>525</v>
      </c>
      <c r="C751" s="354"/>
      <c r="D751" s="355"/>
      <c r="E751" s="180"/>
      <c r="F751" s="181"/>
      <c r="G751" s="217"/>
      <c r="I751" s="222"/>
      <c r="J751" s="223"/>
      <c r="K751" s="224"/>
    </row>
    <row r="752" spans="1:13" ht="13.5" x14ac:dyDescent="0.2">
      <c r="A752" s="352"/>
      <c r="B752" s="360" t="s">
        <v>513</v>
      </c>
      <c r="C752" s="354" t="s">
        <v>391</v>
      </c>
      <c r="D752" s="355">
        <v>70.5</v>
      </c>
      <c r="E752" s="180"/>
      <c r="F752" s="181"/>
      <c r="G752" s="217">
        <f t="shared" ref="G752" si="126">(D752*E752)+(D752*F752)</f>
        <v>0</v>
      </c>
      <c r="I752" s="222"/>
      <c r="J752" s="223"/>
      <c r="K752" s="224"/>
      <c r="M752" s="169"/>
    </row>
    <row r="753" spans="1:13" x14ac:dyDescent="0.2">
      <c r="A753" s="352" t="s">
        <v>176</v>
      </c>
      <c r="B753" s="361" t="s">
        <v>246</v>
      </c>
      <c r="C753" s="354"/>
      <c r="D753" s="355"/>
      <c r="E753" s="180"/>
      <c r="F753" s="181"/>
      <c r="G753" s="217"/>
    </row>
    <row r="754" spans="1:13" ht="13.5" x14ac:dyDescent="0.2">
      <c r="A754" s="352"/>
      <c r="B754" s="360" t="s">
        <v>255</v>
      </c>
      <c r="C754" s="354" t="s">
        <v>391</v>
      </c>
      <c r="D754" s="355">
        <f>D710</f>
        <v>17.3</v>
      </c>
      <c r="E754" s="180"/>
      <c r="F754" s="181"/>
      <c r="G754" s="217">
        <f t="shared" ref="G754" si="127">(D754*E754)+(D754*F754)</f>
        <v>0</v>
      </c>
      <c r="I754" s="28">
        <f>2.1*1.8</f>
        <v>3.7800000000000002</v>
      </c>
      <c r="J754" s="28">
        <f>0.9*0.18*17</f>
        <v>2.754</v>
      </c>
      <c r="K754" s="28">
        <f>SUM(I754:J754)</f>
        <v>6.5340000000000007</v>
      </c>
    </row>
    <row r="755" spans="1:13" x14ac:dyDescent="0.2">
      <c r="A755" s="352" t="s">
        <v>177</v>
      </c>
      <c r="B755" s="361" t="s">
        <v>247</v>
      </c>
      <c r="C755" s="354"/>
      <c r="D755" s="355"/>
      <c r="E755" s="180"/>
      <c r="F755" s="181"/>
      <c r="G755" s="217"/>
    </row>
    <row r="756" spans="1:13" ht="13.5" x14ac:dyDescent="0.2">
      <c r="A756" s="352"/>
      <c r="B756" s="360" t="s">
        <v>523</v>
      </c>
      <c r="C756" s="354" t="s">
        <v>391</v>
      </c>
      <c r="D756" s="355">
        <f>D708</f>
        <v>5.2</v>
      </c>
      <c r="E756" s="180"/>
      <c r="F756" s="181"/>
      <c r="G756" s="217">
        <f t="shared" ref="G756" si="128">(D756*E756)+(D756*F756)</f>
        <v>0</v>
      </c>
    </row>
    <row r="757" spans="1:13" x14ac:dyDescent="0.2">
      <c r="A757" s="352" t="s">
        <v>233</v>
      </c>
      <c r="B757" s="361" t="s">
        <v>227</v>
      </c>
      <c r="C757" s="354"/>
      <c r="D757" s="355"/>
      <c r="E757" s="180"/>
      <c r="F757" s="181"/>
      <c r="G757" s="217"/>
      <c r="I757" s="222"/>
      <c r="J757" s="223"/>
      <c r="K757" s="224"/>
      <c r="L757" s="225"/>
      <c r="M757" s="226"/>
    </row>
    <row r="758" spans="1:13" ht="36" x14ac:dyDescent="0.2">
      <c r="A758" s="352"/>
      <c r="B758" s="361" t="s">
        <v>248</v>
      </c>
      <c r="C758" s="354"/>
      <c r="D758" s="355"/>
      <c r="E758" s="180"/>
      <c r="F758" s="181"/>
      <c r="G758" s="217"/>
      <c r="I758" s="228"/>
      <c r="J758" s="229"/>
      <c r="K758" s="230"/>
      <c r="L758" s="231"/>
      <c r="M758" s="232"/>
    </row>
    <row r="759" spans="1:13" ht="13.5" x14ac:dyDescent="0.2">
      <c r="A759" s="352"/>
      <c r="B759" s="360" t="s">
        <v>526</v>
      </c>
      <c r="C759" s="354" t="s">
        <v>391</v>
      </c>
      <c r="D759" s="355">
        <v>27.6</v>
      </c>
      <c r="E759" s="180"/>
      <c r="F759" s="181"/>
      <c r="G759" s="217">
        <f t="shared" ref="G759:G760" si="129">(D759*E759)+(D759*F759)</f>
        <v>0</v>
      </c>
      <c r="I759" s="139">
        <f>11.92*2.4</f>
        <v>28.608000000000001</v>
      </c>
      <c r="J759" s="169">
        <f>0.5*2</f>
        <v>1</v>
      </c>
      <c r="K759" s="169">
        <f>I759-J759</f>
        <v>27.608000000000001</v>
      </c>
      <c r="L759" s="139">
        <f>J759-K759</f>
        <v>-26.608000000000001</v>
      </c>
      <c r="M759" s="169"/>
    </row>
    <row r="760" spans="1:13" ht="13.5" x14ac:dyDescent="0.2">
      <c r="A760" s="352"/>
      <c r="B760" s="360" t="s">
        <v>524</v>
      </c>
      <c r="C760" s="354" t="s">
        <v>391</v>
      </c>
      <c r="D760" s="355">
        <v>2.8</v>
      </c>
      <c r="E760" s="180"/>
      <c r="F760" s="181"/>
      <c r="G760" s="217">
        <f t="shared" si="129"/>
        <v>0</v>
      </c>
      <c r="I760" s="139">
        <f>1.225+1.5</f>
        <v>2.7250000000000001</v>
      </c>
      <c r="J760" s="169"/>
      <c r="K760" s="169"/>
      <c r="L760" s="139"/>
      <c r="M760" s="169"/>
    </row>
    <row r="761" spans="1:13" x14ac:dyDescent="0.2">
      <c r="A761" s="352" t="s">
        <v>234</v>
      </c>
      <c r="B761" s="361" t="s">
        <v>229</v>
      </c>
      <c r="C761" s="354"/>
      <c r="D761" s="355"/>
      <c r="E761" s="180"/>
      <c r="F761" s="181"/>
      <c r="G761" s="217"/>
      <c r="I761" s="222"/>
      <c r="J761" s="223"/>
      <c r="K761" s="224"/>
      <c r="L761" s="224"/>
    </row>
    <row r="762" spans="1:13" x14ac:dyDescent="0.2">
      <c r="A762" s="352" t="s">
        <v>164</v>
      </c>
      <c r="B762" s="360" t="s">
        <v>249</v>
      </c>
      <c r="C762" s="354" t="s">
        <v>126</v>
      </c>
      <c r="D762" s="355">
        <v>112</v>
      </c>
      <c r="E762" s="180"/>
      <c r="F762" s="181"/>
      <c r="G762" s="217">
        <f t="shared" ref="G762" si="130">(D762*E762)+(D762*F762)</f>
        <v>0</v>
      </c>
      <c r="I762" s="28" t="e">
        <f>I657+#REF!+#REF!</f>
        <v>#REF!</v>
      </c>
      <c r="J762" s="28">
        <f>1.15*11</f>
        <v>12.649999999999999</v>
      </c>
      <c r="K762" s="28" t="e">
        <f>I762-J762</f>
        <v>#REF!</v>
      </c>
      <c r="M762" s="28" t="e">
        <f>I762-L762</f>
        <v>#REF!</v>
      </c>
    </row>
    <row r="763" spans="1:13" x14ac:dyDescent="0.2">
      <c r="A763" s="352"/>
      <c r="B763" s="360"/>
      <c r="C763" s="354"/>
      <c r="D763" s="355"/>
      <c r="E763" s="180"/>
      <c r="F763" s="181"/>
      <c r="G763" s="217"/>
    </row>
    <row r="764" spans="1:13" x14ac:dyDescent="0.2">
      <c r="A764" s="356" t="s">
        <v>152</v>
      </c>
      <c r="B764" s="357" t="s">
        <v>69</v>
      </c>
      <c r="C764" s="358"/>
      <c r="D764" s="359"/>
      <c r="E764" s="221"/>
      <c r="F764" s="166"/>
      <c r="G764" s="167"/>
    </row>
    <row r="765" spans="1:13" x14ac:dyDescent="0.2">
      <c r="A765" s="352" t="s">
        <v>232</v>
      </c>
      <c r="B765" s="361" t="s">
        <v>226</v>
      </c>
      <c r="C765" s="354"/>
      <c r="D765" s="355"/>
      <c r="E765" s="180"/>
      <c r="F765" s="181"/>
      <c r="G765" s="217"/>
    </row>
    <row r="766" spans="1:13" x14ac:dyDescent="0.2">
      <c r="A766" s="352" t="s">
        <v>164</v>
      </c>
      <c r="B766" s="361" t="s">
        <v>521</v>
      </c>
      <c r="C766" s="354"/>
      <c r="D766" s="355"/>
      <c r="E766" s="180"/>
      <c r="F766" s="181"/>
      <c r="G766" s="217"/>
      <c r="I766" s="28">
        <f>12.5+2.95+3.05+3.05+2.95</f>
        <v>24.5</v>
      </c>
    </row>
    <row r="767" spans="1:13" ht="13.5" x14ac:dyDescent="0.2">
      <c r="A767" s="352"/>
      <c r="B767" s="360" t="s">
        <v>517</v>
      </c>
      <c r="C767" s="354" t="s">
        <v>391</v>
      </c>
      <c r="D767" s="355">
        <v>52</v>
      </c>
      <c r="E767" s="180"/>
      <c r="F767" s="181"/>
      <c r="G767" s="217">
        <f t="shared" ref="G767" si="131">(D767*E767)+(D767*F767)</f>
        <v>0</v>
      </c>
      <c r="I767" s="28">
        <v>28.7</v>
      </c>
    </row>
    <row r="768" spans="1:13" ht="13.5" x14ac:dyDescent="0.2">
      <c r="A768" s="352"/>
      <c r="B768" s="360" t="s">
        <v>518</v>
      </c>
      <c r="C768" s="354" t="s">
        <v>391</v>
      </c>
      <c r="D768" s="355">
        <v>13.25</v>
      </c>
      <c r="E768" s="180"/>
      <c r="F768" s="181"/>
      <c r="G768" s="217">
        <f t="shared" ref="G768" si="132">(D768*E768)+(D768*F768)</f>
        <v>0</v>
      </c>
    </row>
    <row r="769" spans="1:12" x14ac:dyDescent="0.2">
      <c r="A769" s="352" t="s">
        <v>165</v>
      </c>
      <c r="B769" s="361" t="s">
        <v>528</v>
      </c>
      <c r="C769" s="354"/>
      <c r="D769" s="355"/>
      <c r="E769" s="180"/>
      <c r="F769" s="181"/>
      <c r="G769" s="217"/>
    </row>
    <row r="770" spans="1:12" ht="13.5" x14ac:dyDescent="0.2">
      <c r="A770" s="352"/>
      <c r="B770" s="360" t="s">
        <v>513</v>
      </c>
      <c r="C770" s="354" t="s">
        <v>391</v>
      </c>
      <c r="D770" s="355">
        <f>D715</f>
        <v>42.1</v>
      </c>
      <c r="E770" s="180"/>
      <c r="F770" s="181"/>
      <c r="G770" s="217">
        <f t="shared" ref="G770" si="133">(D770*E770)+(D770*F770)</f>
        <v>0</v>
      </c>
      <c r="I770" s="28">
        <f>19.1*1.85</f>
        <v>35.335000000000001</v>
      </c>
      <c r="J770" s="28">
        <f>4.28*3.2</f>
        <v>13.696000000000002</v>
      </c>
      <c r="K770" s="28">
        <f>SUM(I770:J770)</f>
        <v>49.031000000000006</v>
      </c>
    </row>
    <row r="771" spans="1:12" x14ac:dyDescent="0.2">
      <c r="A771" s="352" t="s">
        <v>176</v>
      </c>
      <c r="B771" s="361" t="s">
        <v>247</v>
      </c>
      <c r="C771" s="354"/>
      <c r="D771" s="355"/>
      <c r="E771" s="180"/>
      <c r="F771" s="181"/>
      <c r="G771" s="217"/>
    </row>
    <row r="772" spans="1:12" ht="13.5" x14ac:dyDescent="0.2">
      <c r="A772" s="352"/>
      <c r="B772" s="360" t="s">
        <v>529</v>
      </c>
      <c r="C772" s="354" t="s">
        <v>391</v>
      </c>
      <c r="D772" s="355">
        <v>9</v>
      </c>
      <c r="E772" s="180"/>
      <c r="F772" s="181"/>
      <c r="G772" s="217">
        <f t="shared" ref="G772" si="134">(D772*E772)+(D772*F772)</f>
        <v>0</v>
      </c>
    </row>
    <row r="773" spans="1:12" ht="12.75" thickBot="1" x14ac:dyDescent="0.25">
      <c r="A773" s="393"/>
      <c r="B773" s="394"/>
      <c r="C773" s="362"/>
      <c r="D773" s="363"/>
      <c r="E773" s="184"/>
      <c r="F773" s="185"/>
      <c r="G773" s="395"/>
    </row>
    <row r="774" spans="1:12" x14ac:dyDescent="0.2">
      <c r="A774" s="409"/>
      <c r="B774" s="410"/>
      <c r="C774" s="411"/>
      <c r="D774" s="412"/>
      <c r="E774" s="413"/>
      <c r="F774" s="414"/>
      <c r="G774" s="415"/>
    </row>
    <row r="775" spans="1:12" x14ac:dyDescent="0.2">
      <c r="A775" s="352" t="s">
        <v>233</v>
      </c>
      <c r="B775" s="361" t="s">
        <v>227</v>
      </c>
      <c r="C775" s="354"/>
      <c r="D775" s="355"/>
      <c r="E775" s="180"/>
      <c r="F775" s="181"/>
      <c r="G775" s="217"/>
    </row>
    <row r="776" spans="1:12" ht="48" x14ac:dyDescent="0.2">
      <c r="A776" s="352"/>
      <c r="B776" s="361" t="s">
        <v>415</v>
      </c>
      <c r="C776" s="354"/>
      <c r="D776" s="355"/>
      <c r="E776" s="180"/>
      <c r="F776" s="181"/>
      <c r="G776" s="217"/>
    </row>
    <row r="777" spans="1:12" ht="13.5" x14ac:dyDescent="0.2">
      <c r="A777" s="352"/>
      <c r="B777" s="360" t="s">
        <v>414</v>
      </c>
      <c r="C777" s="354" t="s">
        <v>391</v>
      </c>
      <c r="D777" s="355">
        <v>39.200000000000003</v>
      </c>
      <c r="E777" s="180"/>
      <c r="F777" s="181"/>
      <c r="G777" s="217">
        <f t="shared" ref="G777:G778" si="135">(D777*E777)+(D777*F777)</f>
        <v>0</v>
      </c>
      <c r="I777" s="28">
        <f>1.75*4+1.225*8</f>
        <v>16.8</v>
      </c>
      <c r="J777" s="28">
        <f>I777*2.6</f>
        <v>43.680000000000007</v>
      </c>
      <c r="K777" s="28">
        <f>0.6*1.9*4</f>
        <v>4.5599999999999996</v>
      </c>
      <c r="L777" s="28">
        <f>J777-K777</f>
        <v>39.120000000000005</v>
      </c>
    </row>
    <row r="778" spans="1:12" ht="13.5" x14ac:dyDescent="0.2">
      <c r="A778" s="352"/>
      <c r="B778" s="360" t="s">
        <v>527</v>
      </c>
      <c r="C778" s="354" t="s">
        <v>391</v>
      </c>
      <c r="D778" s="355">
        <v>3.7</v>
      </c>
      <c r="E778" s="180"/>
      <c r="F778" s="181"/>
      <c r="G778" s="217">
        <f t="shared" si="135"/>
        <v>0</v>
      </c>
      <c r="I778" s="28">
        <f>1.225*1.5*2</f>
        <v>3.6750000000000003</v>
      </c>
      <c r="J778" s="169"/>
      <c r="L778" s="169"/>
    </row>
    <row r="779" spans="1:12" x14ac:dyDescent="0.2">
      <c r="A779" s="352" t="s">
        <v>234</v>
      </c>
      <c r="B779" s="361" t="s">
        <v>228</v>
      </c>
      <c r="C779" s="354"/>
      <c r="D779" s="355"/>
      <c r="E779" s="180"/>
      <c r="F779" s="181"/>
      <c r="G779" s="217"/>
    </row>
    <row r="780" spans="1:12" x14ac:dyDescent="0.2">
      <c r="A780" s="352" t="s">
        <v>164</v>
      </c>
      <c r="B780" s="361" t="s">
        <v>246</v>
      </c>
      <c r="C780" s="354"/>
      <c r="D780" s="355"/>
      <c r="E780" s="180"/>
      <c r="F780" s="181"/>
      <c r="G780" s="217"/>
    </row>
    <row r="781" spans="1:12" ht="13.5" x14ac:dyDescent="0.2">
      <c r="A781" s="352"/>
      <c r="B781" s="360" t="s">
        <v>255</v>
      </c>
      <c r="C781" s="354" t="s">
        <v>391</v>
      </c>
      <c r="D781" s="355">
        <v>17.3</v>
      </c>
      <c r="E781" s="180"/>
      <c r="F781" s="181"/>
      <c r="G781" s="217">
        <f t="shared" ref="G781" si="136">(D781*E781)+(D781*F781)</f>
        <v>0</v>
      </c>
    </row>
    <row r="782" spans="1:12" x14ac:dyDescent="0.2">
      <c r="A782" s="352"/>
      <c r="B782" s="360"/>
      <c r="C782" s="354"/>
      <c r="D782" s="355"/>
      <c r="E782" s="180"/>
      <c r="F782" s="181"/>
      <c r="G782" s="217"/>
    </row>
    <row r="783" spans="1:12" x14ac:dyDescent="0.2">
      <c r="A783" s="352" t="s">
        <v>235</v>
      </c>
      <c r="B783" s="361" t="s">
        <v>229</v>
      </c>
      <c r="C783" s="354"/>
      <c r="D783" s="355"/>
      <c r="E783" s="180"/>
      <c r="F783" s="181"/>
      <c r="G783" s="217"/>
    </row>
    <row r="784" spans="1:12" x14ac:dyDescent="0.2">
      <c r="A784" s="352" t="s">
        <v>164</v>
      </c>
      <c r="B784" s="360" t="s">
        <v>579</v>
      </c>
      <c r="C784" s="354" t="s">
        <v>126</v>
      </c>
      <c r="D784" s="355">
        <v>94</v>
      </c>
      <c r="E784" s="180"/>
      <c r="F784" s="181"/>
      <c r="G784" s="217">
        <f t="shared" ref="G784" si="137">(D784*E784)+(D784*F784)</f>
        <v>0</v>
      </c>
      <c r="J784" s="28">
        <f>25.8+8.3+16.1*2+I664+I664</f>
        <v>94.65</v>
      </c>
      <c r="K784" s="28">
        <f>I784+J784</f>
        <v>94.65</v>
      </c>
    </row>
    <row r="785" spans="1:12" x14ac:dyDescent="0.2">
      <c r="A785" s="352"/>
      <c r="B785" s="360"/>
      <c r="C785" s="354"/>
      <c r="D785" s="355"/>
      <c r="E785" s="180"/>
      <c r="F785" s="181"/>
      <c r="G785" s="217"/>
    </row>
    <row r="786" spans="1:12" x14ac:dyDescent="0.2">
      <c r="A786" s="356" t="s">
        <v>57</v>
      </c>
      <c r="B786" s="357" t="s">
        <v>71</v>
      </c>
      <c r="C786" s="358"/>
      <c r="D786" s="359"/>
      <c r="E786" s="221"/>
      <c r="F786" s="166"/>
      <c r="G786" s="167"/>
    </row>
    <row r="787" spans="1:12" x14ac:dyDescent="0.2">
      <c r="A787" s="352" t="s">
        <v>232</v>
      </c>
      <c r="B787" s="361" t="s">
        <v>226</v>
      </c>
      <c r="C787" s="354"/>
      <c r="D787" s="355"/>
      <c r="E787" s="180"/>
      <c r="F787" s="181"/>
      <c r="G787" s="217"/>
    </row>
    <row r="788" spans="1:12" x14ac:dyDescent="0.2">
      <c r="A788" s="352" t="s">
        <v>164</v>
      </c>
      <c r="B788" s="361" t="s">
        <v>521</v>
      </c>
      <c r="C788" s="354"/>
      <c r="D788" s="355"/>
      <c r="E788" s="180"/>
      <c r="F788" s="181"/>
      <c r="G788" s="217"/>
      <c r="I788" s="28">
        <f>12.5+2.95+3.05+3.05+2.95</f>
        <v>24.5</v>
      </c>
    </row>
    <row r="789" spans="1:12" ht="13.5" x14ac:dyDescent="0.2">
      <c r="A789" s="352"/>
      <c r="B789" s="360" t="s">
        <v>297</v>
      </c>
      <c r="C789" s="354" t="s">
        <v>391</v>
      </c>
      <c r="D789" s="355">
        <v>205.85</v>
      </c>
      <c r="E789" s="180"/>
      <c r="F789" s="181"/>
      <c r="G789" s="217">
        <f t="shared" ref="G789" si="138">(D789*E789)+(D789*F789)</f>
        <v>0</v>
      </c>
      <c r="I789" s="28">
        <v>28.7</v>
      </c>
    </row>
    <row r="790" spans="1:12" x14ac:dyDescent="0.2">
      <c r="A790" s="352" t="s">
        <v>165</v>
      </c>
      <c r="B790" s="361" t="s">
        <v>528</v>
      </c>
      <c r="C790" s="354"/>
      <c r="D790" s="355"/>
      <c r="E790" s="180"/>
      <c r="F790" s="181"/>
      <c r="G790" s="217"/>
    </row>
    <row r="791" spans="1:12" ht="13.5" x14ac:dyDescent="0.2">
      <c r="A791" s="352"/>
      <c r="B791" s="360" t="s">
        <v>513</v>
      </c>
      <c r="C791" s="354" t="s">
        <v>391</v>
      </c>
      <c r="D791" s="355">
        <f>D722</f>
        <v>114.55</v>
      </c>
      <c r="E791" s="180"/>
      <c r="F791" s="181"/>
      <c r="G791" s="217">
        <f t="shared" ref="G791" si="139">(D791*E791)+(D791*F791)</f>
        <v>0</v>
      </c>
      <c r="I791" s="28">
        <f>19.1*1.85</f>
        <v>35.335000000000001</v>
      </c>
      <c r="J791" s="28">
        <f>4.28*3.2</f>
        <v>13.696000000000002</v>
      </c>
      <c r="K791" s="28">
        <f>SUM(I791:J791)</f>
        <v>49.031000000000006</v>
      </c>
    </row>
    <row r="792" spans="1:12" x14ac:dyDescent="0.2">
      <c r="A792" s="352" t="s">
        <v>176</v>
      </c>
      <c r="B792" s="361" t="s">
        <v>247</v>
      </c>
      <c r="C792" s="354"/>
      <c r="D792" s="355"/>
      <c r="E792" s="180"/>
      <c r="F792" s="181"/>
      <c r="G792" s="217"/>
    </row>
    <row r="793" spans="1:12" ht="13.5" x14ac:dyDescent="0.2">
      <c r="A793" s="352"/>
      <c r="B793" s="360" t="s">
        <v>529</v>
      </c>
      <c r="C793" s="354" t="s">
        <v>391</v>
      </c>
      <c r="D793" s="355">
        <v>9</v>
      </c>
      <c r="E793" s="180"/>
      <c r="F793" s="181"/>
      <c r="G793" s="217">
        <f t="shared" ref="G793" si="140">(D793*E793)+(D793*F793)</f>
        <v>0</v>
      </c>
    </row>
    <row r="794" spans="1:12" x14ac:dyDescent="0.2">
      <c r="A794" s="352" t="s">
        <v>233</v>
      </c>
      <c r="B794" s="361" t="s">
        <v>227</v>
      </c>
      <c r="C794" s="354"/>
      <c r="D794" s="355"/>
      <c r="E794" s="180"/>
      <c r="F794" s="181"/>
      <c r="G794" s="217"/>
    </row>
    <row r="795" spans="1:12" ht="48" x14ac:dyDescent="0.2">
      <c r="A795" s="352"/>
      <c r="B795" s="361" t="s">
        <v>415</v>
      </c>
      <c r="C795" s="354"/>
      <c r="D795" s="355"/>
      <c r="E795" s="180"/>
      <c r="F795" s="181"/>
      <c r="G795" s="217"/>
    </row>
    <row r="796" spans="1:12" ht="13.5" x14ac:dyDescent="0.2">
      <c r="A796" s="352"/>
      <c r="B796" s="360" t="s">
        <v>414</v>
      </c>
      <c r="C796" s="354" t="s">
        <v>391</v>
      </c>
      <c r="D796" s="355">
        <v>39.200000000000003</v>
      </c>
      <c r="E796" s="180"/>
      <c r="F796" s="181"/>
      <c r="G796" s="217">
        <f t="shared" ref="G796:G797" si="141">(D796*E796)+(D796*F796)</f>
        <v>0</v>
      </c>
      <c r="I796" s="28">
        <f>1.75*4+1.225*8</f>
        <v>16.8</v>
      </c>
      <c r="J796" s="28">
        <f>I796*2.6</f>
        <v>43.680000000000007</v>
      </c>
      <c r="K796" s="28">
        <f>0.6*1.9*4</f>
        <v>4.5599999999999996</v>
      </c>
      <c r="L796" s="28">
        <f>J796-K796</f>
        <v>39.120000000000005</v>
      </c>
    </row>
    <row r="797" spans="1:12" ht="13.5" x14ac:dyDescent="0.2">
      <c r="A797" s="352"/>
      <c r="B797" s="360" t="s">
        <v>527</v>
      </c>
      <c r="C797" s="354" t="s">
        <v>391</v>
      </c>
      <c r="D797" s="355">
        <v>3.7</v>
      </c>
      <c r="E797" s="180"/>
      <c r="F797" s="181"/>
      <c r="G797" s="217">
        <f t="shared" si="141"/>
        <v>0</v>
      </c>
      <c r="I797" s="28">
        <f>1.225*1.5*2</f>
        <v>3.6750000000000003</v>
      </c>
      <c r="J797" s="169"/>
      <c r="L797" s="169"/>
    </row>
    <row r="798" spans="1:12" x14ac:dyDescent="0.2">
      <c r="A798" s="352" t="s">
        <v>234</v>
      </c>
      <c r="B798" s="361" t="s">
        <v>228</v>
      </c>
      <c r="C798" s="354"/>
      <c r="D798" s="355"/>
      <c r="E798" s="180"/>
      <c r="F798" s="181"/>
      <c r="G798" s="217"/>
    </row>
    <row r="799" spans="1:12" x14ac:dyDescent="0.2">
      <c r="A799" s="352" t="s">
        <v>164</v>
      </c>
      <c r="B799" s="361" t="s">
        <v>246</v>
      </c>
      <c r="C799" s="354"/>
      <c r="D799" s="355"/>
      <c r="E799" s="180"/>
      <c r="F799" s="181"/>
      <c r="G799" s="217"/>
    </row>
    <row r="800" spans="1:12" ht="13.5" x14ac:dyDescent="0.2">
      <c r="A800" s="352"/>
      <c r="B800" s="360" t="s">
        <v>255</v>
      </c>
      <c r="C800" s="354" t="s">
        <v>391</v>
      </c>
      <c r="D800" s="355">
        <v>17.3</v>
      </c>
      <c r="E800" s="180"/>
      <c r="F800" s="181"/>
      <c r="G800" s="217">
        <f t="shared" ref="G800" si="142">(D800*E800)+(D800*F800)</f>
        <v>0</v>
      </c>
    </row>
    <row r="801" spans="1:17" x14ac:dyDescent="0.2">
      <c r="A801" s="352" t="s">
        <v>235</v>
      </c>
      <c r="B801" s="361" t="s">
        <v>229</v>
      </c>
      <c r="C801" s="354"/>
      <c r="D801" s="355"/>
      <c r="E801" s="180"/>
      <c r="F801" s="181"/>
      <c r="G801" s="217"/>
    </row>
    <row r="802" spans="1:17" x14ac:dyDescent="0.2">
      <c r="A802" s="352" t="s">
        <v>164</v>
      </c>
      <c r="B802" s="360" t="s">
        <v>579</v>
      </c>
      <c r="C802" s="354" t="s">
        <v>126</v>
      </c>
      <c r="D802" s="355">
        <v>171</v>
      </c>
      <c r="E802" s="180"/>
      <c r="F802" s="181"/>
      <c r="G802" s="217">
        <f t="shared" ref="G802" si="143">(D802*E802)+(D802*F802)</f>
        <v>0</v>
      </c>
      <c r="I802" s="28">
        <f>I666+I669+I669+8.3*8+25.8</f>
        <v>263.82499999999999</v>
      </c>
    </row>
    <row r="803" spans="1:17" x14ac:dyDescent="0.2">
      <c r="A803" s="356" t="s">
        <v>153</v>
      </c>
      <c r="B803" s="357" t="s">
        <v>458</v>
      </c>
      <c r="C803" s="358"/>
      <c r="D803" s="359"/>
      <c r="E803" s="221"/>
      <c r="F803" s="166"/>
      <c r="G803" s="167"/>
    </row>
    <row r="804" spans="1:17" x14ac:dyDescent="0.2">
      <c r="A804" s="352" t="s">
        <v>232</v>
      </c>
      <c r="B804" s="361" t="s">
        <v>226</v>
      </c>
      <c r="C804" s="354"/>
      <c r="D804" s="355"/>
      <c r="E804" s="180"/>
      <c r="F804" s="181"/>
      <c r="G804" s="217"/>
    </row>
    <row r="805" spans="1:17" x14ac:dyDescent="0.2">
      <c r="A805" s="352" t="s">
        <v>164</v>
      </c>
      <c r="B805" s="361" t="s">
        <v>521</v>
      </c>
      <c r="C805" s="354"/>
      <c r="D805" s="355"/>
      <c r="E805" s="180"/>
      <c r="F805" s="181"/>
      <c r="G805" s="217"/>
      <c r="I805" s="28">
        <f>12.5+2.95+3.05+3.05+2.95</f>
        <v>24.5</v>
      </c>
    </row>
    <row r="806" spans="1:17" ht="13.5" x14ac:dyDescent="0.2">
      <c r="A806" s="352"/>
      <c r="B806" s="360" t="s">
        <v>297</v>
      </c>
      <c r="C806" s="354" t="s">
        <v>391</v>
      </c>
      <c r="D806" s="355">
        <v>205.85</v>
      </c>
      <c r="E806" s="180"/>
      <c r="F806" s="181"/>
      <c r="G806" s="217">
        <f t="shared" ref="G806" si="144">(D806*E806)+(D806*F806)</f>
        <v>0</v>
      </c>
      <c r="I806" s="28">
        <v>28.7</v>
      </c>
    </row>
    <row r="807" spans="1:17" x14ac:dyDescent="0.2">
      <c r="A807" s="352" t="s">
        <v>165</v>
      </c>
      <c r="B807" s="361" t="s">
        <v>528</v>
      </c>
      <c r="C807" s="354"/>
      <c r="D807" s="355"/>
      <c r="E807" s="180"/>
      <c r="F807" s="181"/>
      <c r="G807" s="217"/>
    </row>
    <row r="808" spans="1:17" ht="13.5" x14ac:dyDescent="0.2">
      <c r="A808" s="352"/>
      <c r="B808" s="360" t="s">
        <v>530</v>
      </c>
      <c r="C808" s="354" t="s">
        <v>391</v>
      </c>
      <c r="D808" s="355">
        <v>79.61</v>
      </c>
      <c r="E808" s="180"/>
      <c r="F808" s="181"/>
      <c r="G808" s="217">
        <f t="shared" ref="G808" si="145">(D808*E808)+(D808*F808)</f>
        <v>0</v>
      </c>
      <c r="I808" s="28">
        <f>19.1*1.85</f>
        <v>35.335000000000001</v>
      </c>
      <c r="J808" s="28">
        <f>4.28*3.2</f>
        <v>13.696000000000002</v>
      </c>
      <c r="K808" s="28">
        <f>SUM(I808:J808)</f>
        <v>49.031000000000006</v>
      </c>
    </row>
    <row r="809" spans="1:17" x14ac:dyDescent="0.2">
      <c r="A809" s="352" t="s">
        <v>176</v>
      </c>
      <c r="B809" s="361" t="s">
        <v>247</v>
      </c>
      <c r="C809" s="354"/>
      <c r="D809" s="355"/>
      <c r="E809" s="180"/>
      <c r="F809" s="181"/>
      <c r="G809" s="217"/>
      <c r="O809" s="169"/>
      <c r="Q809" s="169"/>
    </row>
    <row r="810" spans="1:17" ht="13.5" x14ac:dyDescent="0.2">
      <c r="A810" s="352"/>
      <c r="B810" s="360" t="s">
        <v>529</v>
      </c>
      <c r="C810" s="354" t="s">
        <v>391</v>
      </c>
      <c r="D810" s="355">
        <v>9</v>
      </c>
      <c r="E810" s="180"/>
      <c r="F810" s="181"/>
      <c r="G810" s="217">
        <f t="shared" ref="G810" si="146">(D810*E810)+(D810*F810)</f>
        <v>0</v>
      </c>
    </row>
    <row r="811" spans="1:17" x14ac:dyDescent="0.2">
      <c r="A811" s="352" t="s">
        <v>233</v>
      </c>
      <c r="B811" s="361" t="s">
        <v>227</v>
      </c>
      <c r="C811" s="354"/>
      <c r="D811" s="355"/>
      <c r="E811" s="180"/>
      <c r="F811" s="181"/>
      <c r="G811" s="217"/>
    </row>
    <row r="812" spans="1:17" ht="48" x14ac:dyDescent="0.2">
      <c r="A812" s="352"/>
      <c r="B812" s="361" t="s">
        <v>415</v>
      </c>
      <c r="C812" s="354"/>
      <c r="D812" s="355"/>
      <c r="E812" s="180"/>
      <c r="F812" s="181"/>
      <c r="G812" s="217"/>
    </row>
    <row r="813" spans="1:17" ht="13.5" x14ac:dyDescent="0.2">
      <c r="A813" s="352"/>
      <c r="B813" s="360" t="s">
        <v>414</v>
      </c>
      <c r="C813" s="354" t="s">
        <v>391</v>
      </c>
      <c r="D813" s="355">
        <v>39.200000000000003</v>
      </c>
      <c r="E813" s="180"/>
      <c r="F813" s="181"/>
      <c r="G813" s="217">
        <f t="shared" ref="G813:G814" si="147">(D813*E813)+(D813*F813)</f>
        <v>0</v>
      </c>
      <c r="I813" s="28">
        <f>1.75*4+1.225*8</f>
        <v>16.8</v>
      </c>
      <c r="J813" s="28">
        <f>I813*2.6</f>
        <v>43.680000000000007</v>
      </c>
      <c r="K813" s="28">
        <f>0.6*1.9*4</f>
        <v>4.5599999999999996</v>
      </c>
      <c r="L813" s="28">
        <f>J813-K813</f>
        <v>39.120000000000005</v>
      </c>
    </row>
    <row r="814" spans="1:17" ht="13.5" x14ac:dyDescent="0.2">
      <c r="A814" s="352"/>
      <c r="B814" s="360" t="s">
        <v>527</v>
      </c>
      <c r="C814" s="354" t="s">
        <v>391</v>
      </c>
      <c r="D814" s="355">
        <v>3.7</v>
      </c>
      <c r="E814" s="180"/>
      <c r="F814" s="181"/>
      <c r="G814" s="217">
        <f t="shared" si="147"/>
        <v>0</v>
      </c>
      <c r="I814" s="28">
        <f>1.225*1.5*2</f>
        <v>3.6750000000000003</v>
      </c>
      <c r="J814" s="169"/>
      <c r="L814" s="169"/>
      <c r="N814" s="226"/>
      <c r="O814" s="226"/>
      <c r="P814" s="227"/>
    </row>
    <row r="815" spans="1:17" ht="16.5" customHeight="1" x14ac:dyDescent="0.2">
      <c r="A815" s="352" t="s">
        <v>234</v>
      </c>
      <c r="B815" s="361" t="s">
        <v>228</v>
      </c>
      <c r="C815" s="354"/>
      <c r="D815" s="355"/>
      <c r="E815" s="180"/>
      <c r="F815" s="181"/>
      <c r="G815" s="217"/>
      <c r="N815" s="232"/>
      <c r="O815" s="232"/>
      <c r="P815" s="232"/>
    </row>
    <row r="816" spans="1:17" x14ac:dyDescent="0.2">
      <c r="A816" s="352" t="s">
        <v>164</v>
      </c>
      <c r="B816" s="361" t="s">
        <v>246</v>
      </c>
      <c r="C816" s="354"/>
      <c r="D816" s="355"/>
      <c r="E816" s="180"/>
      <c r="F816" s="181"/>
      <c r="G816" s="217"/>
      <c r="N816" s="169"/>
      <c r="P816" s="169"/>
      <c r="Q816" s="169"/>
    </row>
    <row r="817" spans="1:17" ht="13.5" x14ac:dyDescent="0.2">
      <c r="A817" s="352"/>
      <c r="B817" s="360" t="s">
        <v>255</v>
      </c>
      <c r="C817" s="354" t="s">
        <v>391</v>
      </c>
      <c r="D817" s="355">
        <v>17.3</v>
      </c>
      <c r="E817" s="180"/>
      <c r="F817" s="181"/>
      <c r="G817" s="217">
        <f t="shared" ref="G817" si="148">(D817*E817)+(D817*F817)</f>
        <v>0</v>
      </c>
      <c r="N817" s="169"/>
      <c r="P817" s="169"/>
      <c r="Q817" s="169"/>
    </row>
    <row r="818" spans="1:17" x14ac:dyDescent="0.2">
      <c r="A818" s="352" t="s">
        <v>235</v>
      </c>
      <c r="B818" s="361" t="s">
        <v>229</v>
      </c>
      <c r="C818" s="354"/>
      <c r="D818" s="355"/>
      <c r="E818" s="180"/>
      <c r="F818" s="181"/>
      <c r="G818" s="217"/>
    </row>
    <row r="819" spans="1:17" x14ac:dyDescent="0.2">
      <c r="A819" s="352" t="s">
        <v>164</v>
      </c>
      <c r="B819" s="360" t="s">
        <v>579</v>
      </c>
      <c r="C819" s="354" t="s">
        <v>126</v>
      </c>
      <c r="D819" s="355">
        <v>171</v>
      </c>
      <c r="E819" s="180"/>
      <c r="F819" s="181"/>
      <c r="G819" s="217">
        <f t="shared" ref="G819" si="149">(D819*E819)+(D819*F819)</f>
        <v>0</v>
      </c>
      <c r="I819" s="28">
        <f>I685+I688+I688+8.3*8+25.8</f>
        <v>112.5</v>
      </c>
    </row>
    <row r="820" spans="1:17" x14ac:dyDescent="0.2">
      <c r="A820" s="352"/>
      <c r="B820" s="360"/>
      <c r="C820" s="354"/>
      <c r="D820" s="355"/>
      <c r="E820" s="180"/>
      <c r="F820" s="181"/>
      <c r="G820" s="217"/>
    </row>
    <row r="821" spans="1:17" ht="12.75" thickBot="1" x14ac:dyDescent="0.25">
      <c r="A821" s="393"/>
      <c r="B821" s="394"/>
      <c r="C821" s="362"/>
      <c r="D821" s="363"/>
      <c r="E821" s="184"/>
      <c r="F821" s="185"/>
      <c r="G821" s="395"/>
    </row>
    <row r="822" spans="1:17" x14ac:dyDescent="0.2">
      <c r="A822" s="352"/>
      <c r="B822" s="360"/>
      <c r="C822" s="354"/>
      <c r="D822" s="355"/>
      <c r="E822" s="180"/>
      <c r="F822" s="181"/>
      <c r="G822" s="217"/>
    </row>
    <row r="823" spans="1:17" x14ac:dyDescent="0.2">
      <c r="A823" s="356" t="s">
        <v>154</v>
      </c>
      <c r="B823" s="357" t="s">
        <v>466</v>
      </c>
      <c r="C823" s="358"/>
      <c r="D823" s="359"/>
      <c r="E823" s="221"/>
      <c r="F823" s="166"/>
      <c r="G823" s="167"/>
    </row>
    <row r="824" spans="1:17" x14ac:dyDescent="0.2">
      <c r="A824" s="352" t="s">
        <v>232</v>
      </c>
      <c r="B824" s="361" t="s">
        <v>226</v>
      </c>
      <c r="C824" s="354"/>
      <c r="D824" s="355"/>
      <c r="E824" s="180"/>
      <c r="F824" s="181"/>
      <c r="G824" s="217"/>
    </row>
    <row r="825" spans="1:17" x14ac:dyDescent="0.2">
      <c r="A825" s="352" t="s">
        <v>164</v>
      </c>
      <c r="B825" s="361" t="s">
        <v>521</v>
      </c>
      <c r="C825" s="354"/>
      <c r="D825" s="355"/>
      <c r="E825" s="180"/>
      <c r="F825" s="181"/>
      <c r="G825" s="217"/>
      <c r="I825" s="28">
        <f>12.5+2.95+3.05+3.05+2.95</f>
        <v>24.5</v>
      </c>
    </row>
    <row r="826" spans="1:17" ht="13.5" x14ac:dyDescent="0.2">
      <c r="A826" s="352"/>
      <c r="B826" s="360" t="s">
        <v>297</v>
      </c>
      <c r="C826" s="354" t="s">
        <v>391</v>
      </c>
      <c r="D826" s="355">
        <v>205.85</v>
      </c>
      <c r="E826" s="180"/>
      <c r="F826" s="181"/>
      <c r="G826" s="217">
        <f t="shared" ref="G826" si="150">(D826*E826)+(D826*F826)</f>
        <v>0</v>
      </c>
      <c r="I826" s="28">
        <v>28.7</v>
      </c>
    </row>
    <row r="827" spans="1:17" x14ac:dyDescent="0.2">
      <c r="A827" s="352" t="s">
        <v>165</v>
      </c>
      <c r="B827" s="361" t="s">
        <v>528</v>
      </c>
      <c r="C827" s="354"/>
      <c r="D827" s="355"/>
      <c r="E827" s="180"/>
      <c r="F827" s="181"/>
      <c r="G827" s="217"/>
    </row>
    <row r="828" spans="1:17" ht="13.5" x14ac:dyDescent="0.2">
      <c r="A828" s="352"/>
      <c r="B828" s="360" t="s">
        <v>513</v>
      </c>
      <c r="C828" s="354" t="s">
        <v>391</v>
      </c>
      <c r="D828" s="355">
        <v>79.61</v>
      </c>
      <c r="E828" s="180"/>
      <c r="F828" s="181"/>
      <c r="G828" s="217">
        <f t="shared" ref="G828" si="151">(D828*E828)+(D828*F828)</f>
        <v>0</v>
      </c>
      <c r="I828" s="28">
        <f>19.1*1.85</f>
        <v>35.335000000000001</v>
      </c>
      <c r="J828" s="28">
        <f>4.28*3.2</f>
        <v>13.696000000000002</v>
      </c>
      <c r="K828" s="28">
        <f>SUM(I828:J828)</f>
        <v>49.031000000000006</v>
      </c>
    </row>
    <row r="829" spans="1:17" x14ac:dyDescent="0.2">
      <c r="A829" s="352" t="s">
        <v>176</v>
      </c>
      <c r="B829" s="361" t="s">
        <v>247</v>
      </c>
      <c r="C829" s="354"/>
      <c r="D829" s="355"/>
      <c r="E829" s="180"/>
      <c r="F829" s="181"/>
      <c r="G829" s="217"/>
    </row>
    <row r="830" spans="1:17" ht="13.5" x14ac:dyDescent="0.2">
      <c r="A830" s="352"/>
      <c r="B830" s="360" t="s">
        <v>529</v>
      </c>
      <c r="C830" s="354" t="s">
        <v>391</v>
      </c>
      <c r="D830" s="355">
        <v>9</v>
      </c>
      <c r="E830" s="180"/>
      <c r="F830" s="181"/>
      <c r="G830" s="217">
        <f t="shared" ref="G830" si="152">(D830*E830)+(D830*F830)</f>
        <v>0</v>
      </c>
    </row>
    <row r="831" spans="1:17" x14ac:dyDescent="0.2">
      <c r="A831" s="352" t="s">
        <v>233</v>
      </c>
      <c r="B831" s="361" t="s">
        <v>227</v>
      </c>
      <c r="C831" s="354"/>
      <c r="D831" s="355"/>
      <c r="E831" s="180"/>
      <c r="F831" s="181"/>
      <c r="G831" s="217"/>
    </row>
    <row r="832" spans="1:17" ht="48" x14ac:dyDescent="0.2">
      <c r="A832" s="352"/>
      <c r="B832" s="361" t="s">
        <v>415</v>
      </c>
      <c r="C832" s="354"/>
      <c r="D832" s="355"/>
      <c r="E832" s="180"/>
      <c r="F832" s="181"/>
      <c r="G832" s="217"/>
    </row>
    <row r="833" spans="1:12" ht="13.5" x14ac:dyDescent="0.2">
      <c r="A833" s="352"/>
      <c r="B833" s="360" t="s">
        <v>414</v>
      </c>
      <c r="C833" s="354" t="s">
        <v>391</v>
      </c>
      <c r="D833" s="355">
        <v>39.200000000000003</v>
      </c>
      <c r="E833" s="180"/>
      <c r="F833" s="181"/>
      <c r="G833" s="217">
        <f t="shared" ref="G833:G834" si="153">(D833*E833)+(D833*F833)</f>
        <v>0</v>
      </c>
      <c r="I833" s="28">
        <f>1.75*4+1.225*8</f>
        <v>16.8</v>
      </c>
      <c r="J833" s="28">
        <f>I833*2.6</f>
        <v>43.680000000000007</v>
      </c>
      <c r="K833" s="28">
        <f>0.6*1.9*4</f>
        <v>4.5599999999999996</v>
      </c>
      <c r="L833" s="28">
        <f>J833-K833</f>
        <v>39.120000000000005</v>
      </c>
    </row>
    <row r="834" spans="1:12" ht="17.25" customHeight="1" x14ac:dyDescent="0.2">
      <c r="A834" s="352"/>
      <c r="B834" s="360" t="s">
        <v>527</v>
      </c>
      <c r="C834" s="354" t="s">
        <v>391</v>
      </c>
      <c r="D834" s="355">
        <v>3.7</v>
      </c>
      <c r="E834" s="180"/>
      <c r="F834" s="181"/>
      <c r="G834" s="217">
        <f t="shared" si="153"/>
        <v>0</v>
      </c>
      <c r="I834" s="28">
        <f>1.225*1.5*2</f>
        <v>3.6750000000000003</v>
      </c>
      <c r="J834" s="169"/>
      <c r="L834" s="169"/>
    </row>
    <row r="835" spans="1:12" x14ac:dyDescent="0.2">
      <c r="A835" s="352" t="s">
        <v>234</v>
      </c>
      <c r="B835" s="361" t="s">
        <v>228</v>
      </c>
      <c r="C835" s="354"/>
      <c r="D835" s="355"/>
      <c r="E835" s="180"/>
      <c r="F835" s="181"/>
      <c r="G835" s="217"/>
    </row>
    <row r="836" spans="1:12" x14ac:dyDescent="0.2">
      <c r="A836" s="352" t="s">
        <v>164</v>
      </c>
      <c r="B836" s="361" t="s">
        <v>246</v>
      </c>
      <c r="C836" s="354"/>
      <c r="D836" s="355"/>
      <c r="E836" s="180"/>
      <c r="F836" s="181"/>
      <c r="G836" s="217"/>
    </row>
    <row r="837" spans="1:12" ht="13.5" x14ac:dyDescent="0.2">
      <c r="A837" s="352"/>
      <c r="B837" s="360" t="s">
        <v>255</v>
      </c>
      <c r="C837" s="354" t="s">
        <v>391</v>
      </c>
      <c r="D837" s="355">
        <v>17.3</v>
      </c>
      <c r="E837" s="180"/>
      <c r="F837" s="181"/>
      <c r="G837" s="217">
        <f t="shared" ref="G837" si="154">(D837*E837)+(D837*F837)</f>
        <v>0</v>
      </c>
    </row>
    <row r="838" spans="1:12" x14ac:dyDescent="0.2">
      <c r="A838" s="352" t="s">
        <v>235</v>
      </c>
      <c r="B838" s="361" t="s">
        <v>229</v>
      </c>
      <c r="C838" s="354"/>
      <c r="D838" s="355"/>
      <c r="E838" s="180"/>
      <c r="F838" s="181"/>
      <c r="G838" s="217"/>
    </row>
    <row r="839" spans="1:12" x14ac:dyDescent="0.2">
      <c r="A839" s="352" t="s">
        <v>164</v>
      </c>
      <c r="B839" s="360" t="s">
        <v>579</v>
      </c>
      <c r="C839" s="354" t="s">
        <v>126</v>
      </c>
      <c r="D839" s="355">
        <v>171</v>
      </c>
      <c r="E839" s="180"/>
      <c r="F839" s="181"/>
      <c r="G839" s="217">
        <f t="shared" ref="G839" si="155">(D839*E839)+(D839*F839)</f>
        <v>0</v>
      </c>
      <c r="I839" s="28">
        <f>I707+I709+I709+8.3*8+25.8</f>
        <v>162.693375</v>
      </c>
    </row>
    <row r="840" spans="1:12" x14ac:dyDescent="0.2">
      <c r="A840" s="356" t="s">
        <v>155</v>
      </c>
      <c r="B840" s="357" t="s">
        <v>260</v>
      </c>
      <c r="C840" s="358"/>
      <c r="D840" s="359"/>
      <c r="E840" s="221"/>
      <c r="F840" s="166"/>
      <c r="G840" s="167"/>
    </row>
    <row r="841" spans="1:12" x14ac:dyDescent="0.2">
      <c r="A841" s="352" t="s">
        <v>232</v>
      </c>
      <c r="B841" s="361" t="s">
        <v>226</v>
      </c>
      <c r="C841" s="354"/>
      <c r="D841" s="355"/>
      <c r="E841" s="180"/>
      <c r="F841" s="181"/>
      <c r="G841" s="217"/>
    </row>
    <row r="842" spans="1:12" x14ac:dyDescent="0.2">
      <c r="A842" s="352" t="s">
        <v>165</v>
      </c>
      <c r="B842" s="361" t="s">
        <v>528</v>
      </c>
      <c r="C842" s="354"/>
      <c r="D842" s="355"/>
      <c r="E842" s="180"/>
      <c r="F842" s="181"/>
      <c r="G842" s="217"/>
    </row>
    <row r="843" spans="1:12" ht="13.5" x14ac:dyDescent="0.2">
      <c r="A843" s="352"/>
      <c r="B843" s="360" t="s">
        <v>531</v>
      </c>
      <c r="C843" s="354" t="s">
        <v>391</v>
      </c>
      <c r="D843" s="355">
        <v>153.44999999999999</v>
      </c>
      <c r="E843" s="180"/>
      <c r="F843" s="181"/>
      <c r="G843" s="217">
        <f t="shared" ref="G843" si="156">(D843*E843)+(D843*F843)</f>
        <v>0</v>
      </c>
      <c r="I843" s="28">
        <f>19.1*1.85</f>
        <v>35.335000000000001</v>
      </c>
      <c r="J843" s="28">
        <f>4.28*3.2</f>
        <v>13.696000000000002</v>
      </c>
      <c r="K843" s="28">
        <f>SUM(I843:J843)</f>
        <v>49.031000000000006</v>
      </c>
    </row>
    <row r="844" spans="1:12" ht="13.5" x14ac:dyDescent="0.2">
      <c r="A844" s="352"/>
      <c r="B844" s="360" t="s">
        <v>532</v>
      </c>
      <c r="C844" s="354" t="s">
        <v>391</v>
      </c>
      <c r="D844" s="355">
        <v>28.4</v>
      </c>
      <c r="E844" s="180"/>
      <c r="F844" s="181"/>
      <c r="G844" s="217">
        <f t="shared" ref="G844" si="157">(D844*E844)+(D844*F844)</f>
        <v>0</v>
      </c>
    </row>
    <row r="845" spans="1:12" x14ac:dyDescent="0.2">
      <c r="A845" s="352" t="s">
        <v>233</v>
      </c>
      <c r="B845" s="361" t="s">
        <v>533</v>
      </c>
      <c r="C845" s="354"/>
      <c r="D845" s="355"/>
      <c r="E845" s="180"/>
      <c r="F845" s="181"/>
      <c r="G845" s="217"/>
    </row>
    <row r="846" spans="1:12" ht="24" x14ac:dyDescent="0.2">
      <c r="A846" s="352" t="s">
        <v>164</v>
      </c>
      <c r="B846" s="360" t="s">
        <v>534</v>
      </c>
      <c r="C846" s="354" t="s">
        <v>126</v>
      </c>
      <c r="D846" s="355">
        <v>45</v>
      </c>
      <c r="E846" s="180"/>
      <c r="F846" s="181"/>
      <c r="G846" s="217">
        <f t="shared" ref="G846" si="158">(D846*E846)+(D846*F846)</f>
        <v>0</v>
      </c>
      <c r="I846" s="28">
        <f>I289+I291</f>
        <v>147.5</v>
      </c>
      <c r="J846" s="28">
        <f>I846*0.3</f>
        <v>44.25</v>
      </c>
    </row>
    <row r="847" spans="1:12" x14ac:dyDescent="0.2">
      <c r="A847" s="237"/>
      <c r="B847" s="238"/>
      <c r="C847" s="178"/>
      <c r="D847" s="57"/>
      <c r="E847" s="180"/>
      <c r="F847" s="181"/>
      <c r="G847" s="217"/>
    </row>
    <row r="848" spans="1:12" x14ac:dyDescent="0.2">
      <c r="A848" s="233" t="s">
        <v>168</v>
      </c>
      <c r="B848" s="234" t="s">
        <v>210</v>
      </c>
      <c r="C848" s="131"/>
      <c r="D848" s="121"/>
      <c r="E848" s="122"/>
      <c r="F848" s="235"/>
      <c r="G848" s="236"/>
    </row>
    <row r="849" spans="1:9" ht="24" x14ac:dyDescent="0.2">
      <c r="A849" s="239" t="s">
        <v>535</v>
      </c>
      <c r="B849" s="238" t="s">
        <v>399</v>
      </c>
      <c r="C849" s="178" t="s">
        <v>15</v>
      </c>
      <c r="D849" s="57">
        <v>1</v>
      </c>
      <c r="E849" s="180"/>
      <c r="F849" s="181"/>
      <c r="G849" s="217">
        <f>(D849*E849)+(D849*F849)</f>
        <v>0</v>
      </c>
    </row>
    <row r="850" spans="1:9" x14ac:dyDescent="0.2">
      <c r="A850" s="237"/>
      <c r="B850" s="238"/>
      <c r="C850" s="178"/>
      <c r="D850" s="57"/>
      <c r="E850" s="180"/>
      <c r="F850" s="181"/>
      <c r="G850" s="217"/>
    </row>
    <row r="851" spans="1:9" x14ac:dyDescent="0.2">
      <c r="A851" s="233" t="s">
        <v>573</v>
      </c>
      <c r="B851" s="234" t="s">
        <v>574</v>
      </c>
      <c r="C851" s="131"/>
      <c r="D851" s="121"/>
      <c r="E851" s="122"/>
      <c r="F851" s="235"/>
      <c r="G851" s="236"/>
    </row>
    <row r="852" spans="1:9" ht="24" x14ac:dyDescent="0.2">
      <c r="A852" s="239" t="s">
        <v>535</v>
      </c>
      <c r="B852" s="238" t="s">
        <v>575</v>
      </c>
      <c r="C852" s="368" t="s">
        <v>391</v>
      </c>
      <c r="D852" s="57">
        <v>7</v>
      </c>
      <c r="E852" s="180"/>
      <c r="F852" s="181"/>
      <c r="G852" s="217">
        <f>(D852*E852)+(D852*F852)</f>
        <v>0</v>
      </c>
      <c r="I852" s="28">
        <f>1.4*5</f>
        <v>7</v>
      </c>
    </row>
    <row r="853" spans="1:9" x14ac:dyDescent="0.2">
      <c r="A853" s="237"/>
      <c r="B853" s="238"/>
      <c r="C853" s="178"/>
      <c r="D853" s="57"/>
      <c r="E853" s="180"/>
      <c r="F853" s="181"/>
      <c r="G853" s="217"/>
    </row>
    <row r="854" spans="1:9" x14ac:dyDescent="0.2">
      <c r="A854" s="233" t="s">
        <v>580</v>
      </c>
      <c r="B854" s="234" t="s">
        <v>581</v>
      </c>
      <c r="C854" s="131"/>
      <c r="D854" s="121"/>
      <c r="E854" s="122"/>
      <c r="F854" s="235"/>
      <c r="G854" s="236"/>
    </row>
    <row r="855" spans="1:9" ht="24" x14ac:dyDescent="0.2">
      <c r="A855" s="239" t="s">
        <v>535</v>
      </c>
      <c r="B855" s="238" t="s">
        <v>582</v>
      </c>
      <c r="C855" s="368"/>
      <c r="D855" s="57"/>
      <c r="E855" s="180"/>
      <c r="F855" s="181"/>
      <c r="G855" s="217"/>
    </row>
    <row r="856" spans="1:9" ht="13.5" x14ac:dyDescent="0.2">
      <c r="A856" s="237"/>
      <c r="B856" s="238" t="s">
        <v>583</v>
      </c>
      <c r="C856" s="368" t="s">
        <v>391</v>
      </c>
      <c r="D856" s="57">
        <v>5.2</v>
      </c>
      <c r="E856" s="180"/>
      <c r="F856" s="181"/>
      <c r="G856" s="217">
        <f t="shared" ref="G856:G861" si="159">(D856*E856)+(D856*F856)</f>
        <v>0</v>
      </c>
    </row>
    <row r="857" spans="1:9" ht="13.5" x14ac:dyDescent="0.2">
      <c r="A857" s="237"/>
      <c r="B857" s="238" t="s">
        <v>584</v>
      </c>
      <c r="C857" s="368" t="s">
        <v>391</v>
      </c>
      <c r="D857" s="57">
        <v>9</v>
      </c>
      <c r="E857" s="180"/>
      <c r="F857" s="181"/>
      <c r="G857" s="217">
        <f t="shared" si="159"/>
        <v>0</v>
      </c>
    </row>
    <row r="858" spans="1:9" ht="13.5" x14ac:dyDescent="0.2">
      <c r="A858" s="237"/>
      <c r="B858" s="238" t="s">
        <v>585</v>
      </c>
      <c r="C858" s="368" t="s">
        <v>391</v>
      </c>
      <c r="D858" s="57">
        <v>9</v>
      </c>
      <c r="E858" s="180"/>
      <c r="F858" s="181"/>
      <c r="G858" s="217">
        <f t="shared" si="159"/>
        <v>0</v>
      </c>
    </row>
    <row r="859" spans="1:9" ht="13.5" x14ac:dyDescent="0.2">
      <c r="A859" s="237"/>
      <c r="B859" s="238" t="s">
        <v>586</v>
      </c>
      <c r="C859" s="368" t="s">
        <v>391</v>
      </c>
      <c r="D859" s="57">
        <v>9</v>
      </c>
      <c r="E859" s="180"/>
      <c r="F859" s="181"/>
      <c r="G859" s="217">
        <f t="shared" si="159"/>
        <v>0</v>
      </c>
    </row>
    <row r="860" spans="1:9" ht="13.5" x14ac:dyDescent="0.2">
      <c r="A860" s="237"/>
      <c r="B860" s="238" t="s">
        <v>587</v>
      </c>
      <c r="C860" s="368" t="s">
        <v>391</v>
      </c>
      <c r="D860" s="57">
        <v>9</v>
      </c>
      <c r="E860" s="180"/>
      <c r="F860" s="181"/>
      <c r="G860" s="217">
        <f t="shared" si="159"/>
        <v>0</v>
      </c>
    </row>
    <row r="861" spans="1:9" ht="13.5" x14ac:dyDescent="0.2">
      <c r="A861" s="237"/>
      <c r="B861" s="238" t="s">
        <v>588</v>
      </c>
      <c r="C861" s="368" t="s">
        <v>391</v>
      </c>
      <c r="D861" s="57">
        <v>153.44999999999999</v>
      </c>
      <c r="E861" s="180"/>
      <c r="F861" s="181"/>
      <c r="G861" s="217">
        <f t="shared" si="159"/>
        <v>0</v>
      </c>
    </row>
    <row r="862" spans="1:9" x14ac:dyDescent="0.2">
      <c r="A862" s="237"/>
      <c r="B862" s="238"/>
      <c r="C862" s="178"/>
      <c r="D862" s="57"/>
      <c r="E862" s="180"/>
      <c r="F862" s="181"/>
      <c r="G862" s="217"/>
    </row>
    <row r="863" spans="1:9" x14ac:dyDescent="0.2">
      <c r="A863" s="237"/>
      <c r="B863" s="238"/>
      <c r="C863" s="178"/>
      <c r="D863" s="57"/>
      <c r="E863" s="180"/>
      <c r="F863" s="181"/>
      <c r="G863" s="217"/>
    </row>
    <row r="864" spans="1:9" x14ac:dyDescent="0.2">
      <c r="A864" s="237"/>
      <c r="B864" s="238"/>
      <c r="C864" s="178"/>
      <c r="D864" s="57"/>
      <c r="E864" s="180"/>
      <c r="F864" s="181"/>
      <c r="G864" s="217"/>
    </row>
    <row r="865" spans="1:7" x14ac:dyDescent="0.2">
      <c r="A865" s="237"/>
      <c r="B865" s="238"/>
      <c r="C865" s="178"/>
      <c r="D865" s="57"/>
      <c r="E865" s="180"/>
      <c r="F865" s="181"/>
      <c r="G865" s="217"/>
    </row>
    <row r="866" spans="1:7" x14ac:dyDescent="0.2">
      <c r="A866" s="237"/>
      <c r="B866" s="238"/>
      <c r="C866" s="178"/>
      <c r="D866" s="57"/>
      <c r="E866" s="180"/>
      <c r="F866" s="181"/>
      <c r="G866" s="217"/>
    </row>
    <row r="867" spans="1:7" x14ac:dyDescent="0.2">
      <c r="A867" s="237"/>
      <c r="B867" s="238"/>
      <c r="C867" s="178"/>
      <c r="D867" s="57"/>
      <c r="E867" s="180"/>
      <c r="F867" s="181"/>
      <c r="G867" s="217"/>
    </row>
    <row r="868" spans="1:7" x14ac:dyDescent="0.2">
      <c r="A868" s="237"/>
      <c r="B868" s="238"/>
      <c r="C868" s="178"/>
      <c r="D868" s="57"/>
      <c r="E868" s="180"/>
      <c r="F868" s="181"/>
      <c r="G868" s="217"/>
    </row>
    <row r="869" spans="1:7" ht="12.75" thickBot="1" x14ac:dyDescent="0.25">
      <c r="A869" s="237"/>
      <c r="B869" s="238"/>
      <c r="C869" s="178"/>
      <c r="D869" s="57"/>
      <c r="E869" s="180"/>
      <c r="F869" s="181"/>
      <c r="G869" s="217"/>
    </row>
    <row r="870" spans="1:7" x14ac:dyDescent="0.2">
      <c r="A870" s="68"/>
      <c r="B870" s="69" t="s">
        <v>147</v>
      </c>
      <c r="C870" s="113"/>
      <c r="D870" s="71"/>
      <c r="E870" s="72"/>
      <c r="F870" s="191"/>
      <c r="G870" s="192"/>
    </row>
    <row r="871" spans="1:7" ht="12.75" thickBot="1" x14ac:dyDescent="0.25">
      <c r="A871" s="73"/>
      <c r="B871" s="74" t="s">
        <v>148</v>
      </c>
      <c r="C871" s="114"/>
      <c r="D871" s="76"/>
      <c r="E871" s="77"/>
      <c r="F871" s="155"/>
      <c r="G871" s="193">
        <f>SUM(G705:G870)</f>
        <v>0</v>
      </c>
    </row>
    <row r="872" spans="1:7" x14ac:dyDescent="0.2">
      <c r="A872" s="40"/>
      <c r="B872" s="80"/>
      <c r="C872" s="56"/>
      <c r="D872" s="57"/>
      <c r="E872" s="44"/>
      <c r="F872" s="59"/>
      <c r="G872" s="150"/>
    </row>
    <row r="873" spans="1:7" x14ac:dyDescent="0.2">
      <c r="A873" s="40"/>
      <c r="B873" s="41" t="s">
        <v>189</v>
      </c>
      <c r="C873" s="56"/>
      <c r="D873" s="57"/>
      <c r="E873" s="44"/>
      <c r="F873" s="59"/>
      <c r="G873" s="60"/>
    </row>
    <row r="874" spans="1:7" x14ac:dyDescent="0.2">
      <c r="A874" s="40"/>
      <c r="B874" s="49" t="s">
        <v>111</v>
      </c>
      <c r="C874" s="56"/>
      <c r="D874" s="57"/>
      <c r="E874" s="44"/>
      <c r="F874" s="59"/>
      <c r="G874" s="60"/>
    </row>
    <row r="875" spans="1:7" x14ac:dyDescent="0.2">
      <c r="A875" s="194" t="s">
        <v>169</v>
      </c>
      <c r="B875" s="51" t="s">
        <v>41</v>
      </c>
      <c r="C875" s="56"/>
      <c r="D875" s="57"/>
      <c r="E875" s="44"/>
      <c r="F875" s="59"/>
      <c r="G875" s="60"/>
    </row>
    <row r="876" spans="1:7" ht="45" customHeight="1" x14ac:dyDescent="0.2">
      <c r="A876" s="40"/>
      <c r="B876" s="62" t="s">
        <v>264</v>
      </c>
      <c r="C876" s="195"/>
      <c r="D876" s="195"/>
      <c r="E876" s="195"/>
      <c r="F876" s="195"/>
      <c r="G876" s="196"/>
    </row>
    <row r="877" spans="1:7" ht="62.25" customHeight="1" x14ac:dyDescent="0.2">
      <c r="A877" s="40"/>
      <c r="B877" s="62" t="s">
        <v>263</v>
      </c>
      <c r="C877" s="195"/>
      <c r="D877" s="195"/>
      <c r="E877" s="195"/>
      <c r="F877" s="195"/>
      <c r="G877" s="196"/>
    </row>
    <row r="878" spans="1:7" ht="43.5" customHeight="1" x14ac:dyDescent="0.2">
      <c r="A878" s="40"/>
      <c r="B878" s="62" t="s">
        <v>262</v>
      </c>
      <c r="C878" s="195"/>
      <c r="D878" s="195"/>
      <c r="E878" s="195"/>
      <c r="F878" s="195"/>
      <c r="G878" s="196"/>
    </row>
    <row r="879" spans="1:7" ht="38.25" customHeight="1" x14ac:dyDescent="0.2">
      <c r="A879" s="40"/>
      <c r="B879" s="62" t="s">
        <v>261</v>
      </c>
      <c r="C879" s="195"/>
      <c r="D879" s="195"/>
      <c r="E879" s="195"/>
      <c r="F879" s="195"/>
      <c r="G879" s="196"/>
    </row>
    <row r="880" spans="1:7" ht="13.5" customHeight="1" x14ac:dyDescent="0.2">
      <c r="A880" s="40"/>
      <c r="B880" s="420" t="s">
        <v>208</v>
      </c>
      <c r="C880" s="421"/>
      <c r="D880" s="421"/>
      <c r="E880" s="421"/>
      <c r="F880" s="421"/>
      <c r="G880" s="422"/>
    </row>
    <row r="881" spans="1:13" x14ac:dyDescent="0.2">
      <c r="A881" s="240" t="s">
        <v>151</v>
      </c>
      <c r="B881" s="241" t="s">
        <v>113</v>
      </c>
      <c r="C881" s="242"/>
      <c r="D881" s="243"/>
      <c r="E881" s="221"/>
      <c r="F881" s="166"/>
      <c r="G881" s="167"/>
    </row>
    <row r="882" spans="1:13" x14ac:dyDescent="0.2">
      <c r="A882" s="244"/>
      <c r="B882" s="245" t="s">
        <v>356</v>
      </c>
      <c r="C882" s="246"/>
      <c r="D882" s="247"/>
      <c r="E882" s="248"/>
      <c r="F882" s="249"/>
      <c r="G882" s="250"/>
    </row>
    <row r="883" spans="1:13" s="204" customFormat="1" ht="39.75" customHeight="1" x14ac:dyDescent="0.2">
      <c r="A883" s="63" t="s">
        <v>164</v>
      </c>
      <c r="B883" s="251" t="s">
        <v>506</v>
      </c>
      <c r="C883" s="252" t="s">
        <v>114</v>
      </c>
      <c r="D883" s="57">
        <v>12</v>
      </c>
      <c r="E883" s="44"/>
      <c r="F883" s="103"/>
      <c r="G883" s="104">
        <f t="shared" ref="G883:G886" si="160">(D883*E883)+(D883*F883)</f>
        <v>0</v>
      </c>
      <c r="I883" s="253">
        <f>1.86*2.75</f>
        <v>5.1150000000000002</v>
      </c>
      <c r="J883" s="254">
        <f>I883*D883</f>
        <v>61.38</v>
      </c>
      <c r="K883" s="253" t="e">
        <f>J883+#REF!+#REF!+J888</f>
        <v>#REF!</v>
      </c>
    </row>
    <row r="884" spans="1:13" s="204" customFormat="1" ht="24" x14ac:dyDescent="0.2">
      <c r="A884" s="63" t="s">
        <v>165</v>
      </c>
      <c r="B884" s="251" t="s">
        <v>504</v>
      </c>
      <c r="C884" s="252" t="s">
        <v>114</v>
      </c>
      <c r="D884" s="57">
        <v>1</v>
      </c>
      <c r="E884" s="44"/>
      <c r="F884" s="103"/>
      <c r="G884" s="104">
        <f t="shared" ref="G884" si="161">(D884*E884)+(D884*F884)</f>
        <v>0</v>
      </c>
      <c r="I884" s="254">
        <f>0.95*2.75</f>
        <v>2.6124999999999998</v>
      </c>
      <c r="J884" s="254">
        <f t="shared" ref="J884" si="162">I884*D884</f>
        <v>2.6124999999999998</v>
      </c>
      <c r="K884" s="253"/>
    </row>
    <row r="885" spans="1:13" s="204" customFormat="1" ht="29.25" customHeight="1" x14ac:dyDescent="0.2">
      <c r="A885" s="63" t="s">
        <v>176</v>
      </c>
      <c r="B885" s="251" t="s">
        <v>505</v>
      </c>
      <c r="C885" s="252" t="s">
        <v>114</v>
      </c>
      <c r="D885" s="57">
        <v>1</v>
      </c>
      <c r="E885" s="44"/>
      <c r="F885" s="103"/>
      <c r="G885" s="104">
        <f t="shared" si="160"/>
        <v>0</v>
      </c>
      <c r="I885" s="254">
        <f>0.9*2.1</f>
        <v>1.8900000000000001</v>
      </c>
      <c r="J885" s="254">
        <f t="shared" ref="J885" si="163">I885*D885</f>
        <v>1.8900000000000001</v>
      </c>
      <c r="K885" s="253"/>
    </row>
    <row r="886" spans="1:13" s="204" customFormat="1" ht="23.25" customHeight="1" x14ac:dyDescent="0.2">
      <c r="A886" s="63" t="s">
        <v>176</v>
      </c>
      <c r="B886" s="251" t="s">
        <v>503</v>
      </c>
      <c r="C886" s="252" t="s">
        <v>114</v>
      </c>
      <c r="D886" s="57">
        <v>3</v>
      </c>
      <c r="E886" s="44"/>
      <c r="F886" s="103"/>
      <c r="G886" s="104">
        <f t="shared" si="160"/>
        <v>0</v>
      </c>
      <c r="I886" s="253">
        <f>0.7*2.1</f>
        <v>1.47</v>
      </c>
      <c r="J886" s="254">
        <f>I886*D886</f>
        <v>4.41</v>
      </c>
      <c r="K886" s="253"/>
    </row>
    <row r="887" spans="1:13" ht="12" customHeight="1" x14ac:dyDescent="0.2">
      <c r="A887" s="244"/>
      <c r="B887" s="245" t="s">
        <v>355</v>
      </c>
      <c r="C887" s="246"/>
      <c r="D887" s="247"/>
      <c r="E887" s="248"/>
      <c r="F887" s="249"/>
      <c r="G887" s="250"/>
      <c r="I887" s="139"/>
      <c r="J887" s="254"/>
      <c r="K887" s="169"/>
    </row>
    <row r="888" spans="1:13" ht="40.5" customHeight="1" x14ac:dyDescent="0.2">
      <c r="A888" s="63" t="s">
        <v>164</v>
      </c>
      <c r="B888" s="251" t="s">
        <v>507</v>
      </c>
      <c r="C888" s="252" t="s">
        <v>114</v>
      </c>
      <c r="D888" s="57">
        <v>2</v>
      </c>
      <c r="E888" s="44"/>
      <c r="F888" s="103"/>
      <c r="G888" s="104">
        <f t="shared" ref="G888" si="164">(D888*E888)+(D888*F888)</f>
        <v>0</v>
      </c>
      <c r="I888" s="139">
        <f>0.7*0.6</f>
        <v>0.42</v>
      </c>
      <c r="J888" s="254">
        <f t="shared" ref="J888" si="165">I888*D888</f>
        <v>0.84</v>
      </c>
      <c r="K888" s="169"/>
    </row>
    <row r="889" spans="1:13" ht="12" customHeight="1" x14ac:dyDescent="0.2">
      <c r="A889" s="244"/>
      <c r="B889" s="245" t="s">
        <v>354</v>
      </c>
      <c r="C889" s="246"/>
      <c r="D889" s="247"/>
      <c r="E889" s="248"/>
      <c r="F889" s="249"/>
      <c r="G889" s="250"/>
      <c r="I889" s="139"/>
      <c r="J889" s="254">
        <f>SUM(J883:J888)</f>
        <v>71.132499999999993</v>
      </c>
      <c r="K889" s="169"/>
      <c r="L889" s="139">
        <f>J889-(J884+I886*3)</f>
        <v>64.11</v>
      </c>
      <c r="M889" s="139">
        <f>I886*3+J884</f>
        <v>7.0225</v>
      </c>
    </row>
    <row r="890" spans="1:13" ht="30" customHeight="1" x14ac:dyDescent="0.2">
      <c r="A890" s="63" t="s">
        <v>164</v>
      </c>
      <c r="B890" s="251" t="s">
        <v>357</v>
      </c>
      <c r="C890" s="252" t="s">
        <v>114</v>
      </c>
      <c r="D890" s="57">
        <v>10</v>
      </c>
      <c r="E890" s="44"/>
      <c r="F890" s="103"/>
      <c r="G890" s="104">
        <f t="shared" ref="G890:G891" si="166">(D890*E890)+(D890*F890)</f>
        <v>0</v>
      </c>
      <c r="I890" s="139"/>
      <c r="J890" s="254"/>
      <c r="K890" s="169"/>
    </row>
    <row r="891" spans="1:13" ht="25.5" customHeight="1" x14ac:dyDescent="0.2">
      <c r="A891" s="63" t="s">
        <v>165</v>
      </c>
      <c r="B891" s="251" t="s">
        <v>358</v>
      </c>
      <c r="C891" s="252" t="s">
        <v>114</v>
      </c>
      <c r="D891" s="57">
        <v>2</v>
      </c>
      <c r="E891" s="44"/>
      <c r="F891" s="103"/>
      <c r="G891" s="104">
        <f t="shared" si="166"/>
        <v>0</v>
      </c>
      <c r="I891" s="139"/>
      <c r="J891" s="254"/>
      <c r="K891" s="169"/>
    </row>
    <row r="892" spans="1:13" ht="12" customHeight="1" x14ac:dyDescent="0.2">
      <c r="A892" s="63"/>
      <c r="B892" s="251"/>
      <c r="C892" s="252"/>
      <c r="D892" s="57"/>
      <c r="E892" s="44"/>
      <c r="F892" s="103"/>
      <c r="G892" s="104"/>
      <c r="I892" s="139"/>
      <c r="J892" s="254"/>
      <c r="K892" s="169"/>
    </row>
    <row r="893" spans="1:13" x14ac:dyDescent="0.2">
      <c r="A893" s="240" t="s">
        <v>152</v>
      </c>
      <c r="B893" s="241" t="s">
        <v>69</v>
      </c>
      <c r="C893" s="242"/>
      <c r="D893" s="243"/>
      <c r="E893" s="221"/>
      <c r="F893" s="166"/>
      <c r="G893" s="167"/>
      <c r="J893" s="139"/>
      <c r="K893" s="139"/>
    </row>
    <row r="894" spans="1:13" x14ac:dyDescent="0.2">
      <c r="A894" s="244"/>
      <c r="B894" s="245" t="s">
        <v>356</v>
      </c>
      <c r="C894" s="246"/>
      <c r="D894" s="247"/>
      <c r="E894" s="248"/>
      <c r="F894" s="249"/>
      <c r="G894" s="250"/>
      <c r="K894" s="139"/>
    </row>
    <row r="895" spans="1:13" ht="38.25" customHeight="1" x14ac:dyDescent="0.2">
      <c r="A895" s="63" t="s">
        <v>164</v>
      </c>
      <c r="B895" s="251" t="s">
        <v>506</v>
      </c>
      <c r="C895" s="252" t="s">
        <v>114</v>
      </c>
      <c r="D895" s="57">
        <v>1</v>
      </c>
      <c r="E895" s="44"/>
      <c r="F895" s="103"/>
      <c r="G895" s="104">
        <f t="shared" ref="G895:G897" si="167">(D895*E895)+(D895*F895)</f>
        <v>0</v>
      </c>
      <c r="H895" s="204"/>
      <c r="I895" s="253">
        <f>1.86*2.75</f>
        <v>5.1150000000000002</v>
      </c>
      <c r="J895" s="254">
        <f>I895*D895</f>
        <v>5.1150000000000002</v>
      </c>
      <c r="K895" s="253"/>
      <c r="L895" s="204"/>
    </row>
    <row r="896" spans="1:13" ht="24" x14ac:dyDescent="0.2">
      <c r="A896" s="63" t="s">
        <v>165</v>
      </c>
      <c r="B896" s="251" t="s">
        <v>504</v>
      </c>
      <c r="C896" s="252" t="s">
        <v>114</v>
      </c>
      <c r="D896" s="57">
        <v>2</v>
      </c>
      <c r="E896" s="44"/>
      <c r="F896" s="103"/>
      <c r="G896" s="104">
        <f t="shared" si="167"/>
        <v>0</v>
      </c>
      <c r="H896" s="204"/>
      <c r="I896" s="254">
        <f>0.95*2.75</f>
        <v>2.6124999999999998</v>
      </c>
      <c r="J896" s="254">
        <f t="shared" ref="J896" si="168">I896*D896</f>
        <v>5.2249999999999996</v>
      </c>
      <c r="K896" s="253"/>
      <c r="L896" s="204"/>
    </row>
    <row r="897" spans="1:12" ht="24" x14ac:dyDescent="0.2">
      <c r="A897" s="63" t="s">
        <v>176</v>
      </c>
      <c r="B897" s="251" t="s">
        <v>503</v>
      </c>
      <c r="C897" s="252" t="s">
        <v>114</v>
      </c>
      <c r="D897" s="57">
        <v>4</v>
      </c>
      <c r="E897" s="44"/>
      <c r="F897" s="103"/>
      <c r="G897" s="104">
        <f t="shared" si="167"/>
        <v>0</v>
      </c>
      <c r="H897" s="204"/>
      <c r="I897" s="253">
        <f>0.7*2.1</f>
        <v>1.47</v>
      </c>
      <c r="J897" s="254">
        <f>I897*D897</f>
        <v>5.88</v>
      </c>
      <c r="K897" s="253"/>
      <c r="L897" s="204"/>
    </row>
    <row r="898" spans="1:12" ht="12" customHeight="1" x14ac:dyDescent="0.2">
      <c r="A898" s="244"/>
      <c r="B898" s="245" t="s">
        <v>355</v>
      </c>
      <c r="C898" s="246"/>
      <c r="D898" s="247"/>
      <c r="E898" s="248"/>
      <c r="F898" s="249"/>
      <c r="G898" s="250"/>
      <c r="I898" s="139"/>
      <c r="J898" s="254"/>
      <c r="K898" s="169"/>
    </row>
    <row r="899" spans="1:12" ht="48.75" thickBot="1" x14ac:dyDescent="0.25">
      <c r="A899" s="396" t="s">
        <v>164</v>
      </c>
      <c r="B899" s="397" t="s">
        <v>509</v>
      </c>
      <c r="C899" s="398" t="s">
        <v>114</v>
      </c>
      <c r="D899" s="76">
        <v>15</v>
      </c>
      <c r="E899" s="77"/>
      <c r="F899" s="399"/>
      <c r="G899" s="400">
        <f t="shared" ref="G899" si="169">(D899*E899)+(D899*F899)</f>
        <v>0</v>
      </c>
      <c r="I899" s="139">
        <f>1.85*1.75</f>
        <v>3.2375000000000003</v>
      </c>
      <c r="J899" s="254">
        <f t="shared" ref="J899:J900" si="170">I899*D899</f>
        <v>48.562500000000007</v>
      </c>
      <c r="K899" s="169"/>
    </row>
    <row r="900" spans="1:12" ht="42.75" customHeight="1" x14ac:dyDescent="0.2">
      <c r="A900" s="63" t="s">
        <v>165</v>
      </c>
      <c r="B900" s="251" t="s">
        <v>507</v>
      </c>
      <c r="C900" s="252" t="s">
        <v>114</v>
      </c>
      <c r="D900" s="57">
        <v>2</v>
      </c>
      <c r="E900" s="44"/>
      <c r="F900" s="103"/>
      <c r="G900" s="104">
        <f t="shared" ref="G900" si="171">(D900*E900)+(D900*F900)</f>
        <v>0</v>
      </c>
      <c r="I900" s="139">
        <f>0.7*0.6</f>
        <v>0.42</v>
      </c>
      <c r="J900" s="254">
        <f t="shared" si="170"/>
        <v>0.84</v>
      </c>
      <c r="K900" s="169"/>
    </row>
    <row r="901" spans="1:12" ht="12" customHeight="1" x14ac:dyDescent="0.2">
      <c r="A901" s="244"/>
      <c r="B901" s="245" t="s">
        <v>354</v>
      </c>
      <c r="C901" s="246"/>
      <c r="D901" s="247"/>
      <c r="E901" s="248"/>
      <c r="F901" s="249"/>
      <c r="G901" s="250"/>
      <c r="I901" s="139"/>
      <c r="J901" s="254">
        <f>SUM(J895:J900)</f>
        <v>65.622500000000002</v>
      </c>
      <c r="K901" s="139">
        <f>J901-J897</f>
        <v>59.7425</v>
      </c>
      <c r="L901" s="139">
        <f>J897</f>
        <v>5.88</v>
      </c>
    </row>
    <row r="902" spans="1:12" ht="24" customHeight="1" x14ac:dyDescent="0.2">
      <c r="A902" s="63" t="s">
        <v>164</v>
      </c>
      <c r="B902" s="251" t="s">
        <v>357</v>
      </c>
      <c r="C902" s="252" t="s">
        <v>114</v>
      </c>
      <c r="D902" s="57">
        <v>10</v>
      </c>
      <c r="E902" s="44"/>
      <c r="F902" s="103"/>
      <c r="G902" s="104">
        <f t="shared" ref="G902:G903" si="172">(D902*E902)+(D902*F902)</f>
        <v>0</v>
      </c>
      <c r="I902" s="139"/>
      <c r="J902" s="254"/>
      <c r="K902" s="139"/>
    </row>
    <row r="903" spans="1:12" ht="25.5" customHeight="1" x14ac:dyDescent="0.2">
      <c r="A903" s="63" t="s">
        <v>165</v>
      </c>
      <c r="B903" s="251" t="s">
        <v>358</v>
      </c>
      <c r="C903" s="252" t="s">
        <v>114</v>
      </c>
      <c r="D903" s="57">
        <v>2</v>
      </c>
      <c r="E903" s="44"/>
      <c r="F903" s="103"/>
      <c r="G903" s="104">
        <f t="shared" si="172"/>
        <v>0</v>
      </c>
      <c r="I903" s="139"/>
      <c r="J903" s="254"/>
      <c r="K903" s="139"/>
    </row>
    <row r="904" spans="1:12" ht="12" customHeight="1" x14ac:dyDescent="0.2">
      <c r="A904" s="63"/>
      <c r="B904" s="251"/>
      <c r="C904" s="252"/>
      <c r="D904" s="57"/>
      <c r="E904" s="44"/>
      <c r="F904" s="103"/>
      <c r="G904" s="104"/>
      <c r="I904" s="139"/>
      <c r="J904" s="254"/>
      <c r="K904" s="139"/>
    </row>
    <row r="905" spans="1:12" ht="12" customHeight="1" x14ac:dyDescent="0.2">
      <c r="A905" s="240" t="s">
        <v>57</v>
      </c>
      <c r="B905" s="241" t="s">
        <v>71</v>
      </c>
      <c r="C905" s="242"/>
      <c r="D905" s="243"/>
      <c r="E905" s="221"/>
      <c r="F905" s="166"/>
      <c r="G905" s="167"/>
      <c r="J905" s="254"/>
      <c r="K905" s="139"/>
    </row>
    <row r="906" spans="1:12" ht="12" customHeight="1" x14ac:dyDescent="0.2">
      <c r="A906" s="244"/>
      <c r="B906" s="245" t="s">
        <v>356</v>
      </c>
      <c r="C906" s="246"/>
      <c r="D906" s="247"/>
      <c r="E906" s="248"/>
      <c r="F906" s="249"/>
      <c r="G906" s="250"/>
      <c r="J906" s="254"/>
      <c r="K906" s="139"/>
    </row>
    <row r="907" spans="1:12" ht="26.25" customHeight="1" x14ac:dyDescent="0.2">
      <c r="A907" s="63" t="s">
        <v>164</v>
      </c>
      <c r="B907" s="251" t="s">
        <v>504</v>
      </c>
      <c r="C907" s="252" t="s">
        <v>114</v>
      </c>
      <c r="D907" s="57">
        <v>8</v>
      </c>
      <c r="E907" s="44"/>
      <c r="F907" s="103"/>
      <c r="G907" s="104">
        <f t="shared" ref="G907:G908" si="173">(D907*E907)+(D907*F907)</f>
        <v>0</v>
      </c>
      <c r="H907" s="204"/>
      <c r="I907" s="254">
        <f>0.95*2.75</f>
        <v>2.6124999999999998</v>
      </c>
      <c r="J907" s="254">
        <f t="shared" ref="J907" si="174">I907*D907</f>
        <v>20.9</v>
      </c>
      <c r="K907" s="253"/>
    </row>
    <row r="908" spans="1:12" ht="26.25" customHeight="1" x14ac:dyDescent="0.2">
      <c r="A908" s="63" t="s">
        <v>165</v>
      </c>
      <c r="B908" s="251" t="s">
        <v>503</v>
      </c>
      <c r="C908" s="252" t="s">
        <v>114</v>
      </c>
      <c r="D908" s="57">
        <v>4</v>
      </c>
      <c r="E908" s="44"/>
      <c r="F908" s="103"/>
      <c r="G908" s="104">
        <f t="shared" si="173"/>
        <v>0</v>
      </c>
      <c r="H908" s="204"/>
      <c r="I908" s="253">
        <f>0.7*2.1</f>
        <v>1.47</v>
      </c>
      <c r="J908" s="254">
        <f>I908*D908</f>
        <v>5.88</v>
      </c>
      <c r="K908" s="253"/>
    </row>
    <row r="909" spans="1:12" x14ac:dyDescent="0.2">
      <c r="A909" s="244"/>
      <c r="B909" s="245" t="s">
        <v>355</v>
      </c>
      <c r="C909" s="246"/>
      <c r="D909" s="247"/>
      <c r="E909" s="248"/>
      <c r="F909" s="249"/>
      <c r="G909" s="250"/>
      <c r="J909" s="139"/>
      <c r="K909" s="139"/>
    </row>
    <row r="910" spans="1:12" ht="48" x14ac:dyDescent="0.2">
      <c r="A910" s="63" t="s">
        <v>164</v>
      </c>
      <c r="B910" s="251" t="s">
        <v>510</v>
      </c>
      <c r="C910" s="252" t="s">
        <v>114</v>
      </c>
      <c r="D910" s="57">
        <v>8</v>
      </c>
      <c r="E910" s="44"/>
      <c r="F910" s="103"/>
      <c r="G910" s="104">
        <f t="shared" ref="G910:G912" si="175">(D910*E910)+(D910*F910)</f>
        <v>0</v>
      </c>
      <c r="I910" s="139">
        <f>2.45*1.75</f>
        <v>4.2875000000000005</v>
      </c>
      <c r="J910" s="254">
        <f t="shared" ref="J910:J912" si="176">I910*D910</f>
        <v>34.300000000000004</v>
      </c>
      <c r="K910" s="169"/>
    </row>
    <row r="911" spans="1:12" ht="48" x14ac:dyDescent="0.2">
      <c r="A911" s="63" t="s">
        <v>165</v>
      </c>
      <c r="B911" s="251" t="s">
        <v>511</v>
      </c>
      <c r="C911" s="252" t="s">
        <v>114</v>
      </c>
      <c r="D911" s="57">
        <v>8</v>
      </c>
      <c r="E911" s="44"/>
      <c r="F911" s="103"/>
      <c r="G911" s="104">
        <f t="shared" ref="G911" si="177">(D911*E911)+(D911*F911)</f>
        <v>0</v>
      </c>
      <c r="I911" s="139">
        <f>1.575*1.75</f>
        <v>2.7562500000000001</v>
      </c>
      <c r="J911" s="254">
        <f t="shared" si="176"/>
        <v>22.05</v>
      </c>
      <c r="K911" s="169"/>
    </row>
    <row r="912" spans="1:12" ht="36" x14ac:dyDescent="0.2">
      <c r="A912" s="63" t="s">
        <v>176</v>
      </c>
      <c r="B912" s="251" t="s">
        <v>507</v>
      </c>
      <c r="C912" s="252" t="s">
        <v>114</v>
      </c>
      <c r="D912" s="57">
        <v>2</v>
      </c>
      <c r="E912" s="44"/>
      <c r="F912" s="103"/>
      <c r="G912" s="104">
        <f t="shared" si="175"/>
        <v>0</v>
      </c>
      <c r="I912" s="139">
        <f>0.7*0.6</f>
        <v>0.42</v>
      </c>
      <c r="J912" s="254">
        <f t="shared" si="176"/>
        <v>0.84</v>
      </c>
      <c r="K912" s="169"/>
    </row>
    <row r="913" spans="1:11" x14ac:dyDescent="0.2">
      <c r="A913" s="244"/>
      <c r="B913" s="245" t="s">
        <v>354</v>
      </c>
      <c r="C913" s="246"/>
      <c r="D913" s="247"/>
      <c r="E913" s="248"/>
      <c r="F913" s="249"/>
      <c r="G913" s="250"/>
      <c r="I913" s="169"/>
      <c r="J913" s="139">
        <f>SUM(J907:J912)</f>
        <v>83.97</v>
      </c>
      <c r="K913" s="139">
        <f>J913-J908</f>
        <v>78.09</v>
      </c>
    </row>
    <row r="914" spans="1:11" ht="24" x14ac:dyDescent="0.2">
      <c r="A914" s="63" t="s">
        <v>164</v>
      </c>
      <c r="B914" s="251" t="s">
        <v>578</v>
      </c>
      <c r="C914" s="252" t="s">
        <v>114</v>
      </c>
      <c r="D914" s="57">
        <v>6</v>
      </c>
      <c r="E914" s="44"/>
      <c r="F914" s="103"/>
      <c r="G914" s="104">
        <f t="shared" ref="G914" si="178">(D914*E914)+(D914*F914)</f>
        <v>0</v>
      </c>
      <c r="I914" s="169"/>
      <c r="J914" s="139"/>
    </row>
    <row r="915" spans="1:11" x14ac:dyDescent="0.2">
      <c r="A915" s="240" t="s">
        <v>153</v>
      </c>
      <c r="B915" s="241" t="s">
        <v>458</v>
      </c>
      <c r="C915" s="242"/>
      <c r="D915" s="243"/>
      <c r="E915" s="221"/>
      <c r="F915" s="166"/>
      <c r="G915" s="167"/>
      <c r="J915" s="254"/>
      <c r="K915" s="139"/>
    </row>
    <row r="916" spans="1:11" x14ac:dyDescent="0.2">
      <c r="A916" s="244"/>
      <c r="B916" s="245" t="s">
        <v>356</v>
      </c>
      <c r="C916" s="246"/>
      <c r="D916" s="247"/>
      <c r="E916" s="248"/>
      <c r="F916" s="249"/>
      <c r="G916" s="250"/>
      <c r="J916" s="254"/>
      <c r="K916" s="139"/>
    </row>
    <row r="917" spans="1:11" ht="24" x14ac:dyDescent="0.2">
      <c r="A917" s="63" t="s">
        <v>164</v>
      </c>
      <c r="B917" s="251" t="s">
        <v>504</v>
      </c>
      <c r="C917" s="252" t="s">
        <v>114</v>
      </c>
      <c r="D917" s="57">
        <v>8</v>
      </c>
      <c r="E917" s="44"/>
      <c r="F917" s="103"/>
      <c r="G917" s="104">
        <f t="shared" ref="G917:G918" si="179">(D917*E917)+(D917*F917)</f>
        <v>0</v>
      </c>
      <c r="H917" s="204"/>
      <c r="I917" s="254">
        <f>0.95*2.75</f>
        <v>2.6124999999999998</v>
      </c>
      <c r="J917" s="254">
        <f t="shared" ref="J917" si="180">I917*D917</f>
        <v>20.9</v>
      </c>
      <c r="K917" s="253"/>
    </row>
    <row r="918" spans="1:11" ht="24" x14ac:dyDescent="0.2">
      <c r="A918" s="63" t="s">
        <v>165</v>
      </c>
      <c r="B918" s="251" t="s">
        <v>503</v>
      </c>
      <c r="C918" s="252" t="s">
        <v>114</v>
      </c>
      <c r="D918" s="57">
        <v>4</v>
      </c>
      <c r="E918" s="44"/>
      <c r="F918" s="103"/>
      <c r="G918" s="104">
        <f t="shared" si="179"/>
        <v>0</v>
      </c>
      <c r="H918" s="204"/>
      <c r="I918" s="253">
        <f>0.7*2.1</f>
        <v>1.47</v>
      </c>
      <c r="J918" s="254">
        <f>I918*D918</f>
        <v>5.88</v>
      </c>
      <c r="K918" s="253"/>
    </row>
    <row r="919" spans="1:11" x14ac:dyDescent="0.2">
      <c r="A919" s="244"/>
      <c r="B919" s="245" t="s">
        <v>355</v>
      </c>
      <c r="C919" s="246"/>
      <c r="D919" s="247"/>
      <c r="E919" s="248"/>
      <c r="F919" s="249"/>
      <c r="G919" s="250"/>
      <c r="J919" s="139"/>
      <c r="K919" s="139"/>
    </row>
    <row r="920" spans="1:11" ht="48" x14ac:dyDescent="0.2">
      <c r="A920" s="63" t="s">
        <v>164</v>
      </c>
      <c r="B920" s="251" t="s">
        <v>510</v>
      </c>
      <c r="C920" s="252" t="s">
        <v>114</v>
      </c>
      <c r="D920" s="57">
        <v>8</v>
      </c>
      <c r="E920" s="44"/>
      <c r="F920" s="103"/>
      <c r="G920" s="104">
        <f t="shared" ref="G920:G922" si="181">(D920*E920)+(D920*F920)</f>
        <v>0</v>
      </c>
      <c r="I920" s="139">
        <f>2.45*1.75</f>
        <v>4.2875000000000005</v>
      </c>
      <c r="J920" s="254">
        <f t="shared" ref="J920:J922" si="182">I920*D920</f>
        <v>34.300000000000004</v>
      </c>
      <c r="K920" s="169"/>
    </row>
    <row r="921" spans="1:11" ht="48" x14ac:dyDescent="0.2">
      <c r="A921" s="63" t="s">
        <v>165</v>
      </c>
      <c r="B921" s="251" t="s">
        <v>511</v>
      </c>
      <c r="C921" s="252" t="s">
        <v>114</v>
      </c>
      <c r="D921" s="57">
        <v>8</v>
      </c>
      <c r="E921" s="44"/>
      <c r="F921" s="103"/>
      <c r="G921" s="104">
        <f t="shared" si="181"/>
        <v>0</v>
      </c>
      <c r="I921" s="139">
        <f>1.575*1.75</f>
        <v>2.7562500000000001</v>
      </c>
      <c r="J921" s="254">
        <f t="shared" si="182"/>
        <v>22.05</v>
      </c>
      <c r="K921" s="169"/>
    </row>
    <row r="922" spans="1:11" ht="36" x14ac:dyDescent="0.2">
      <c r="A922" s="63" t="s">
        <v>176</v>
      </c>
      <c r="B922" s="251" t="s">
        <v>507</v>
      </c>
      <c r="C922" s="252" t="s">
        <v>114</v>
      </c>
      <c r="D922" s="57">
        <v>2</v>
      </c>
      <c r="E922" s="44"/>
      <c r="F922" s="103"/>
      <c r="G922" s="104">
        <f t="shared" si="181"/>
        <v>0</v>
      </c>
      <c r="I922" s="139">
        <f>0.7*0.6</f>
        <v>0.42</v>
      </c>
      <c r="J922" s="254">
        <f t="shared" si="182"/>
        <v>0.84</v>
      </c>
      <c r="K922" s="169"/>
    </row>
    <row r="923" spans="1:11" x14ac:dyDescent="0.2">
      <c r="A923" s="244"/>
      <c r="B923" s="245" t="s">
        <v>354</v>
      </c>
      <c r="C923" s="246"/>
      <c r="D923" s="247"/>
      <c r="E923" s="248"/>
      <c r="F923" s="249"/>
      <c r="G923" s="250"/>
      <c r="I923" s="169"/>
      <c r="J923" s="139">
        <f>SUM(J917:J922)</f>
        <v>83.97</v>
      </c>
      <c r="K923" s="139">
        <f>J923-J918</f>
        <v>78.09</v>
      </c>
    </row>
    <row r="924" spans="1:11" ht="24" x14ac:dyDescent="0.2">
      <c r="A924" s="63" t="s">
        <v>164</v>
      </c>
      <c r="B924" s="251" t="s">
        <v>578</v>
      </c>
      <c r="C924" s="252" t="s">
        <v>114</v>
      </c>
      <c r="D924" s="57">
        <v>6</v>
      </c>
      <c r="E924" s="44"/>
      <c r="F924" s="103"/>
      <c r="G924" s="104">
        <f t="shared" ref="G924" si="183">(D924*E924)+(D924*F924)</f>
        <v>0</v>
      </c>
      <c r="I924" s="169"/>
      <c r="J924" s="139"/>
    </row>
    <row r="925" spans="1:11" x14ac:dyDescent="0.2">
      <c r="A925" s="63"/>
      <c r="B925" s="251"/>
      <c r="C925" s="252"/>
      <c r="D925" s="57"/>
      <c r="E925" s="44"/>
      <c r="F925" s="103"/>
      <c r="G925" s="104"/>
      <c r="I925" s="169"/>
      <c r="J925" s="139"/>
    </row>
    <row r="926" spans="1:11" x14ac:dyDescent="0.2">
      <c r="A926" s="240" t="s">
        <v>154</v>
      </c>
      <c r="B926" s="241" t="s">
        <v>466</v>
      </c>
      <c r="C926" s="242"/>
      <c r="D926" s="243"/>
      <c r="E926" s="221"/>
      <c r="F926" s="166"/>
      <c r="G926" s="167"/>
      <c r="J926" s="254"/>
      <c r="K926" s="139"/>
    </row>
    <row r="927" spans="1:11" x14ac:dyDescent="0.2">
      <c r="A927" s="244"/>
      <c r="B927" s="245" t="s">
        <v>356</v>
      </c>
      <c r="C927" s="246"/>
      <c r="D927" s="247"/>
      <c r="E927" s="248"/>
      <c r="F927" s="249"/>
      <c r="G927" s="250"/>
      <c r="J927" s="254"/>
      <c r="K927" s="139"/>
    </row>
    <row r="928" spans="1:11" ht="24" x14ac:dyDescent="0.2">
      <c r="A928" s="63" t="s">
        <v>164</v>
      </c>
      <c r="B928" s="251" t="s">
        <v>504</v>
      </c>
      <c r="C928" s="252" t="s">
        <v>114</v>
      </c>
      <c r="D928" s="57">
        <v>8</v>
      </c>
      <c r="E928" s="44"/>
      <c r="F928" s="103"/>
      <c r="G928" s="104">
        <f t="shared" ref="G928:G929" si="184">(D928*E928)+(D928*F928)</f>
        <v>0</v>
      </c>
      <c r="H928" s="204"/>
      <c r="I928" s="254">
        <f>0.95*2.75</f>
        <v>2.6124999999999998</v>
      </c>
      <c r="J928" s="254">
        <f t="shared" ref="J928" si="185">I928*D928</f>
        <v>20.9</v>
      </c>
      <c r="K928" s="253"/>
    </row>
    <row r="929" spans="1:11" ht="24" x14ac:dyDescent="0.2">
      <c r="A929" s="63" t="s">
        <v>165</v>
      </c>
      <c r="B929" s="251" t="s">
        <v>503</v>
      </c>
      <c r="C929" s="252" t="s">
        <v>114</v>
      </c>
      <c r="D929" s="57">
        <v>4</v>
      </c>
      <c r="E929" s="44"/>
      <c r="F929" s="103"/>
      <c r="G929" s="104">
        <f t="shared" si="184"/>
        <v>0</v>
      </c>
      <c r="H929" s="204"/>
      <c r="I929" s="253">
        <f>0.7*2.1</f>
        <v>1.47</v>
      </c>
      <c r="J929" s="254">
        <f>I929*D929</f>
        <v>5.88</v>
      </c>
      <c r="K929" s="253"/>
    </row>
    <row r="930" spans="1:11" x14ac:dyDescent="0.2">
      <c r="A930" s="63"/>
      <c r="B930" s="251"/>
      <c r="C930" s="252"/>
      <c r="D930" s="57"/>
      <c r="E930" s="44"/>
      <c r="F930" s="103"/>
      <c r="G930" s="104"/>
      <c r="H930" s="204"/>
      <c r="I930" s="253"/>
      <c r="J930" s="254"/>
      <c r="K930" s="253"/>
    </row>
    <row r="931" spans="1:11" ht="12.75" thickBot="1" x14ac:dyDescent="0.25">
      <c r="A931" s="396"/>
      <c r="B931" s="397"/>
      <c r="C931" s="398"/>
      <c r="D931" s="76"/>
      <c r="E931" s="77"/>
      <c r="F931" s="399"/>
      <c r="G931" s="400"/>
      <c r="H931" s="204"/>
      <c r="I931" s="253"/>
      <c r="J931" s="254"/>
      <c r="K931" s="253"/>
    </row>
    <row r="932" spans="1:11" x14ac:dyDescent="0.2">
      <c r="A932" s="63"/>
      <c r="B932" s="251"/>
      <c r="C932" s="252"/>
      <c r="D932" s="57"/>
      <c r="E932" s="44"/>
      <c r="F932" s="103"/>
      <c r="G932" s="104"/>
      <c r="H932" s="204"/>
      <c r="I932" s="253"/>
      <c r="J932" s="254"/>
      <c r="K932" s="253"/>
    </row>
    <row r="933" spans="1:11" x14ac:dyDescent="0.2">
      <c r="A933" s="244"/>
      <c r="B933" s="245" t="s">
        <v>355</v>
      </c>
      <c r="C933" s="246"/>
      <c r="D933" s="247"/>
      <c r="E933" s="248"/>
      <c r="F933" s="249"/>
      <c r="G933" s="250"/>
      <c r="J933" s="139"/>
      <c r="K933" s="139"/>
    </row>
    <row r="934" spans="1:11" ht="48" x14ac:dyDescent="0.2">
      <c r="A934" s="63" t="s">
        <v>164</v>
      </c>
      <c r="B934" s="251" t="s">
        <v>510</v>
      </c>
      <c r="C934" s="252" t="s">
        <v>114</v>
      </c>
      <c r="D934" s="57">
        <v>8</v>
      </c>
      <c r="E934" s="44"/>
      <c r="F934" s="103"/>
      <c r="G934" s="104">
        <f t="shared" ref="G934:G936" si="186">(D934*E934)+(D934*F934)</f>
        <v>0</v>
      </c>
      <c r="I934" s="139">
        <f>2.45*1.75</f>
        <v>4.2875000000000005</v>
      </c>
      <c r="J934" s="254">
        <f t="shared" ref="J934:J936" si="187">I934*D934</f>
        <v>34.300000000000004</v>
      </c>
      <c r="K934" s="169"/>
    </row>
    <row r="935" spans="1:11" ht="48" x14ac:dyDescent="0.2">
      <c r="A935" s="63" t="s">
        <v>165</v>
      </c>
      <c r="B935" s="251" t="s">
        <v>511</v>
      </c>
      <c r="C935" s="252" t="s">
        <v>114</v>
      </c>
      <c r="D935" s="57">
        <v>8</v>
      </c>
      <c r="E935" s="44"/>
      <c r="F935" s="103"/>
      <c r="G935" s="104">
        <f t="shared" si="186"/>
        <v>0</v>
      </c>
      <c r="I935" s="139">
        <f>1.575*1.75</f>
        <v>2.7562500000000001</v>
      </c>
      <c r="J935" s="254">
        <f t="shared" si="187"/>
        <v>22.05</v>
      </c>
      <c r="K935" s="169"/>
    </row>
    <row r="936" spans="1:11" ht="36" x14ac:dyDescent="0.2">
      <c r="A936" s="63" t="s">
        <v>176</v>
      </c>
      <c r="B936" s="251" t="s">
        <v>507</v>
      </c>
      <c r="C936" s="252" t="s">
        <v>114</v>
      </c>
      <c r="D936" s="57">
        <v>2</v>
      </c>
      <c r="E936" s="44"/>
      <c r="F936" s="103"/>
      <c r="G936" s="104">
        <f t="shared" si="186"/>
        <v>0</v>
      </c>
      <c r="I936" s="139">
        <f>0.7*0.6</f>
        <v>0.42</v>
      </c>
      <c r="J936" s="254">
        <f t="shared" si="187"/>
        <v>0.84</v>
      </c>
      <c r="K936" s="169"/>
    </row>
    <row r="937" spans="1:11" x14ac:dyDescent="0.2">
      <c r="A937" s="244"/>
      <c r="B937" s="245" t="s">
        <v>354</v>
      </c>
      <c r="C937" s="246"/>
      <c r="D937" s="247"/>
      <c r="E937" s="248"/>
      <c r="F937" s="249"/>
      <c r="G937" s="250"/>
      <c r="I937" s="169"/>
      <c r="J937" s="139">
        <f>SUM(J928:J936)</f>
        <v>83.97</v>
      </c>
      <c r="K937" s="139">
        <f>J937-J929</f>
        <v>78.09</v>
      </c>
    </row>
    <row r="938" spans="1:11" ht="24" x14ac:dyDescent="0.2">
      <c r="A938" s="63" t="s">
        <v>164</v>
      </c>
      <c r="B938" s="251" t="s">
        <v>578</v>
      </c>
      <c r="C938" s="252" t="s">
        <v>114</v>
      </c>
      <c r="D938" s="57">
        <v>6</v>
      </c>
      <c r="E938" s="44"/>
      <c r="F938" s="103"/>
      <c r="G938" s="104">
        <f t="shared" ref="G938" si="188">(D938*E938)+(D938*F938)</f>
        <v>0</v>
      </c>
      <c r="I938" s="169"/>
      <c r="J938" s="139"/>
    </row>
    <row r="939" spans="1:11" x14ac:dyDescent="0.2">
      <c r="A939" s="240" t="s">
        <v>57</v>
      </c>
      <c r="B939" s="241" t="s">
        <v>260</v>
      </c>
      <c r="C939" s="242"/>
      <c r="D939" s="243"/>
      <c r="E939" s="221"/>
      <c r="F939" s="166"/>
      <c r="G939" s="167"/>
      <c r="J939" s="254"/>
      <c r="K939" s="139"/>
    </row>
    <row r="940" spans="1:11" x14ac:dyDescent="0.2">
      <c r="A940" s="244"/>
      <c r="B940" s="245" t="s">
        <v>356</v>
      </c>
      <c r="C940" s="246"/>
      <c r="D940" s="247"/>
      <c r="E940" s="248"/>
      <c r="F940" s="249"/>
      <c r="G940" s="250"/>
      <c r="J940" s="254"/>
      <c r="K940" s="139"/>
    </row>
    <row r="941" spans="1:11" ht="24" x14ac:dyDescent="0.2">
      <c r="A941" s="63" t="s">
        <v>164</v>
      </c>
      <c r="B941" s="251" t="s">
        <v>504</v>
      </c>
      <c r="C941" s="252" t="s">
        <v>114</v>
      </c>
      <c r="D941" s="57">
        <v>1</v>
      </c>
      <c r="E941" s="44"/>
      <c r="F941" s="103"/>
      <c r="G941" s="104">
        <f t="shared" ref="G941:G942" si="189">(D941*E941)+(D941*F941)</f>
        <v>0</v>
      </c>
      <c r="H941" s="204"/>
      <c r="I941" s="254">
        <f>0.95*2.75</f>
        <v>2.6124999999999998</v>
      </c>
      <c r="J941" s="254">
        <f t="shared" ref="J941" si="190">I941*D941</f>
        <v>2.6124999999999998</v>
      </c>
      <c r="K941" s="253"/>
    </row>
    <row r="942" spans="1:11" ht="24" x14ac:dyDescent="0.2">
      <c r="A942" s="63" t="s">
        <v>165</v>
      </c>
      <c r="B942" s="251" t="s">
        <v>589</v>
      </c>
      <c r="C942" s="252" t="s">
        <v>114</v>
      </c>
      <c r="D942" s="57">
        <v>1</v>
      </c>
      <c r="E942" s="44"/>
      <c r="F942" s="103"/>
      <c r="G942" s="104">
        <f t="shared" si="189"/>
        <v>0</v>
      </c>
      <c r="H942" s="204"/>
      <c r="I942" s="253">
        <f>0.7*2.1</f>
        <v>1.47</v>
      </c>
      <c r="J942" s="254">
        <f>I942*D942</f>
        <v>1.47</v>
      </c>
      <c r="K942" s="253"/>
    </row>
    <row r="943" spans="1:11" x14ac:dyDescent="0.2">
      <c r="A943" s="63"/>
      <c r="B943" s="251"/>
      <c r="C943" s="143"/>
      <c r="D943" s="57"/>
      <c r="E943" s="44"/>
      <c r="F943" s="59"/>
      <c r="G943" s="60"/>
      <c r="I943" s="169"/>
      <c r="J943" s="139"/>
    </row>
    <row r="944" spans="1:11" ht="12.75" thickBot="1" x14ac:dyDescent="0.25">
      <c r="A944" s="63"/>
      <c r="B944" s="251"/>
      <c r="C944" s="143"/>
      <c r="D944" s="57"/>
      <c r="E944" s="44"/>
      <c r="F944" s="59"/>
      <c r="G944" s="60"/>
      <c r="I944" s="169"/>
      <c r="J944" s="139"/>
    </row>
    <row r="945" spans="1:9" x14ac:dyDescent="0.2">
      <c r="A945" s="255"/>
      <c r="B945" s="69" t="s">
        <v>190</v>
      </c>
      <c r="C945" s="256"/>
      <c r="D945" s="257"/>
      <c r="E945" s="72"/>
      <c r="F945" s="191"/>
      <c r="G945" s="192"/>
    </row>
    <row r="946" spans="1:9" ht="12.75" thickBot="1" x14ac:dyDescent="0.25">
      <c r="A946" s="258"/>
      <c r="B946" s="74" t="s">
        <v>191</v>
      </c>
      <c r="C946" s="259"/>
      <c r="D946" s="260"/>
      <c r="E946" s="77"/>
      <c r="F946" s="155"/>
      <c r="G946" s="193">
        <f>SUM(G883:G945)</f>
        <v>0</v>
      </c>
    </row>
    <row r="947" spans="1:9" x14ac:dyDescent="0.2">
      <c r="A947" s="194"/>
      <c r="B947" s="80"/>
      <c r="C947" s="42"/>
      <c r="D947" s="43"/>
      <c r="E947" s="44"/>
      <c r="F947" s="59"/>
      <c r="G947" s="150"/>
    </row>
    <row r="948" spans="1:9" x14ac:dyDescent="0.2">
      <c r="A948" s="40"/>
      <c r="B948" s="41" t="s">
        <v>192</v>
      </c>
      <c r="C948" s="56"/>
      <c r="D948" s="57"/>
      <c r="E948" s="44"/>
      <c r="F948" s="59"/>
      <c r="G948" s="60"/>
    </row>
    <row r="949" spans="1:9" x14ac:dyDescent="0.2">
      <c r="A949" s="40"/>
      <c r="B949" s="49" t="s">
        <v>163</v>
      </c>
      <c r="C949" s="56"/>
      <c r="D949" s="57"/>
      <c r="E949" s="44"/>
      <c r="F949" s="59"/>
      <c r="G949" s="60"/>
    </row>
    <row r="950" spans="1:9" x14ac:dyDescent="0.2">
      <c r="A950" s="194" t="s">
        <v>112</v>
      </c>
      <c r="B950" s="98" t="s">
        <v>41</v>
      </c>
      <c r="C950" s="56"/>
      <c r="D950" s="57"/>
      <c r="E950" s="44"/>
      <c r="F950" s="59"/>
      <c r="G950" s="60"/>
    </row>
    <row r="951" spans="1:9" ht="62.25" customHeight="1" x14ac:dyDescent="0.2">
      <c r="A951" s="194"/>
      <c r="B951" s="261" t="s">
        <v>250</v>
      </c>
      <c r="C951" s="262"/>
      <c r="D951" s="262"/>
      <c r="E951" s="262"/>
      <c r="F951" s="262"/>
      <c r="G951" s="263"/>
    </row>
    <row r="952" spans="1:9" ht="42.75" customHeight="1" x14ac:dyDescent="0.2">
      <c r="A952" s="194"/>
      <c r="B952" s="264" t="s">
        <v>118</v>
      </c>
      <c r="C952" s="264"/>
      <c r="D952" s="264"/>
      <c r="E952" s="264"/>
      <c r="F952" s="264"/>
      <c r="G952" s="265"/>
      <c r="I952" s="139"/>
    </row>
    <row r="953" spans="1:9" ht="36.75" customHeight="1" x14ac:dyDescent="0.2">
      <c r="A953" s="40"/>
      <c r="B953" s="266" t="s">
        <v>236</v>
      </c>
      <c r="C953" s="266"/>
      <c r="D953" s="266"/>
      <c r="E953" s="266"/>
      <c r="F953" s="266"/>
      <c r="G953" s="267"/>
    </row>
    <row r="954" spans="1:9" x14ac:dyDescent="0.2">
      <c r="A954" s="118" t="s">
        <v>170</v>
      </c>
      <c r="B954" s="268" t="s">
        <v>93</v>
      </c>
      <c r="C954" s="131"/>
      <c r="D954" s="121"/>
      <c r="E954" s="122"/>
      <c r="F954" s="121"/>
      <c r="G954" s="202"/>
    </row>
    <row r="955" spans="1:9" x14ac:dyDescent="0.2">
      <c r="A955" s="240" t="s">
        <v>151</v>
      </c>
      <c r="B955" s="241" t="s">
        <v>300</v>
      </c>
      <c r="C955" s="269"/>
      <c r="D955" s="270"/>
      <c r="E955" s="271"/>
      <c r="F955" s="166"/>
      <c r="G955" s="167"/>
    </row>
    <row r="956" spans="1:9" ht="13.5" x14ac:dyDescent="0.2">
      <c r="A956" s="194"/>
      <c r="B956" s="272" t="s">
        <v>536</v>
      </c>
      <c r="C956" s="81" t="s">
        <v>391</v>
      </c>
      <c r="D956" s="57">
        <v>205.85</v>
      </c>
      <c r="E956" s="44"/>
      <c r="F956" s="59"/>
      <c r="G956" s="60"/>
      <c r="I956" s="169">
        <f>51.46*4+4.085*3.025</f>
        <v>218.197125</v>
      </c>
    </row>
    <row r="957" spans="1:9" x14ac:dyDescent="0.2">
      <c r="A957" s="194"/>
      <c r="B957" s="272"/>
      <c r="C957" s="81"/>
      <c r="D957" s="57"/>
      <c r="E957" s="44"/>
      <c r="F957" s="59"/>
      <c r="G957" s="60"/>
      <c r="I957" s="169"/>
    </row>
    <row r="958" spans="1:9" x14ac:dyDescent="0.2">
      <c r="A958" s="240" t="s">
        <v>152</v>
      </c>
      <c r="B958" s="241" t="s">
        <v>301</v>
      </c>
      <c r="C958" s="269"/>
      <c r="D958" s="270"/>
      <c r="E958" s="271"/>
      <c r="F958" s="166"/>
      <c r="G958" s="167"/>
      <c r="I958" s="169"/>
    </row>
    <row r="959" spans="1:9" ht="15" customHeight="1" x14ac:dyDescent="0.2">
      <c r="A959" s="194"/>
      <c r="B959" s="272" t="s">
        <v>537</v>
      </c>
      <c r="C959" s="81" t="s">
        <v>391</v>
      </c>
      <c r="D959" s="57">
        <v>5.2</v>
      </c>
      <c r="E959" s="44"/>
      <c r="F959" s="59"/>
      <c r="G959" s="60">
        <f>(D959*E959)+(D959*F959)</f>
        <v>0</v>
      </c>
      <c r="I959" s="169"/>
    </row>
    <row r="960" spans="1:9" ht="13.5" x14ac:dyDescent="0.2">
      <c r="A960" s="194"/>
      <c r="B960" s="272" t="s">
        <v>538</v>
      </c>
      <c r="C960" s="81" t="s">
        <v>391</v>
      </c>
      <c r="D960" s="57">
        <v>9</v>
      </c>
      <c r="E960" s="44"/>
      <c r="F960" s="59"/>
      <c r="G960" s="60">
        <f t="shared" ref="G960:G961" si="191">(D960*E960)+(D960*F960)</f>
        <v>0</v>
      </c>
      <c r="I960" s="169"/>
    </row>
    <row r="961" spans="1:12" ht="13.5" x14ac:dyDescent="0.2">
      <c r="A961" s="194"/>
      <c r="B961" s="272" t="s">
        <v>539</v>
      </c>
      <c r="C961" s="81" t="s">
        <v>391</v>
      </c>
      <c r="D961" s="57">
        <v>9</v>
      </c>
      <c r="E961" s="44"/>
      <c r="F961" s="59"/>
      <c r="G961" s="60">
        <f t="shared" si="191"/>
        <v>0</v>
      </c>
      <c r="I961" s="169">
        <f>32.2*2</f>
        <v>64.400000000000006</v>
      </c>
      <c r="J961" s="28">
        <f>8.5*3</f>
        <v>25.5</v>
      </c>
      <c r="K961" s="169">
        <f>3.025*4.28</f>
        <v>12.947000000000001</v>
      </c>
      <c r="L961" s="169">
        <f>SUM(I961:K961)</f>
        <v>102.84700000000001</v>
      </c>
    </row>
    <row r="962" spans="1:12" ht="13.5" x14ac:dyDescent="0.2">
      <c r="A962" s="194"/>
      <c r="B962" s="272" t="s">
        <v>540</v>
      </c>
      <c r="C962" s="81" t="s">
        <v>391</v>
      </c>
      <c r="D962" s="57">
        <v>9</v>
      </c>
      <c r="E962" s="44"/>
      <c r="F962" s="59"/>
      <c r="G962" s="60">
        <f t="shared" ref="G962:G963" si="192">(D962*E962)+(D962*F962)</f>
        <v>0</v>
      </c>
      <c r="I962" s="169"/>
      <c r="K962" s="169"/>
      <c r="L962" s="169"/>
    </row>
    <row r="963" spans="1:12" ht="13.5" x14ac:dyDescent="0.2">
      <c r="A963" s="194"/>
      <c r="B963" s="272" t="s">
        <v>541</v>
      </c>
      <c r="C963" s="81" t="s">
        <v>391</v>
      </c>
      <c r="D963" s="57">
        <v>9</v>
      </c>
      <c r="E963" s="44"/>
      <c r="F963" s="59"/>
      <c r="G963" s="60">
        <f t="shared" si="192"/>
        <v>0</v>
      </c>
      <c r="I963" s="169"/>
      <c r="K963" s="169"/>
      <c r="L963" s="169"/>
    </row>
    <row r="964" spans="1:12" x14ac:dyDescent="0.2">
      <c r="A964" s="118" t="s">
        <v>310</v>
      </c>
      <c r="B964" s="268" t="s">
        <v>311</v>
      </c>
      <c r="C964" s="131"/>
      <c r="D964" s="121"/>
      <c r="E964" s="122"/>
      <c r="F964" s="121"/>
      <c r="G964" s="202"/>
    </row>
    <row r="965" spans="1:12" ht="36" x14ac:dyDescent="0.2">
      <c r="A965" s="40" t="s">
        <v>164</v>
      </c>
      <c r="B965" s="272" t="s">
        <v>312</v>
      </c>
      <c r="C965" s="81" t="s">
        <v>308</v>
      </c>
      <c r="D965" s="57">
        <v>67</v>
      </c>
      <c r="E965" s="44"/>
      <c r="F965" s="59"/>
      <c r="G965" s="60">
        <f>(D965*E965)+(D965*F965)</f>
        <v>0</v>
      </c>
    </row>
    <row r="966" spans="1:12" ht="12.75" thickBot="1" x14ac:dyDescent="0.25">
      <c r="A966" s="40"/>
      <c r="B966" s="272"/>
      <c r="C966" s="81"/>
      <c r="D966" s="57"/>
      <c r="E966" s="44"/>
      <c r="F966" s="59"/>
      <c r="G966" s="60"/>
    </row>
    <row r="967" spans="1:12" x14ac:dyDescent="0.2">
      <c r="A967" s="68"/>
      <c r="B967" s="69" t="s">
        <v>193</v>
      </c>
      <c r="C967" s="113"/>
      <c r="D967" s="71"/>
      <c r="E967" s="72"/>
      <c r="F967" s="191"/>
      <c r="G967" s="192"/>
    </row>
    <row r="968" spans="1:12" ht="12.75" thickBot="1" x14ac:dyDescent="0.25">
      <c r="A968" s="73"/>
      <c r="B968" s="74" t="s">
        <v>115</v>
      </c>
      <c r="C968" s="114"/>
      <c r="D968" s="76"/>
      <c r="E968" s="77"/>
      <c r="F968" s="155"/>
      <c r="G968" s="193">
        <f>SUM(G956:G965)</f>
        <v>0</v>
      </c>
    </row>
    <row r="969" spans="1:12" x14ac:dyDescent="0.2">
      <c r="A969" s="40"/>
      <c r="B969" s="80"/>
      <c r="C969" s="56"/>
      <c r="D969" s="57"/>
      <c r="E969" s="44"/>
      <c r="F969" s="59"/>
      <c r="G969" s="150"/>
    </row>
    <row r="970" spans="1:12" x14ac:dyDescent="0.2">
      <c r="A970" s="40"/>
      <c r="B970" s="41" t="s">
        <v>116</v>
      </c>
      <c r="C970" s="56"/>
      <c r="D970" s="57"/>
      <c r="E970" s="44"/>
      <c r="F970" s="59"/>
      <c r="G970" s="60"/>
    </row>
    <row r="971" spans="1:12" x14ac:dyDescent="0.2">
      <c r="A971" s="40"/>
      <c r="B971" s="49" t="s">
        <v>95</v>
      </c>
      <c r="C971" s="56"/>
      <c r="D971" s="57"/>
      <c r="E971" s="44"/>
      <c r="F971" s="59"/>
      <c r="G971" s="60"/>
    </row>
    <row r="972" spans="1:12" x14ac:dyDescent="0.2">
      <c r="A972" s="194" t="s">
        <v>117</v>
      </c>
      <c r="B972" s="98" t="s">
        <v>41</v>
      </c>
      <c r="C972" s="56" t="s">
        <v>59</v>
      </c>
      <c r="D972" s="57"/>
      <c r="E972" s="44"/>
      <c r="F972" s="59"/>
      <c r="G972" s="60"/>
      <c r="I972" s="273"/>
      <c r="J972" s="274">
        <v>80.599999999999994</v>
      </c>
      <c r="K972" s="274"/>
    </row>
    <row r="973" spans="1:12" s="276" customFormat="1" ht="51" customHeight="1" x14ac:dyDescent="0.2">
      <c r="A973" s="63"/>
      <c r="B973" s="423" t="s">
        <v>268</v>
      </c>
      <c r="C973" s="424"/>
      <c r="D973" s="424"/>
      <c r="E973" s="425"/>
      <c r="F973" s="109"/>
      <c r="G973" s="275"/>
      <c r="I973" s="273"/>
      <c r="J973" s="277"/>
      <c r="K973" s="274"/>
    </row>
    <row r="974" spans="1:12" s="276" customFormat="1" ht="17.25" customHeight="1" x14ac:dyDescent="0.2">
      <c r="A974" s="63"/>
      <c r="B974" s="426" t="s">
        <v>386</v>
      </c>
      <c r="C974" s="427"/>
      <c r="D974" s="427"/>
      <c r="E974" s="428"/>
      <c r="F974" s="109"/>
      <c r="G974" s="275"/>
      <c r="I974" s="273"/>
      <c r="J974" s="274">
        <v>168.85</v>
      </c>
      <c r="K974" s="274"/>
    </row>
    <row r="975" spans="1:12" s="276" customFormat="1" ht="40.5" customHeight="1" x14ac:dyDescent="0.2">
      <c r="A975" s="63"/>
      <c r="B975" s="426" t="s">
        <v>400</v>
      </c>
      <c r="C975" s="427"/>
      <c r="D975" s="427"/>
      <c r="E975" s="428"/>
      <c r="F975" s="109"/>
      <c r="G975" s="275"/>
      <c r="I975" s="273"/>
      <c r="J975" s="277"/>
      <c r="K975" s="274"/>
    </row>
    <row r="976" spans="1:12" s="276" customFormat="1" ht="52.5" customHeight="1" x14ac:dyDescent="0.2">
      <c r="A976" s="63"/>
      <c r="B976" s="426" t="s">
        <v>401</v>
      </c>
      <c r="C976" s="427"/>
      <c r="D976" s="427"/>
      <c r="E976" s="428"/>
      <c r="F976" s="109"/>
      <c r="G976" s="275"/>
      <c r="I976" s="278"/>
      <c r="J976" s="274">
        <v>139</v>
      </c>
      <c r="K976" s="279"/>
    </row>
    <row r="977" spans="1:12" x14ac:dyDescent="0.2">
      <c r="A977" s="240" t="s">
        <v>151</v>
      </c>
      <c r="B977" s="241" t="s">
        <v>67</v>
      </c>
      <c r="C977" s="242"/>
      <c r="D977" s="243"/>
      <c r="E977" s="221"/>
      <c r="F977" s="166"/>
      <c r="G977" s="167"/>
      <c r="I977" s="274"/>
      <c r="J977" s="279"/>
      <c r="K977" s="274"/>
    </row>
    <row r="978" spans="1:12" ht="36" x14ac:dyDescent="0.2">
      <c r="A978" s="40"/>
      <c r="B978" s="280" t="s">
        <v>402</v>
      </c>
      <c r="C978" s="281" t="s">
        <v>391</v>
      </c>
      <c r="D978" s="57">
        <v>226.15</v>
      </c>
      <c r="E978" s="44"/>
      <c r="F978" s="59"/>
      <c r="G978" s="60">
        <f t="shared" ref="G978:G980" si="193">(D978*E978)+(D978*F978)</f>
        <v>0</v>
      </c>
      <c r="I978" s="274"/>
      <c r="J978" s="277"/>
      <c r="K978" s="274"/>
    </row>
    <row r="979" spans="1:12" ht="24.75" customHeight="1" x14ac:dyDescent="0.2">
      <c r="A979" s="40"/>
      <c r="B979" s="280" t="s">
        <v>403</v>
      </c>
      <c r="C979" s="281" t="s">
        <v>391</v>
      </c>
      <c r="D979" s="57">
        <v>333.6</v>
      </c>
      <c r="E979" s="44"/>
      <c r="F979" s="59"/>
      <c r="G979" s="60">
        <f t="shared" si="193"/>
        <v>0</v>
      </c>
      <c r="I979" s="274"/>
      <c r="J979" s="274">
        <v>143.19999999999999</v>
      </c>
      <c r="K979" s="274"/>
    </row>
    <row r="980" spans="1:12" ht="28.5" customHeight="1" x14ac:dyDescent="0.2">
      <c r="A980" s="40"/>
      <c r="B980" s="280" t="s">
        <v>542</v>
      </c>
      <c r="C980" s="281" t="s">
        <v>391</v>
      </c>
      <c r="D980" s="57">
        <v>133.65</v>
      </c>
      <c r="E980" s="44"/>
      <c r="F980" s="59"/>
      <c r="G980" s="60">
        <f t="shared" si="193"/>
        <v>0</v>
      </c>
      <c r="I980" s="274">
        <f>51.46*4+8.5*3*2+32.2*2</f>
        <v>321.24</v>
      </c>
      <c r="J980" s="277"/>
      <c r="K980" s="274"/>
    </row>
    <row r="981" spans="1:12" x14ac:dyDescent="0.2">
      <c r="A981" s="40"/>
      <c r="B981" s="280"/>
      <c r="C981" s="281"/>
      <c r="D981" s="57"/>
      <c r="E981" s="44"/>
      <c r="F981" s="59"/>
      <c r="G981" s="60"/>
      <c r="I981" s="279"/>
      <c r="J981" s="274"/>
      <c r="K981" s="274"/>
    </row>
    <row r="982" spans="1:12" x14ac:dyDescent="0.2">
      <c r="A982" s="240" t="s">
        <v>152</v>
      </c>
      <c r="B982" s="241" t="s">
        <v>69</v>
      </c>
      <c r="C982" s="242"/>
      <c r="D982" s="243"/>
      <c r="E982" s="221"/>
      <c r="F982" s="166"/>
      <c r="G982" s="167"/>
      <c r="I982" s="274"/>
      <c r="J982" s="279"/>
      <c r="K982" s="274"/>
    </row>
    <row r="983" spans="1:12" ht="36" x14ac:dyDescent="0.2">
      <c r="A983" s="40"/>
      <c r="B983" s="280" t="s">
        <v>402</v>
      </c>
      <c r="C983" s="281" t="s">
        <v>391</v>
      </c>
      <c r="D983" s="57">
        <v>379.45</v>
      </c>
      <c r="E983" s="44"/>
      <c r="F983" s="59"/>
      <c r="G983" s="60">
        <f t="shared" ref="G983:G985" si="194">(D983*E983)+(D983*F983)</f>
        <v>0</v>
      </c>
      <c r="I983" s="274"/>
      <c r="J983" s="277"/>
      <c r="K983" s="274"/>
    </row>
    <row r="984" spans="1:12" ht="26.25" customHeight="1" x14ac:dyDescent="0.2">
      <c r="A984" s="40"/>
      <c r="B984" s="280" t="s">
        <v>403</v>
      </c>
      <c r="C984" s="281" t="s">
        <v>391</v>
      </c>
      <c r="D984" s="57">
        <f>D664</f>
        <v>336.85</v>
      </c>
      <c r="E984" s="44"/>
      <c r="F984" s="59"/>
      <c r="G984" s="60">
        <f t="shared" si="194"/>
        <v>0</v>
      </c>
      <c r="I984" s="274"/>
      <c r="J984" s="274">
        <v>143.19999999999999</v>
      </c>
      <c r="K984" s="274"/>
    </row>
    <row r="985" spans="1:12" ht="28.5" customHeight="1" x14ac:dyDescent="0.2">
      <c r="A985" s="40"/>
      <c r="B985" s="280" t="s">
        <v>542</v>
      </c>
      <c r="C985" s="281" t="s">
        <v>391</v>
      </c>
      <c r="D985" s="57">
        <v>346.69</v>
      </c>
      <c r="E985" s="44"/>
      <c r="F985" s="59"/>
      <c r="G985" s="60">
        <f t="shared" si="194"/>
        <v>0</v>
      </c>
      <c r="I985" s="274">
        <f>51.46*4+32.2*2+8.5*3*2</f>
        <v>321.24</v>
      </c>
      <c r="J985" s="277">
        <f>D959</f>
        <v>5.2</v>
      </c>
      <c r="K985" s="274"/>
    </row>
    <row r="986" spans="1:12" x14ac:dyDescent="0.2">
      <c r="A986" s="240" t="s">
        <v>57</v>
      </c>
      <c r="B986" s="241" t="s">
        <v>71</v>
      </c>
      <c r="C986" s="242"/>
      <c r="D986" s="243"/>
      <c r="E986" s="221"/>
      <c r="F986" s="166"/>
      <c r="G986" s="167"/>
      <c r="J986" s="274">
        <v>319.60000000000002</v>
      </c>
    </row>
    <row r="987" spans="1:12" ht="36" x14ac:dyDescent="0.2">
      <c r="A987" s="40"/>
      <c r="B987" s="280" t="s">
        <v>402</v>
      </c>
      <c r="C987" s="281" t="s">
        <v>391</v>
      </c>
      <c r="D987" s="57">
        <v>344.4</v>
      </c>
      <c r="E987" s="44"/>
      <c r="F987" s="59"/>
      <c r="G987" s="60">
        <f t="shared" ref="G987:G989" si="195">(D987*E987)+(D987*F987)</f>
        <v>0</v>
      </c>
      <c r="J987" s="279"/>
    </row>
    <row r="988" spans="1:12" ht="24" x14ac:dyDescent="0.2">
      <c r="A988" s="40"/>
      <c r="B988" s="280" t="s">
        <v>403</v>
      </c>
      <c r="C988" s="281" t="s">
        <v>391</v>
      </c>
      <c r="D988" s="57">
        <v>469.75</v>
      </c>
      <c r="E988" s="44"/>
      <c r="F988" s="59"/>
      <c r="G988" s="60">
        <f t="shared" si="195"/>
        <v>0</v>
      </c>
      <c r="J988" s="277"/>
    </row>
    <row r="989" spans="1:12" ht="24" x14ac:dyDescent="0.2">
      <c r="A989" s="40"/>
      <c r="B989" s="280" t="s">
        <v>542</v>
      </c>
      <c r="C989" s="281" t="s">
        <v>391</v>
      </c>
      <c r="D989" s="57">
        <v>311.75</v>
      </c>
      <c r="E989" s="44"/>
      <c r="F989" s="59"/>
      <c r="G989" s="60">
        <f t="shared" si="195"/>
        <v>0</v>
      </c>
      <c r="I989" s="274">
        <f>51.46*4+32.2*2+8.5*3*2</f>
        <v>321.24</v>
      </c>
      <c r="J989" s="274">
        <f>I989-I956</f>
        <v>103.04287500000001</v>
      </c>
      <c r="K989" s="169"/>
      <c r="L989" s="139"/>
    </row>
    <row r="990" spans="1:12" x14ac:dyDescent="0.2">
      <c r="A990" s="240" t="s">
        <v>153</v>
      </c>
      <c r="B990" s="241" t="s">
        <v>458</v>
      </c>
      <c r="C990" s="242"/>
      <c r="D990" s="243"/>
      <c r="E990" s="221"/>
      <c r="F990" s="166"/>
      <c r="G990" s="167"/>
      <c r="J990" s="274">
        <v>319.60000000000002</v>
      </c>
      <c r="K990" s="169"/>
      <c r="L990" s="139"/>
    </row>
    <row r="991" spans="1:12" ht="36" x14ac:dyDescent="0.2">
      <c r="A991" s="40"/>
      <c r="B991" s="280" t="s">
        <v>402</v>
      </c>
      <c r="C991" s="281" t="s">
        <v>391</v>
      </c>
      <c r="D991" s="57">
        <v>353.6</v>
      </c>
      <c r="E991" s="44"/>
      <c r="F991" s="59"/>
      <c r="G991" s="60">
        <f t="shared" ref="G991:G993" si="196">(D991*E991)+(D991*F991)</f>
        <v>0</v>
      </c>
      <c r="J991" s="279"/>
      <c r="K991" s="169"/>
      <c r="L991" s="139"/>
    </row>
    <row r="992" spans="1:12" ht="24" x14ac:dyDescent="0.2">
      <c r="A992" s="40"/>
      <c r="B992" s="280" t="s">
        <v>403</v>
      </c>
      <c r="C992" s="281" t="s">
        <v>391</v>
      </c>
      <c r="D992" s="57">
        <v>469.75</v>
      </c>
      <c r="E992" s="44"/>
      <c r="F992" s="59"/>
      <c r="G992" s="60">
        <f t="shared" si="196"/>
        <v>0</v>
      </c>
      <c r="J992" s="277"/>
      <c r="K992" s="169"/>
      <c r="L992" s="139"/>
    </row>
    <row r="993" spans="1:12" ht="24" x14ac:dyDescent="0.2">
      <c r="A993" s="40"/>
      <c r="B993" s="280" t="s">
        <v>542</v>
      </c>
      <c r="C993" s="281" t="s">
        <v>391</v>
      </c>
      <c r="D993" s="57">
        <v>311.75</v>
      </c>
      <c r="E993" s="44"/>
      <c r="F993" s="59"/>
      <c r="G993" s="60">
        <f t="shared" si="196"/>
        <v>0</v>
      </c>
      <c r="I993" s="274">
        <f>51.46*4+32.2*2+8.5*3*2</f>
        <v>321.24</v>
      </c>
      <c r="J993" s="274">
        <f>I993-I960</f>
        <v>321.24</v>
      </c>
      <c r="K993" s="169"/>
      <c r="L993" s="139"/>
    </row>
    <row r="994" spans="1:12" x14ac:dyDescent="0.2">
      <c r="A994" s="240" t="s">
        <v>154</v>
      </c>
      <c r="B994" s="241" t="s">
        <v>466</v>
      </c>
      <c r="C994" s="242"/>
      <c r="D994" s="243"/>
      <c r="E994" s="221"/>
      <c r="F994" s="166"/>
      <c r="G994" s="167"/>
      <c r="J994" s="274">
        <v>319.60000000000002</v>
      </c>
      <c r="K994" s="169"/>
      <c r="L994" s="139"/>
    </row>
    <row r="995" spans="1:12" ht="36" x14ac:dyDescent="0.2">
      <c r="A995" s="40"/>
      <c r="B995" s="280" t="s">
        <v>402</v>
      </c>
      <c r="C995" s="281" t="s">
        <v>391</v>
      </c>
      <c r="D995" s="57">
        <v>353.6</v>
      </c>
      <c r="E995" s="44"/>
      <c r="F995" s="59"/>
      <c r="G995" s="60">
        <f t="shared" ref="G995:G997" si="197">(D995*E995)+(D995*F995)</f>
        <v>0</v>
      </c>
      <c r="J995" s="279"/>
      <c r="K995" s="169"/>
      <c r="L995" s="139"/>
    </row>
    <row r="996" spans="1:12" ht="24" x14ac:dyDescent="0.2">
      <c r="A996" s="40"/>
      <c r="B996" s="280" t="s">
        <v>403</v>
      </c>
      <c r="C996" s="281" t="s">
        <v>391</v>
      </c>
      <c r="D996" s="57">
        <v>511.15</v>
      </c>
      <c r="E996" s="44"/>
      <c r="F996" s="59"/>
      <c r="G996" s="60">
        <f t="shared" si="197"/>
        <v>0</v>
      </c>
      <c r="J996" s="277"/>
      <c r="K996" s="169"/>
      <c r="L996" s="139"/>
    </row>
    <row r="997" spans="1:12" ht="24.75" thickBot="1" x14ac:dyDescent="0.25">
      <c r="A997" s="73"/>
      <c r="B997" s="401" t="s">
        <v>542</v>
      </c>
      <c r="C997" s="402" t="s">
        <v>391</v>
      </c>
      <c r="D997" s="76">
        <v>105.9</v>
      </c>
      <c r="E997" s="77"/>
      <c r="F997" s="155"/>
      <c r="G997" s="156">
        <f t="shared" si="197"/>
        <v>0</v>
      </c>
      <c r="I997" s="274">
        <f>51.46*4+32.2*2+8.5*3*2</f>
        <v>321.24</v>
      </c>
      <c r="J997" s="274" t="e">
        <f>I997-#REF!</f>
        <v>#REF!</v>
      </c>
      <c r="K997" s="169"/>
      <c r="L997" s="139"/>
    </row>
    <row r="998" spans="1:12" x14ac:dyDescent="0.2">
      <c r="A998" s="40"/>
      <c r="B998" s="280"/>
      <c r="C998" s="281"/>
      <c r="D998" s="57"/>
      <c r="E998" s="44"/>
      <c r="F998" s="59"/>
      <c r="G998" s="60"/>
      <c r="I998" s="282"/>
      <c r="J998" s="274"/>
      <c r="K998" s="169"/>
      <c r="L998" s="139"/>
    </row>
    <row r="999" spans="1:12" x14ac:dyDescent="0.2">
      <c r="A999" s="240" t="s">
        <v>153</v>
      </c>
      <c r="B999" s="241" t="s">
        <v>260</v>
      </c>
      <c r="C999" s="242"/>
      <c r="D999" s="243"/>
      <c r="E999" s="221"/>
      <c r="F999" s="166"/>
      <c r="G999" s="167"/>
      <c r="J999" s="274"/>
    </row>
    <row r="1000" spans="1:12" ht="36" x14ac:dyDescent="0.2">
      <c r="A1000" s="40"/>
      <c r="B1000" s="280" t="s">
        <v>402</v>
      </c>
      <c r="C1000" s="281" t="s">
        <v>391</v>
      </c>
      <c r="D1000" s="57">
        <v>285.2</v>
      </c>
      <c r="E1000" s="44"/>
      <c r="F1000" s="59"/>
      <c r="G1000" s="60">
        <f t="shared" ref="G1000:G1002" si="198">(D1000*E1000)+(D1000*F1000)</f>
        <v>0</v>
      </c>
      <c r="J1000" s="274"/>
    </row>
    <row r="1001" spans="1:12" ht="24" x14ac:dyDescent="0.2">
      <c r="A1001" s="40"/>
      <c r="B1001" s="280" t="s">
        <v>403</v>
      </c>
      <c r="C1001" s="281" t="s">
        <v>391</v>
      </c>
      <c r="D1001" s="57">
        <f>D687</f>
        <v>55.05</v>
      </c>
      <c r="E1001" s="44"/>
      <c r="F1001" s="59"/>
      <c r="G1001" s="60">
        <f t="shared" si="198"/>
        <v>0</v>
      </c>
      <c r="J1001" s="274"/>
    </row>
    <row r="1002" spans="1:12" ht="24" x14ac:dyDescent="0.2">
      <c r="A1002" s="40"/>
      <c r="B1002" s="280" t="s">
        <v>542</v>
      </c>
      <c r="C1002" s="281" t="s">
        <v>391</v>
      </c>
      <c r="D1002" s="57">
        <v>28.4</v>
      </c>
      <c r="E1002" s="44"/>
      <c r="F1002" s="59"/>
      <c r="G1002" s="60">
        <f t="shared" si="198"/>
        <v>0</v>
      </c>
      <c r="J1002" s="274"/>
    </row>
    <row r="1003" spans="1:12" x14ac:dyDescent="0.2">
      <c r="A1003" s="40"/>
      <c r="B1003" s="280"/>
      <c r="C1003" s="281"/>
      <c r="D1003" s="57"/>
      <c r="E1003" s="44"/>
      <c r="F1003" s="59"/>
      <c r="G1003" s="60"/>
      <c r="J1003" s="282"/>
    </row>
    <row r="1004" spans="1:12" ht="12.75" thickBot="1" x14ac:dyDescent="0.25">
      <c r="A1004" s="40"/>
      <c r="B1004" s="280"/>
      <c r="C1004" s="281"/>
      <c r="D1004" s="57"/>
      <c r="E1004" s="44"/>
      <c r="F1004" s="59"/>
      <c r="G1004" s="60"/>
      <c r="J1004" s="282"/>
    </row>
    <row r="1005" spans="1:12" x14ac:dyDescent="0.2">
      <c r="A1005" s="68"/>
      <c r="B1005" s="69" t="s">
        <v>194</v>
      </c>
      <c r="C1005" s="113"/>
      <c r="D1005" s="71"/>
      <c r="E1005" s="72"/>
      <c r="F1005" s="191"/>
      <c r="G1005" s="192"/>
    </row>
    <row r="1006" spans="1:12" ht="12.75" thickBot="1" x14ac:dyDescent="0.25">
      <c r="A1006" s="73"/>
      <c r="B1006" s="74" t="s">
        <v>119</v>
      </c>
      <c r="C1006" s="114"/>
      <c r="D1006" s="76"/>
      <c r="E1006" s="77"/>
      <c r="F1006" s="155"/>
      <c r="G1006" s="193">
        <f>SUM(G978:G1002)</f>
        <v>0</v>
      </c>
    </row>
    <row r="1007" spans="1:12" x14ac:dyDescent="0.2">
      <c r="A1007" s="40"/>
      <c r="B1007" s="80"/>
      <c r="C1007" s="56"/>
      <c r="D1007" s="57"/>
      <c r="E1007" s="44"/>
      <c r="F1007" s="59"/>
      <c r="G1007" s="150"/>
    </row>
    <row r="1008" spans="1:12" x14ac:dyDescent="0.2">
      <c r="A1008" s="40"/>
      <c r="B1008" s="41" t="s">
        <v>120</v>
      </c>
      <c r="C1008" s="56"/>
      <c r="D1008" s="57"/>
      <c r="E1008" s="44"/>
      <c r="F1008" s="59"/>
      <c r="G1008" s="60"/>
    </row>
    <row r="1009" spans="1:9" x14ac:dyDescent="0.2">
      <c r="A1009" s="40"/>
      <c r="B1009" s="49" t="s">
        <v>97</v>
      </c>
      <c r="C1009" s="56"/>
      <c r="D1009" s="57"/>
      <c r="E1009" s="44"/>
      <c r="F1009" s="59"/>
      <c r="G1009" s="60"/>
    </row>
    <row r="1010" spans="1:9" x14ac:dyDescent="0.2">
      <c r="A1010" s="194" t="s">
        <v>121</v>
      </c>
      <c r="B1010" s="98" t="s">
        <v>41</v>
      </c>
      <c r="C1010" s="56"/>
      <c r="D1010" s="57"/>
      <c r="E1010" s="44"/>
      <c r="F1010" s="59"/>
      <c r="G1010" s="60"/>
    </row>
    <row r="1011" spans="1:9" s="276" customFormat="1" ht="39.75" customHeight="1" x14ac:dyDescent="0.25">
      <c r="A1011" s="63"/>
      <c r="B1011" s="426" t="s">
        <v>143</v>
      </c>
      <c r="C1011" s="427"/>
      <c r="D1011" s="427"/>
      <c r="E1011" s="427"/>
      <c r="F1011" s="428"/>
      <c r="G1011" s="159"/>
    </row>
    <row r="1012" spans="1:9" x14ac:dyDescent="0.2">
      <c r="A1012" s="118" t="s">
        <v>171</v>
      </c>
      <c r="B1012" s="119" t="s">
        <v>125</v>
      </c>
      <c r="C1012" s="131"/>
      <c r="D1012" s="121"/>
      <c r="E1012" s="122"/>
      <c r="F1012" s="121"/>
      <c r="G1012" s="202"/>
    </row>
    <row r="1013" spans="1:9" x14ac:dyDescent="0.2">
      <c r="A1013" s="240" t="s">
        <v>151</v>
      </c>
      <c r="B1013" s="283" t="s">
        <v>67</v>
      </c>
      <c r="C1013" s="284"/>
      <c r="D1013" s="243"/>
      <c r="E1013" s="221"/>
      <c r="F1013" s="243"/>
      <c r="G1013" s="285"/>
    </row>
    <row r="1014" spans="1:9" x14ac:dyDescent="0.2">
      <c r="A1014" s="286" t="s">
        <v>164</v>
      </c>
      <c r="B1014" s="287" t="s">
        <v>567</v>
      </c>
      <c r="C1014" s="288" t="s">
        <v>114</v>
      </c>
      <c r="D1014" s="289"/>
      <c r="E1014" s="290"/>
      <c r="F1014" s="149"/>
      <c r="G1014" s="150"/>
    </row>
    <row r="1015" spans="1:9" ht="37.5" customHeight="1" x14ac:dyDescent="0.2">
      <c r="A1015" s="194"/>
      <c r="B1015" s="251" t="s">
        <v>568</v>
      </c>
      <c r="C1015" s="252" t="s">
        <v>126</v>
      </c>
      <c r="D1015" s="57">
        <v>7</v>
      </c>
      <c r="E1015" s="44"/>
      <c r="F1015" s="59"/>
      <c r="G1015" s="60">
        <f>(D1015*E1015)+(D1015*F1015)</f>
        <v>0</v>
      </c>
    </row>
    <row r="1016" spans="1:9" ht="49.5" customHeight="1" x14ac:dyDescent="0.2">
      <c r="A1016" s="194"/>
      <c r="B1016" s="251" t="s">
        <v>569</v>
      </c>
      <c r="C1016" s="252" t="s">
        <v>126</v>
      </c>
      <c r="D1016" s="57">
        <v>6.9</v>
      </c>
      <c r="E1016" s="44"/>
      <c r="F1016" s="59"/>
      <c r="G1016" s="60">
        <f>(D1016*E1016)+(D1016*F1016)</f>
        <v>0</v>
      </c>
      <c r="I1016" s="28">
        <f>3.6*4</f>
        <v>14.4</v>
      </c>
    </row>
    <row r="1017" spans="1:9" x14ac:dyDescent="0.2">
      <c r="A1017" s="240" t="s">
        <v>152</v>
      </c>
      <c r="B1017" s="283" t="s">
        <v>69</v>
      </c>
      <c r="C1017" s="284"/>
      <c r="D1017" s="243"/>
      <c r="E1017" s="221"/>
      <c r="F1017" s="243"/>
      <c r="G1017" s="285"/>
    </row>
    <row r="1018" spans="1:9" x14ac:dyDescent="0.2">
      <c r="A1018" s="286" t="s">
        <v>164</v>
      </c>
      <c r="B1018" s="287" t="s">
        <v>567</v>
      </c>
      <c r="C1018" s="288" t="s">
        <v>114</v>
      </c>
      <c r="D1018" s="289"/>
      <c r="E1018" s="290"/>
      <c r="F1018" s="149"/>
      <c r="G1018" s="150"/>
    </row>
    <row r="1019" spans="1:9" ht="25.5" customHeight="1" x14ac:dyDescent="0.2">
      <c r="A1019" s="194"/>
      <c r="B1019" s="251" t="s">
        <v>568</v>
      </c>
      <c r="C1019" s="252" t="s">
        <v>126</v>
      </c>
      <c r="D1019" s="57">
        <v>7</v>
      </c>
      <c r="E1019" s="44"/>
      <c r="F1019" s="59"/>
      <c r="G1019" s="60">
        <f>(D1019*E1019)+(D1019*F1019)</f>
        <v>0</v>
      </c>
    </row>
    <row r="1020" spans="1:9" ht="36" customHeight="1" x14ac:dyDescent="0.2">
      <c r="A1020" s="194"/>
      <c r="B1020" s="251" t="s">
        <v>569</v>
      </c>
      <c r="C1020" s="252" t="s">
        <v>126</v>
      </c>
      <c r="D1020" s="57">
        <v>6.9</v>
      </c>
      <c r="E1020" s="44"/>
      <c r="F1020" s="59"/>
      <c r="G1020" s="60">
        <f>(D1020*E1020)+(D1020*F1020)</f>
        <v>0</v>
      </c>
    </row>
    <row r="1021" spans="1:9" ht="11.25" customHeight="1" x14ac:dyDescent="0.2">
      <c r="A1021" s="286" t="s">
        <v>165</v>
      </c>
      <c r="B1021" s="287" t="s">
        <v>570</v>
      </c>
      <c r="C1021" s="288" t="s">
        <v>114</v>
      </c>
      <c r="D1021" s="289"/>
      <c r="E1021" s="290"/>
      <c r="F1021" s="149"/>
      <c r="G1021" s="150"/>
    </row>
    <row r="1022" spans="1:9" ht="25.5" customHeight="1" x14ac:dyDescent="0.2">
      <c r="A1022" s="194"/>
      <c r="B1022" s="251" t="s">
        <v>571</v>
      </c>
      <c r="C1022" s="252" t="s">
        <v>126</v>
      </c>
      <c r="D1022" s="57">
        <v>22.05</v>
      </c>
      <c r="E1022" s="44"/>
      <c r="F1022" s="59"/>
      <c r="G1022" s="60">
        <f>(D1022*E1022)+(D1022*F1022)</f>
        <v>0</v>
      </c>
      <c r="I1022" s="28">
        <f>2.85*5+1.8+2.775+1.5+1.7</f>
        <v>22.024999999999999</v>
      </c>
    </row>
    <row r="1023" spans="1:9" x14ac:dyDescent="0.2">
      <c r="A1023" s="240" t="s">
        <v>152</v>
      </c>
      <c r="B1023" s="283" t="s">
        <v>71</v>
      </c>
      <c r="C1023" s="284"/>
      <c r="D1023" s="243"/>
      <c r="E1023" s="221"/>
      <c r="F1023" s="243"/>
      <c r="G1023" s="285"/>
    </row>
    <row r="1024" spans="1:9" x14ac:dyDescent="0.2">
      <c r="A1024" s="286" t="s">
        <v>164</v>
      </c>
      <c r="B1024" s="287" t="s">
        <v>567</v>
      </c>
      <c r="C1024" s="288" t="s">
        <v>114</v>
      </c>
      <c r="D1024" s="289"/>
      <c r="E1024" s="290"/>
      <c r="F1024" s="149"/>
      <c r="G1024" s="150"/>
    </row>
    <row r="1025" spans="1:9" ht="36" x14ac:dyDescent="0.2">
      <c r="A1025" s="194"/>
      <c r="B1025" s="251" t="s">
        <v>568</v>
      </c>
      <c r="C1025" s="252" t="s">
        <v>126</v>
      </c>
      <c r="D1025" s="57">
        <v>7</v>
      </c>
      <c r="E1025" s="44"/>
      <c r="F1025" s="59"/>
      <c r="G1025" s="60">
        <f>(D1025*E1025)+(D1025*F1025)</f>
        <v>0</v>
      </c>
    </row>
    <row r="1026" spans="1:9" ht="48" x14ac:dyDescent="0.2">
      <c r="A1026" s="194"/>
      <c r="B1026" s="251" t="s">
        <v>569</v>
      </c>
      <c r="C1026" s="252" t="s">
        <v>126</v>
      </c>
      <c r="D1026" s="57">
        <v>6.9</v>
      </c>
      <c r="E1026" s="44"/>
      <c r="F1026" s="59"/>
      <c r="G1026" s="60">
        <f>(D1026*E1026)+(D1026*F1026)</f>
        <v>0</v>
      </c>
    </row>
    <row r="1027" spans="1:9" x14ac:dyDescent="0.2">
      <c r="A1027" s="286" t="s">
        <v>165</v>
      </c>
      <c r="B1027" s="287" t="s">
        <v>570</v>
      </c>
      <c r="C1027" s="288" t="s">
        <v>114</v>
      </c>
      <c r="D1027" s="289"/>
      <c r="E1027" s="290"/>
      <c r="F1027" s="149"/>
      <c r="G1027" s="150"/>
    </row>
    <row r="1028" spans="1:9" ht="24" x14ac:dyDescent="0.2">
      <c r="A1028" s="194"/>
      <c r="B1028" s="251" t="s">
        <v>571</v>
      </c>
      <c r="C1028" s="252" t="s">
        <v>126</v>
      </c>
      <c r="D1028" s="57">
        <v>20.05</v>
      </c>
      <c r="E1028" s="44"/>
      <c r="F1028" s="59"/>
      <c r="G1028" s="60">
        <f>(D1028*E1028)+(D1028*F1028)</f>
        <v>0</v>
      </c>
      <c r="I1028" s="28">
        <f>2.85*5+2.775+1.5+1.7</f>
        <v>20.224999999999998</v>
      </c>
    </row>
    <row r="1029" spans="1:9" ht="13.5" customHeight="1" x14ac:dyDescent="0.2">
      <c r="A1029" s="240" t="s">
        <v>153</v>
      </c>
      <c r="B1029" s="283" t="s">
        <v>458</v>
      </c>
      <c r="C1029" s="284"/>
      <c r="D1029" s="243"/>
      <c r="E1029" s="221"/>
      <c r="F1029" s="243"/>
      <c r="G1029" s="285"/>
    </row>
    <row r="1030" spans="1:9" ht="17.25" customHeight="1" x14ac:dyDescent="0.2">
      <c r="A1030" s="286" t="s">
        <v>164</v>
      </c>
      <c r="B1030" s="287" t="s">
        <v>567</v>
      </c>
      <c r="C1030" s="288" t="s">
        <v>114</v>
      </c>
      <c r="D1030" s="289"/>
      <c r="E1030" s="290"/>
      <c r="F1030" s="149"/>
      <c r="G1030" s="150"/>
    </row>
    <row r="1031" spans="1:9" ht="36.75" customHeight="1" thickBot="1" x14ac:dyDescent="0.25">
      <c r="A1031" s="258"/>
      <c r="B1031" s="397" t="s">
        <v>568</v>
      </c>
      <c r="C1031" s="398" t="s">
        <v>126</v>
      </c>
      <c r="D1031" s="76">
        <v>7</v>
      </c>
      <c r="E1031" s="77"/>
      <c r="F1031" s="155"/>
      <c r="G1031" s="156">
        <f>(D1031*E1031)+(D1031*F1031)</f>
        <v>0</v>
      </c>
    </row>
    <row r="1032" spans="1:9" ht="37.5" customHeight="1" x14ac:dyDescent="0.2">
      <c r="A1032" s="194"/>
      <c r="B1032" s="251" t="s">
        <v>569</v>
      </c>
      <c r="C1032" s="252" t="s">
        <v>126</v>
      </c>
      <c r="D1032" s="57">
        <v>6.9</v>
      </c>
      <c r="E1032" s="44"/>
      <c r="F1032" s="59"/>
      <c r="G1032" s="60">
        <f>(D1032*E1032)+(D1032*F1032)</f>
        <v>0</v>
      </c>
    </row>
    <row r="1033" spans="1:9" ht="12.75" customHeight="1" x14ac:dyDescent="0.2">
      <c r="A1033" s="286" t="s">
        <v>165</v>
      </c>
      <c r="B1033" s="287" t="s">
        <v>570</v>
      </c>
      <c r="C1033" s="288" t="s">
        <v>114</v>
      </c>
      <c r="D1033" s="289"/>
      <c r="E1033" s="290"/>
      <c r="F1033" s="149"/>
      <c r="G1033" s="150"/>
    </row>
    <row r="1034" spans="1:9" ht="25.5" customHeight="1" x14ac:dyDescent="0.2">
      <c r="A1034" s="194"/>
      <c r="B1034" s="251" t="s">
        <v>571</v>
      </c>
      <c r="C1034" s="252" t="s">
        <v>126</v>
      </c>
      <c r="D1034" s="57">
        <v>20.05</v>
      </c>
      <c r="E1034" s="44"/>
      <c r="F1034" s="59"/>
      <c r="G1034" s="60">
        <f>(D1034*E1034)+(D1034*F1034)</f>
        <v>0</v>
      </c>
      <c r="I1034" s="28">
        <f>2.85*5+2.775+1.5+1.7</f>
        <v>20.224999999999998</v>
      </c>
    </row>
    <row r="1035" spans="1:9" ht="14.25" customHeight="1" x14ac:dyDescent="0.2">
      <c r="A1035" s="240" t="s">
        <v>154</v>
      </c>
      <c r="B1035" s="283" t="s">
        <v>466</v>
      </c>
      <c r="C1035" s="284"/>
      <c r="D1035" s="243"/>
      <c r="E1035" s="221"/>
      <c r="F1035" s="243"/>
      <c r="G1035" s="285"/>
    </row>
    <row r="1036" spans="1:9" ht="15" customHeight="1" x14ac:dyDescent="0.2">
      <c r="A1036" s="286" t="s">
        <v>164</v>
      </c>
      <c r="B1036" s="287" t="s">
        <v>567</v>
      </c>
      <c r="C1036" s="288" t="s">
        <v>114</v>
      </c>
      <c r="D1036" s="289"/>
      <c r="E1036" s="290"/>
      <c r="F1036" s="149"/>
      <c r="G1036" s="150"/>
    </row>
    <row r="1037" spans="1:9" ht="37.5" customHeight="1" x14ac:dyDescent="0.2">
      <c r="A1037" s="194"/>
      <c r="B1037" s="251" t="s">
        <v>568</v>
      </c>
      <c r="C1037" s="252" t="s">
        <v>126</v>
      </c>
      <c r="D1037" s="57">
        <v>7</v>
      </c>
      <c r="E1037" s="44"/>
      <c r="F1037" s="59"/>
      <c r="G1037" s="60">
        <f>(D1037*E1037)+(D1037*F1037)</f>
        <v>0</v>
      </c>
    </row>
    <row r="1038" spans="1:9" ht="37.5" customHeight="1" x14ac:dyDescent="0.2">
      <c r="A1038" s="194"/>
      <c r="B1038" s="251" t="s">
        <v>569</v>
      </c>
      <c r="C1038" s="252" t="s">
        <v>126</v>
      </c>
      <c r="D1038" s="57">
        <v>6.9</v>
      </c>
      <c r="E1038" s="44"/>
      <c r="F1038" s="59"/>
      <c r="G1038" s="60">
        <f>(D1038*E1038)+(D1038*F1038)</f>
        <v>0</v>
      </c>
    </row>
    <row r="1039" spans="1:9" ht="14.25" customHeight="1" x14ac:dyDescent="0.2">
      <c r="A1039" s="286" t="s">
        <v>165</v>
      </c>
      <c r="B1039" s="287" t="s">
        <v>570</v>
      </c>
      <c r="C1039" s="288" t="s">
        <v>114</v>
      </c>
      <c r="D1039" s="289"/>
      <c r="E1039" s="290"/>
      <c r="F1039" s="149"/>
      <c r="G1039" s="150"/>
    </row>
    <row r="1040" spans="1:9" ht="26.25" customHeight="1" x14ac:dyDescent="0.2">
      <c r="A1040" s="194"/>
      <c r="B1040" s="251" t="s">
        <v>571</v>
      </c>
      <c r="C1040" s="252" t="s">
        <v>126</v>
      </c>
      <c r="D1040" s="57">
        <v>20.05</v>
      </c>
      <c r="E1040" s="44"/>
      <c r="F1040" s="59"/>
      <c r="G1040" s="60">
        <f>(D1040*E1040)+(D1040*F1040)</f>
        <v>0</v>
      </c>
    </row>
    <row r="1041" spans="1:10" x14ac:dyDescent="0.2">
      <c r="A1041" s="118" t="s">
        <v>171</v>
      </c>
      <c r="B1041" s="119" t="s">
        <v>302</v>
      </c>
      <c r="C1041" s="131"/>
      <c r="D1041" s="121"/>
      <c r="E1041" s="122"/>
      <c r="F1041" s="121"/>
      <c r="G1041" s="202"/>
    </row>
    <row r="1042" spans="1:10" ht="48" customHeight="1" x14ac:dyDescent="0.2">
      <c r="A1042" s="40" t="s">
        <v>164</v>
      </c>
      <c r="B1042" s="251" t="s">
        <v>543</v>
      </c>
      <c r="C1042" s="252"/>
      <c r="D1042" s="57"/>
      <c r="E1042" s="44"/>
      <c r="F1042" s="59"/>
      <c r="G1042" s="60">
        <f t="shared" ref="G1042:G1046" si="199">(D1042*E1042)+(D1042*F1042)</f>
        <v>0</v>
      </c>
    </row>
    <row r="1043" spans="1:10" x14ac:dyDescent="0.2">
      <c r="A1043" s="194"/>
      <c r="B1043" s="251" t="s">
        <v>576</v>
      </c>
      <c r="C1043" s="252" t="s">
        <v>114</v>
      </c>
      <c r="D1043" s="57">
        <v>12</v>
      </c>
      <c r="E1043" s="44"/>
      <c r="F1043" s="59"/>
      <c r="G1043" s="60">
        <f t="shared" si="199"/>
        <v>0</v>
      </c>
    </row>
    <row r="1044" spans="1:10" x14ac:dyDescent="0.2">
      <c r="A1044" s="194"/>
      <c r="B1044" s="251" t="s">
        <v>577</v>
      </c>
      <c r="C1044" s="252" t="s">
        <v>114</v>
      </c>
      <c r="D1044" s="57">
        <v>4</v>
      </c>
      <c r="E1044" s="44"/>
      <c r="F1044" s="59"/>
      <c r="G1044" s="60">
        <f t="shared" ref="G1044" si="200">(D1044*E1044)+(D1044*F1044)</f>
        <v>0</v>
      </c>
    </row>
    <row r="1045" spans="1:10" ht="39" customHeight="1" x14ac:dyDescent="0.2">
      <c r="A1045" s="40" t="s">
        <v>165</v>
      </c>
      <c r="B1045" s="251" t="s">
        <v>313</v>
      </c>
      <c r="C1045" s="252" t="s">
        <v>303</v>
      </c>
      <c r="D1045" s="57">
        <v>16</v>
      </c>
      <c r="E1045" s="44"/>
      <c r="F1045" s="59"/>
      <c r="G1045" s="60">
        <f t="shared" si="199"/>
        <v>0</v>
      </c>
    </row>
    <row r="1046" spans="1:10" ht="24" x14ac:dyDescent="0.2">
      <c r="A1046" s="40" t="s">
        <v>176</v>
      </c>
      <c r="B1046" s="251" t="s">
        <v>544</v>
      </c>
      <c r="C1046" s="252" t="s">
        <v>303</v>
      </c>
      <c r="D1046" s="57">
        <v>412.7</v>
      </c>
      <c r="E1046" s="44"/>
      <c r="F1046" s="59"/>
      <c r="G1046" s="60">
        <f t="shared" si="199"/>
        <v>0</v>
      </c>
      <c r="I1046" s="28">
        <f>393</f>
        <v>393</v>
      </c>
      <c r="J1046" s="28">
        <f>I1046*105%</f>
        <v>412.65000000000003</v>
      </c>
    </row>
    <row r="1047" spans="1:10" ht="24" x14ac:dyDescent="0.2">
      <c r="A1047" s="40" t="s">
        <v>177</v>
      </c>
      <c r="B1047" s="251" t="s">
        <v>306</v>
      </c>
      <c r="C1047" s="281" t="s">
        <v>391</v>
      </c>
      <c r="D1047" s="57">
        <v>207</v>
      </c>
      <c r="E1047" s="44"/>
      <c r="F1047" s="59"/>
      <c r="G1047" s="60">
        <f t="shared" ref="G1047" si="201">(D1047*E1047)+(D1047*F1047)</f>
        <v>0</v>
      </c>
    </row>
    <row r="1048" spans="1:10" ht="36" x14ac:dyDescent="0.2">
      <c r="A1048" s="40" t="s">
        <v>178</v>
      </c>
      <c r="B1048" s="251" t="s">
        <v>304</v>
      </c>
      <c r="C1048" s="281" t="s">
        <v>391</v>
      </c>
      <c r="D1048" s="57">
        <f>D1047</f>
        <v>207</v>
      </c>
      <c r="E1048" s="44"/>
      <c r="F1048" s="59"/>
      <c r="G1048" s="60">
        <f t="shared" ref="G1048" si="202">(D1048*E1048)+(D1048*F1048)</f>
        <v>0</v>
      </c>
    </row>
    <row r="1049" spans="1:10" ht="24" x14ac:dyDescent="0.2">
      <c r="A1049" s="40" t="s">
        <v>179</v>
      </c>
      <c r="B1049" s="251" t="s">
        <v>305</v>
      </c>
      <c r="C1049" s="281" t="s">
        <v>391</v>
      </c>
      <c r="D1049" s="57">
        <f>D1047</f>
        <v>207</v>
      </c>
      <c r="E1049" s="44"/>
      <c r="F1049" s="59"/>
      <c r="G1049" s="60">
        <f t="shared" ref="G1049" si="203">(D1049*E1049)+(D1049*F1049)</f>
        <v>0</v>
      </c>
    </row>
    <row r="1050" spans="1:10" ht="24" x14ac:dyDescent="0.2">
      <c r="A1050" s="40" t="s">
        <v>180</v>
      </c>
      <c r="B1050" s="251" t="s">
        <v>307</v>
      </c>
      <c r="C1050" s="281" t="s">
        <v>308</v>
      </c>
      <c r="D1050" s="57">
        <v>41</v>
      </c>
      <c r="E1050" s="44"/>
      <c r="F1050" s="59"/>
      <c r="G1050" s="60">
        <f t="shared" ref="G1050" si="204">(D1050*E1050)+(D1050*F1050)</f>
        <v>0</v>
      </c>
    </row>
    <row r="1051" spans="1:10" ht="36" x14ac:dyDescent="0.2">
      <c r="A1051" s="40" t="s">
        <v>181</v>
      </c>
      <c r="B1051" s="251" t="s">
        <v>309</v>
      </c>
      <c r="C1051" s="281" t="s">
        <v>308</v>
      </c>
      <c r="D1051" s="57">
        <f>D965</f>
        <v>67</v>
      </c>
      <c r="E1051" s="44"/>
      <c r="F1051" s="59"/>
      <c r="G1051" s="60">
        <f t="shared" ref="G1051" si="205">(D1051*E1051)+(D1051*F1051)</f>
        <v>0</v>
      </c>
    </row>
    <row r="1052" spans="1:10" x14ac:dyDescent="0.2">
      <c r="A1052" s="40"/>
      <c r="B1052" s="251"/>
      <c r="C1052" s="281"/>
      <c r="D1052" s="57"/>
      <c r="E1052" s="44"/>
      <c r="F1052" s="59"/>
      <c r="G1052" s="60"/>
    </row>
    <row r="1053" spans="1:10" x14ac:dyDescent="0.2">
      <c r="A1053" s="40"/>
      <c r="B1053" s="251"/>
      <c r="C1053" s="281"/>
      <c r="D1053" s="57"/>
      <c r="E1053" s="44"/>
      <c r="F1053" s="59"/>
      <c r="G1053" s="60"/>
    </row>
    <row r="1054" spans="1:10" x14ac:dyDescent="0.2">
      <c r="A1054" s="40"/>
      <c r="B1054" s="251"/>
      <c r="C1054" s="281"/>
      <c r="D1054" s="57"/>
      <c r="E1054" s="44"/>
      <c r="F1054" s="59"/>
      <c r="G1054" s="60"/>
    </row>
    <row r="1055" spans="1:10" x14ac:dyDescent="0.2">
      <c r="A1055" s="40"/>
      <c r="B1055" s="251"/>
      <c r="C1055" s="281"/>
      <c r="D1055" s="57"/>
      <c r="E1055" s="44"/>
      <c r="F1055" s="59"/>
      <c r="G1055" s="60"/>
    </row>
    <row r="1056" spans="1:10" x14ac:dyDescent="0.2">
      <c r="A1056" s="40"/>
      <c r="B1056" s="251"/>
      <c r="C1056" s="281"/>
      <c r="D1056" s="57"/>
      <c r="E1056" s="44"/>
      <c r="F1056" s="59"/>
      <c r="G1056" s="60"/>
    </row>
    <row r="1057" spans="1:7" x14ac:dyDescent="0.2">
      <c r="A1057" s="40"/>
      <c r="B1057" s="251"/>
      <c r="C1057" s="281"/>
      <c r="D1057" s="57"/>
      <c r="E1057" s="44"/>
      <c r="F1057" s="59"/>
      <c r="G1057" s="60"/>
    </row>
    <row r="1058" spans="1:7" x14ac:dyDescent="0.2">
      <c r="A1058" s="40"/>
      <c r="B1058" s="251"/>
      <c r="C1058" s="281"/>
      <c r="D1058" s="57"/>
      <c r="E1058" s="44"/>
      <c r="F1058" s="59"/>
      <c r="G1058" s="60"/>
    </row>
    <row r="1059" spans="1:7" x14ac:dyDescent="0.2">
      <c r="A1059" s="40"/>
      <c r="B1059" s="251"/>
      <c r="C1059" s="281"/>
      <c r="D1059" s="57"/>
      <c r="E1059" s="44"/>
      <c r="F1059" s="59"/>
      <c r="G1059" s="60"/>
    </row>
    <row r="1060" spans="1:7" x14ac:dyDescent="0.2">
      <c r="A1060" s="40"/>
      <c r="B1060" s="251"/>
      <c r="C1060" s="281"/>
      <c r="D1060" s="57"/>
      <c r="E1060" s="44"/>
      <c r="F1060" s="59"/>
      <c r="G1060" s="60"/>
    </row>
    <row r="1061" spans="1:7" x14ac:dyDescent="0.2">
      <c r="A1061" s="40"/>
      <c r="B1061" s="251"/>
      <c r="C1061" s="281"/>
      <c r="D1061" s="57"/>
      <c r="E1061" s="44"/>
      <c r="F1061" s="59"/>
      <c r="G1061" s="60"/>
    </row>
    <row r="1062" spans="1:7" x14ac:dyDescent="0.2">
      <c r="A1062" s="40"/>
      <c r="B1062" s="251"/>
      <c r="C1062" s="281"/>
      <c r="D1062" s="57"/>
      <c r="E1062" s="44"/>
      <c r="F1062" s="59"/>
      <c r="G1062" s="60"/>
    </row>
    <row r="1063" spans="1:7" x14ac:dyDescent="0.2">
      <c r="A1063" s="40"/>
      <c r="B1063" s="251"/>
      <c r="C1063" s="281"/>
      <c r="D1063" s="57"/>
      <c r="E1063" s="44"/>
      <c r="F1063" s="59"/>
      <c r="G1063" s="60"/>
    </row>
    <row r="1064" spans="1:7" x14ac:dyDescent="0.2">
      <c r="A1064" s="40"/>
      <c r="B1064" s="251"/>
      <c r="C1064" s="281"/>
      <c r="D1064" s="57"/>
      <c r="E1064" s="44"/>
      <c r="F1064" s="59"/>
      <c r="G1064" s="60"/>
    </row>
    <row r="1065" spans="1:7" ht="12.75" thickBot="1" x14ac:dyDescent="0.25">
      <c r="A1065" s="40"/>
      <c r="B1065" s="251"/>
      <c r="C1065" s="281"/>
      <c r="D1065" s="57"/>
      <c r="E1065" s="44"/>
      <c r="F1065" s="59"/>
      <c r="G1065" s="60"/>
    </row>
    <row r="1066" spans="1:7" x14ac:dyDescent="0.2">
      <c r="A1066" s="255"/>
      <c r="B1066" s="69" t="s">
        <v>195</v>
      </c>
      <c r="C1066" s="113"/>
      <c r="D1066" s="71"/>
      <c r="E1066" s="72"/>
      <c r="F1066" s="191"/>
      <c r="G1066" s="192"/>
    </row>
    <row r="1067" spans="1:7" ht="12.75" thickBot="1" x14ac:dyDescent="0.25">
      <c r="A1067" s="258"/>
      <c r="B1067" s="74" t="s">
        <v>122</v>
      </c>
      <c r="C1067" s="114"/>
      <c r="D1067" s="76"/>
      <c r="E1067" s="77"/>
      <c r="F1067" s="155"/>
      <c r="G1067" s="193">
        <f>SUM(G1015:G1066)</f>
        <v>0</v>
      </c>
    </row>
    <row r="1068" spans="1:7" x14ac:dyDescent="0.2">
      <c r="A1068" s="194"/>
      <c r="B1068" s="80"/>
      <c r="C1068" s="56"/>
      <c r="D1068" s="57"/>
      <c r="E1068" s="44"/>
      <c r="F1068" s="59"/>
      <c r="G1068" s="60"/>
    </row>
    <row r="1069" spans="1:7" x14ac:dyDescent="0.2">
      <c r="A1069" s="40"/>
      <c r="B1069" s="41" t="s">
        <v>123</v>
      </c>
      <c r="C1069" s="56"/>
      <c r="D1069" s="57"/>
      <c r="E1069" s="44"/>
      <c r="F1069" s="59"/>
      <c r="G1069" s="60"/>
    </row>
    <row r="1070" spans="1:7" x14ac:dyDescent="0.2">
      <c r="A1070" s="40"/>
      <c r="B1070" s="49" t="s">
        <v>129</v>
      </c>
      <c r="C1070" s="56"/>
      <c r="D1070" s="57"/>
      <c r="E1070" s="44"/>
      <c r="F1070" s="59"/>
      <c r="G1070" s="60"/>
    </row>
    <row r="1071" spans="1:7" x14ac:dyDescent="0.2">
      <c r="A1071" s="194" t="s">
        <v>124</v>
      </c>
      <c r="B1071" s="98" t="s">
        <v>41</v>
      </c>
      <c r="C1071" s="56"/>
      <c r="D1071" s="57"/>
      <c r="E1071" s="44"/>
      <c r="F1071" s="59"/>
      <c r="G1071" s="60"/>
    </row>
    <row r="1072" spans="1:7" ht="36" customHeight="1" x14ac:dyDescent="0.2">
      <c r="A1072" s="40"/>
      <c r="B1072" s="62" t="s">
        <v>162</v>
      </c>
      <c r="C1072" s="195"/>
      <c r="D1072" s="195"/>
      <c r="E1072" s="195"/>
      <c r="F1072" s="195"/>
      <c r="G1072" s="196"/>
    </row>
    <row r="1073" spans="1:9" ht="51" customHeight="1" x14ac:dyDescent="0.2">
      <c r="A1073" s="101"/>
      <c r="B1073" s="62" t="s">
        <v>161</v>
      </c>
      <c r="C1073" s="195"/>
      <c r="D1073" s="195"/>
      <c r="E1073" s="195"/>
      <c r="F1073" s="195"/>
      <c r="G1073" s="196"/>
    </row>
    <row r="1074" spans="1:9" ht="28.5" customHeight="1" x14ac:dyDescent="0.2">
      <c r="A1074" s="40"/>
      <c r="B1074" s="62" t="s">
        <v>253</v>
      </c>
      <c r="C1074" s="195"/>
      <c r="D1074" s="195"/>
      <c r="E1074" s="195"/>
      <c r="F1074" s="195"/>
      <c r="G1074" s="196"/>
    </row>
    <row r="1075" spans="1:9" ht="36.75" customHeight="1" x14ac:dyDescent="0.2">
      <c r="A1075" s="40"/>
      <c r="B1075" s="62" t="s">
        <v>160</v>
      </c>
      <c r="C1075" s="195"/>
      <c r="D1075" s="195"/>
      <c r="E1075" s="195"/>
      <c r="F1075" s="195"/>
      <c r="G1075" s="196"/>
    </row>
    <row r="1076" spans="1:9" ht="29.25" customHeight="1" x14ac:dyDescent="0.2">
      <c r="A1076" s="40"/>
      <c r="B1076" s="62" t="s">
        <v>254</v>
      </c>
      <c r="C1076" s="195"/>
      <c r="D1076" s="195"/>
      <c r="E1076" s="195"/>
      <c r="F1076" s="195"/>
      <c r="G1076" s="196"/>
    </row>
    <row r="1077" spans="1:9" x14ac:dyDescent="0.2">
      <c r="A1077" s="291" t="s">
        <v>151</v>
      </c>
      <c r="B1077" s="292" t="s">
        <v>67</v>
      </c>
      <c r="C1077" s="293"/>
      <c r="D1077" s="294"/>
      <c r="E1077" s="271"/>
      <c r="F1077" s="166"/>
      <c r="G1077" s="167">
        <f>D1077*E1077</f>
        <v>0</v>
      </c>
    </row>
    <row r="1078" spans="1:9" x14ac:dyDescent="0.2">
      <c r="A1078" s="295" t="s">
        <v>164</v>
      </c>
      <c r="B1078" s="296" t="s">
        <v>131</v>
      </c>
      <c r="C1078" s="218"/>
      <c r="D1078" s="297"/>
      <c r="E1078" s="214"/>
      <c r="F1078" s="219"/>
      <c r="G1078" s="298"/>
    </row>
    <row r="1079" spans="1:9" x14ac:dyDescent="0.2">
      <c r="A1079" s="299" t="s">
        <v>185</v>
      </c>
      <c r="B1079" s="188" t="s">
        <v>203</v>
      </c>
      <c r="C1079" s="81" t="s">
        <v>15</v>
      </c>
      <c r="D1079" s="189">
        <v>1</v>
      </c>
      <c r="E1079" s="44"/>
      <c r="F1079" s="59"/>
      <c r="G1079" s="60">
        <f>(D1079*E1079)+(D1079*F1079)</f>
        <v>0</v>
      </c>
    </row>
    <row r="1080" spans="1:9" ht="27" customHeight="1" x14ac:dyDescent="0.2">
      <c r="A1080" s="299" t="s">
        <v>186</v>
      </c>
      <c r="B1080" s="188" t="s">
        <v>204</v>
      </c>
      <c r="C1080" s="81" t="s">
        <v>15</v>
      </c>
      <c r="D1080" s="189">
        <v>1</v>
      </c>
      <c r="E1080" s="44"/>
      <c r="F1080" s="59"/>
      <c r="G1080" s="60">
        <f>(D1080*E1080)+(D1080*F1080)</f>
        <v>0</v>
      </c>
    </row>
    <row r="1081" spans="1:9" ht="36" x14ac:dyDescent="0.2">
      <c r="A1081" s="299" t="s">
        <v>188</v>
      </c>
      <c r="B1081" s="188" t="s">
        <v>237</v>
      </c>
      <c r="C1081" s="81" t="s">
        <v>114</v>
      </c>
      <c r="D1081" s="189">
        <v>1</v>
      </c>
      <c r="E1081" s="44"/>
      <c r="F1081" s="59"/>
      <c r="G1081" s="60">
        <f>(D1081*E1081)+(D1081*F1081)</f>
        <v>0</v>
      </c>
    </row>
    <row r="1082" spans="1:9" x14ac:dyDescent="0.2">
      <c r="A1082" s="295" t="s">
        <v>165</v>
      </c>
      <c r="B1082" s="300" t="s">
        <v>132</v>
      </c>
      <c r="C1082" s="218"/>
      <c r="D1082" s="297"/>
      <c r="E1082" s="214"/>
      <c r="F1082" s="215"/>
      <c r="G1082" s="216">
        <f>D1082*E1082</f>
        <v>0</v>
      </c>
    </row>
    <row r="1083" spans="1:9" x14ac:dyDescent="0.2">
      <c r="A1083" s="299" t="s">
        <v>164</v>
      </c>
      <c r="B1083" s="188" t="s">
        <v>379</v>
      </c>
      <c r="C1083" s="81" t="s">
        <v>114</v>
      </c>
      <c r="D1083" s="189">
        <v>1</v>
      </c>
      <c r="E1083" s="44"/>
      <c r="F1083" s="59"/>
      <c r="G1083" s="60">
        <f>(D1083*E1083)+(D1083*F1083)</f>
        <v>0</v>
      </c>
      <c r="I1083" s="301"/>
    </row>
    <row r="1084" spans="1:9" x14ac:dyDescent="0.2">
      <c r="A1084" s="299" t="s">
        <v>165</v>
      </c>
      <c r="B1084" s="188" t="s">
        <v>380</v>
      </c>
      <c r="C1084" s="81" t="s">
        <v>114</v>
      </c>
      <c r="D1084" s="189">
        <v>1</v>
      </c>
      <c r="E1084" s="44"/>
      <c r="F1084" s="59"/>
      <c r="G1084" s="60">
        <f t="shared" ref="G1084" si="206">(D1084*E1084)+(D1084*F1084)</f>
        <v>0</v>
      </c>
      <c r="I1084" s="301"/>
    </row>
    <row r="1085" spans="1:9" x14ac:dyDescent="0.2">
      <c r="A1085" s="299" t="s">
        <v>176</v>
      </c>
      <c r="B1085" s="188" t="s">
        <v>381</v>
      </c>
      <c r="C1085" s="81" t="s">
        <v>114</v>
      </c>
      <c r="D1085" s="189">
        <f>D1084</f>
        <v>1</v>
      </c>
      <c r="E1085" s="44"/>
      <c r="F1085" s="59"/>
      <c r="G1085" s="60">
        <f t="shared" ref="G1085:G1091" si="207">(D1085*E1085)+(D1085*F1085)</f>
        <v>0</v>
      </c>
      <c r="I1085" s="301"/>
    </row>
    <row r="1086" spans="1:9" x14ac:dyDescent="0.2">
      <c r="A1086" s="299" t="s">
        <v>177</v>
      </c>
      <c r="B1086" s="188" t="s">
        <v>133</v>
      </c>
      <c r="C1086" s="81" t="s">
        <v>114</v>
      </c>
      <c r="D1086" s="189">
        <f>D1083</f>
        <v>1</v>
      </c>
      <c r="E1086" s="44"/>
      <c r="F1086" s="59"/>
      <c r="G1086" s="60">
        <f t="shared" si="207"/>
        <v>0</v>
      </c>
      <c r="I1086" s="301"/>
    </row>
    <row r="1087" spans="1:9" x14ac:dyDescent="0.2">
      <c r="A1087" s="299" t="s">
        <v>178</v>
      </c>
      <c r="B1087" s="188" t="s">
        <v>385</v>
      </c>
      <c r="C1087" s="81" t="s">
        <v>114</v>
      </c>
      <c r="D1087" s="189">
        <v>1</v>
      </c>
      <c r="E1087" s="44"/>
      <c r="F1087" s="59"/>
      <c r="G1087" s="60">
        <f t="shared" si="207"/>
        <v>0</v>
      </c>
      <c r="I1087" s="301"/>
    </row>
    <row r="1088" spans="1:9" x14ac:dyDescent="0.2">
      <c r="A1088" s="299" t="s">
        <v>179</v>
      </c>
      <c r="B1088" s="188" t="s">
        <v>382</v>
      </c>
      <c r="C1088" s="81" t="s">
        <v>114</v>
      </c>
      <c r="D1088" s="189">
        <f>D1083</f>
        <v>1</v>
      </c>
      <c r="E1088" s="44"/>
      <c r="F1088" s="59"/>
      <c r="G1088" s="60">
        <f t="shared" si="207"/>
        <v>0</v>
      </c>
      <c r="I1088" s="301"/>
    </row>
    <row r="1089" spans="1:10" x14ac:dyDescent="0.2">
      <c r="A1089" s="299" t="s">
        <v>180</v>
      </c>
      <c r="B1089" s="188" t="s">
        <v>184</v>
      </c>
      <c r="C1089" s="81" t="s">
        <v>114</v>
      </c>
      <c r="D1089" s="189">
        <v>2</v>
      </c>
      <c r="E1089" s="44"/>
      <c r="F1089" s="59"/>
      <c r="G1089" s="60">
        <f t="shared" si="207"/>
        <v>0</v>
      </c>
      <c r="I1089" s="301"/>
    </row>
    <row r="1090" spans="1:10" x14ac:dyDescent="0.2">
      <c r="A1090" s="299" t="s">
        <v>181</v>
      </c>
      <c r="B1090" s="188" t="s">
        <v>383</v>
      </c>
      <c r="C1090" s="81" t="s">
        <v>114</v>
      </c>
      <c r="D1090" s="189">
        <f>D1084</f>
        <v>1</v>
      </c>
      <c r="E1090" s="44"/>
      <c r="F1090" s="59"/>
      <c r="G1090" s="60">
        <f t="shared" si="207"/>
        <v>0</v>
      </c>
      <c r="I1090" s="301"/>
    </row>
    <row r="1091" spans="1:10" x14ac:dyDescent="0.2">
      <c r="A1091" s="299" t="s">
        <v>182</v>
      </c>
      <c r="B1091" s="188" t="s">
        <v>251</v>
      </c>
      <c r="C1091" s="81" t="s">
        <v>114</v>
      </c>
      <c r="D1091" s="189">
        <v>4</v>
      </c>
      <c r="E1091" s="44"/>
      <c r="F1091" s="59"/>
      <c r="G1091" s="60">
        <f t="shared" si="207"/>
        <v>0</v>
      </c>
      <c r="I1091" s="301"/>
    </row>
    <row r="1092" spans="1:10" x14ac:dyDescent="0.2">
      <c r="A1092" s="299"/>
      <c r="B1092" s="188"/>
      <c r="C1092" s="81"/>
      <c r="D1092" s="189"/>
      <c r="E1092" s="44"/>
      <c r="F1092" s="59"/>
      <c r="G1092" s="60"/>
    </row>
    <row r="1093" spans="1:10" ht="12.75" customHeight="1" x14ac:dyDescent="0.2">
      <c r="A1093" s="295" t="s">
        <v>165</v>
      </c>
      <c r="B1093" s="302" t="s">
        <v>205</v>
      </c>
      <c r="C1093" s="303"/>
      <c r="D1093" s="297"/>
      <c r="E1093" s="214"/>
      <c r="F1093" s="215"/>
      <c r="G1093" s="216">
        <f t="shared" ref="G1093:G1096" si="208">(D1093*E1093)+(D1093*F1093)</f>
        <v>0</v>
      </c>
    </row>
    <row r="1094" spans="1:10" ht="47.25" customHeight="1" x14ac:dyDescent="0.2">
      <c r="A1094" s="299" t="s">
        <v>164</v>
      </c>
      <c r="B1094" s="188" t="s">
        <v>404</v>
      </c>
      <c r="C1094" s="81" t="s">
        <v>15</v>
      </c>
      <c r="D1094" s="189">
        <v>1</v>
      </c>
      <c r="E1094" s="44"/>
      <c r="F1094" s="59"/>
      <c r="G1094" s="60">
        <f t="shared" si="208"/>
        <v>0</v>
      </c>
    </row>
    <row r="1095" spans="1:10" ht="36.75" customHeight="1" x14ac:dyDescent="0.2">
      <c r="A1095" s="299" t="s">
        <v>165</v>
      </c>
      <c r="B1095" s="188" t="s">
        <v>405</v>
      </c>
      <c r="C1095" s="81" t="s">
        <v>15</v>
      </c>
      <c r="D1095" s="189">
        <v>2</v>
      </c>
      <c r="E1095" s="44"/>
      <c r="F1095" s="59"/>
      <c r="G1095" s="60">
        <f t="shared" si="208"/>
        <v>0</v>
      </c>
    </row>
    <row r="1096" spans="1:10" ht="63.75" customHeight="1" x14ac:dyDescent="0.2">
      <c r="A1096" s="299" t="s">
        <v>176</v>
      </c>
      <c r="B1096" s="188" t="s">
        <v>406</v>
      </c>
      <c r="C1096" s="143" t="s">
        <v>390</v>
      </c>
      <c r="D1096" s="189">
        <v>1.8</v>
      </c>
      <c r="E1096" s="44"/>
      <c r="F1096" s="59"/>
      <c r="G1096" s="60">
        <f t="shared" si="208"/>
        <v>0</v>
      </c>
      <c r="I1096" s="139"/>
      <c r="J1096" s="139"/>
    </row>
    <row r="1097" spans="1:10" ht="12" customHeight="1" x14ac:dyDescent="0.2">
      <c r="A1097" s="299"/>
      <c r="B1097" s="188"/>
      <c r="C1097" s="81"/>
      <c r="D1097" s="189"/>
      <c r="E1097" s="44"/>
      <c r="F1097" s="59"/>
      <c r="G1097" s="60"/>
      <c r="I1097" s="139"/>
      <c r="J1097" s="139"/>
    </row>
    <row r="1098" spans="1:10" ht="12" customHeight="1" x14ac:dyDescent="0.2">
      <c r="A1098" s="291" t="s">
        <v>152</v>
      </c>
      <c r="B1098" s="292" t="s">
        <v>69</v>
      </c>
      <c r="C1098" s="293"/>
      <c r="D1098" s="294"/>
      <c r="E1098" s="271"/>
      <c r="F1098" s="166"/>
      <c r="G1098" s="167"/>
    </row>
    <row r="1099" spans="1:10" x14ac:dyDescent="0.2">
      <c r="A1099" s="295" t="s">
        <v>164</v>
      </c>
      <c r="B1099" s="296" t="s">
        <v>131</v>
      </c>
      <c r="C1099" s="218"/>
      <c r="D1099" s="297"/>
      <c r="E1099" s="214"/>
      <c r="F1099" s="219"/>
      <c r="G1099" s="298"/>
      <c r="I1099" s="139"/>
      <c r="J1099" s="139"/>
    </row>
    <row r="1100" spans="1:10" x14ac:dyDescent="0.2">
      <c r="A1100" s="299" t="s">
        <v>185</v>
      </c>
      <c r="B1100" s="188" t="s">
        <v>203</v>
      </c>
      <c r="C1100" s="81" t="s">
        <v>15</v>
      </c>
      <c r="D1100" s="189">
        <v>1</v>
      </c>
      <c r="E1100" s="44"/>
      <c r="F1100" s="59"/>
      <c r="G1100" s="60">
        <f>(D1100*E1100)+(D1100*F1100)</f>
        <v>0</v>
      </c>
    </row>
    <row r="1101" spans="1:10" ht="24" x14ac:dyDescent="0.2">
      <c r="A1101" s="299" t="s">
        <v>186</v>
      </c>
      <c r="B1101" s="188" t="s">
        <v>204</v>
      </c>
      <c r="C1101" s="81" t="s">
        <v>15</v>
      </c>
      <c r="D1101" s="189">
        <v>1</v>
      </c>
      <c r="E1101" s="44"/>
      <c r="F1101" s="59"/>
      <c r="G1101" s="60">
        <f>(D1101*E1101)+(D1101*F1101)</f>
        <v>0</v>
      </c>
    </row>
    <row r="1102" spans="1:10" ht="12.75" thickBot="1" x14ac:dyDescent="0.25">
      <c r="A1102" s="403"/>
      <c r="B1102" s="404"/>
      <c r="C1102" s="405"/>
      <c r="D1102" s="406"/>
      <c r="E1102" s="77"/>
      <c r="F1102" s="155"/>
      <c r="G1102" s="156"/>
    </row>
    <row r="1103" spans="1:10" ht="12.75" customHeight="1" x14ac:dyDescent="0.2">
      <c r="A1103" s="295" t="s">
        <v>165</v>
      </c>
      <c r="B1103" s="300" t="s">
        <v>132</v>
      </c>
      <c r="C1103" s="218"/>
      <c r="D1103" s="297"/>
      <c r="E1103" s="214"/>
      <c r="F1103" s="215"/>
      <c r="G1103" s="216"/>
    </row>
    <row r="1104" spans="1:10" x14ac:dyDescent="0.2">
      <c r="A1104" s="299" t="s">
        <v>164</v>
      </c>
      <c r="B1104" s="188" t="s">
        <v>379</v>
      </c>
      <c r="C1104" s="81" t="s">
        <v>114</v>
      </c>
      <c r="D1104" s="189">
        <v>2</v>
      </c>
      <c r="E1104" s="44"/>
      <c r="F1104" s="59"/>
      <c r="G1104" s="60">
        <f>(D1104*E1104)+(D1104*F1104)</f>
        <v>0</v>
      </c>
    </row>
    <row r="1105" spans="1:7" x14ac:dyDescent="0.2">
      <c r="A1105" s="299" t="s">
        <v>165</v>
      </c>
      <c r="B1105" s="188" t="s">
        <v>380</v>
      </c>
      <c r="C1105" s="81" t="s">
        <v>114</v>
      </c>
      <c r="D1105" s="189">
        <v>2</v>
      </c>
      <c r="E1105" s="44"/>
      <c r="F1105" s="59"/>
      <c r="G1105" s="60">
        <f t="shared" ref="G1105:G1112" si="209">(D1105*E1105)+(D1105*F1105)</f>
        <v>0</v>
      </c>
    </row>
    <row r="1106" spans="1:7" x14ac:dyDescent="0.2">
      <c r="A1106" s="299" t="s">
        <v>176</v>
      </c>
      <c r="B1106" s="188" t="s">
        <v>381</v>
      </c>
      <c r="C1106" s="81" t="s">
        <v>114</v>
      </c>
      <c r="D1106" s="189">
        <f>D1105</f>
        <v>2</v>
      </c>
      <c r="E1106" s="44"/>
      <c r="F1106" s="59"/>
      <c r="G1106" s="60">
        <f t="shared" si="209"/>
        <v>0</v>
      </c>
    </row>
    <row r="1107" spans="1:7" ht="14.25" customHeight="1" x14ac:dyDescent="0.2">
      <c r="A1107" s="299" t="s">
        <v>177</v>
      </c>
      <c r="B1107" s="188" t="s">
        <v>133</v>
      </c>
      <c r="C1107" s="81" t="s">
        <v>114</v>
      </c>
      <c r="D1107" s="189">
        <f>D1104</f>
        <v>2</v>
      </c>
      <c r="E1107" s="44"/>
      <c r="F1107" s="59"/>
      <c r="G1107" s="60">
        <f t="shared" si="209"/>
        <v>0</v>
      </c>
    </row>
    <row r="1108" spans="1:7" ht="14.25" customHeight="1" x14ac:dyDescent="0.2">
      <c r="A1108" s="299" t="s">
        <v>178</v>
      </c>
      <c r="B1108" s="188" t="s">
        <v>545</v>
      </c>
      <c r="C1108" s="81" t="s">
        <v>114</v>
      </c>
      <c r="D1108" s="189">
        <v>2</v>
      </c>
      <c r="E1108" s="44"/>
      <c r="F1108" s="59"/>
      <c r="G1108" s="60">
        <f t="shared" si="209"/>
        <v>0</v>
      </c>
    </row>
    <row r="1109" spans="1:7" x14ac:dyDescent="0.2">
      <c r="A1109" s="299" t="s">
        <v>179</v>
      </c>
      <c r="B1109" s="188" t="s">
        <v>382</v>
      </c>
      <c r="C1109" s="81" t="s">
        <v>114</v>
      </c>
      <c r="D1109" s="189">
        <f>D1104</f>
        <v>2</v>
      </c>
      <c r="E1109" s="44"/>
      <c r="F1109" s="59"/>
      <c r="G1109" s="60">
        <f t="shared" si="209"/>
        <v>0</v>
      </c>
    </row>
    <row r="1110" spans="1:7" x14ac:dyDescent="0.2">
      <c r="A1110" s="299" t="s">
        <v>180</v>
      </c>
      <c r="B1110" s="188" t="s">
        <v>184</v>
      </c>
      <c r="C1110" s="81" t="s">
        <v>114</v>
      </c>
      <c r="D1110" s="189">
        <v>5</v>
      </c>
      <c r="E1110" s="44"/>
      <c r="F1110" s="59"/>
      <c r="G1110" s="60">
        <f t="shared" si="209"/>
        <v>0</v>
      </c>
    </row>
    <row r="1111" spans="1:7" x14ac:dyDescent="0.2">
      <c r="A1111" s="299" t="s">
        <v>181</v>
      </c>
      <c r="B1111" s="188" t="s">
        <v>383</v>
      </c>
      <c r="C1111" s="81" t="s">
        <v>114</v>
      </c>
      <c r="D1111" s="189">
        <f>D1105</f>
        <v>2</v>
      </c>
      <c r="E1111" s="44"/>
      <c r="F1111" s="59"/>
      <c r="G1111" s="60">
        <f t="shared" si="209"/>
        <v>0</v>
      </c>
    </row>
    <row r="1112" spans="1:7" x14ac:dyDescent="0.2">
      <c r="A1112" s="299" t="s">
        <v>182</v>
      </c>
      <c r="B1112" s="188" t="s">
        <v>251</v>
      </c>
      <c r="C1112" s="81" t="s">
        <v>114</v>
      </c>
      <c r="D1112" s="189">
        <v>4</v>
      </c>
      <c r="E1112" s="44"/>
      <c r="F1112" s="59"/>
      <c r="G1112" s="60">
        <f t="shared" si="209"/>
        <v>0</v>
      </c>
    </row>
    <row r="1113" spans="1:7" x14ac:dyDescent="0.2">
      <c r="A1113" s="299"/>
      <c r="B1113" s="188"/>
      <c r="C1113" s="81"/>
      <c r="D1113" s="189"/>
      <c r="E1113" s="44"/>
      <c r="F1113" s="59"/>
      <c r="G1113" s="60"/>
    </row>
    <row r="1114" spans="1:7" x14ac:dyDescent="0.2">
      <c r="A1114" s="295" t="s">
        <v>176</v>
      </c>
      <c r="B1114" s="302" t="s">
        <v>205</v>
      </c>
      <c r="C1114" s="303"/>
      <c r="D1114" s="297"/>
      <c r="E1114" s="214"/>
      <c r="F1114" s="215"/>
      <c r="G1114" s="216">
        <f t="shared" ref="G1114:G1115" si="210">(D1114*E1114)+(D1114*F1114)</f>
        <v>0</v>
      </c>
    </row>
    <row r="1115" spans="1:7" ht="48" x14ac:dyDescent="0.2">
      <c r="A1115" s="299" t="s">
        <v>164</v>
      </c>
      <c r="B1115" s="188" t="s">
        <v>404</v>
      </c>
      <c r="C1115" s="81" t="s">
        <v>15</v>
      </c>
      <c r="D1115" s="189">
        <v>1</v>
      </c>
      <c r="E1115" s="44"/>
      <c r="F1115" s="59"/>
      <c r="G1115" s="60">
        <f t="shared" si="210"/>
        <v>0</v>
      </c>
    </row>
    <row r="1116" spans="1:7" x14ac:dyDescent="0.2">
      <c r="A1116" s="40"/>
      <c r="B1116" s="251"/>
      <c r="C1116" s="281"/>
      <c r="D1116" s="57"/>
      <c r="E1116" s="44"/>
      <c r="F1116" s="59"/>
      <c r="G1116" s="60"/>
    </row>
    <row r="1117" spans="1:7" x14ac:dyDescent="0.2">
      <c r="A1117" s="291" t="s">
        <v>57</v>
      </c>
      <c r="B1117" s="292" t="s">
        <v>71</v>
      </c>
      <c r="C1117" s="293"/>
      <c r="D1117" s="294"/>
      <c r="E1117" s="271"/>
      <c r="F1117" s="166"/>
      <c r="G1117" s="167"/>
    </row>
    <row r="1118" spans="1:7" x14ac:dyDescent="0.2">
      <c r="A1118" s="295" t="s">
        <v>164</v>
      </c>
      <c r="B1118" s="296" t="s">
        <v>131</v>
      </c>
      <c r="C1118" s="218"/>
      <c r="D1118" s="297"/>
      <c r="E1118" s="214"/>
      <c r="F1118" s="219"/>
      <c r="G1118" s="298"/>
    </row>
    <row r="1119" spans="1:7" x14ac:dyDescent="0.2">
      <c r="A1119" s="299" t="s">
        <v>185</v>
      </c>
      <c r="B1119" s="188" t="s">
        <v>203</v>
      </c>
      <c r="C1119" s="81" t="s">
        <v>15</v>
      </c>
      <c r="D1119" s="189">
        <v>1</v>
      </c>
      <c r="E1119" s="44"/>
      <c r="F1119" s="59"/>
      <c r="G1119" s="60">
        <f>(D1119*E1119)+(D1119*F1119)</f>
        <v>0</v>
      </c>
    </row>
    <row r="1120" spans="1:7" ht="24" x14ac:dyDescent="0.2">
      <c r="A1120" s="299" t="s">
        <v>186</v>
      </c>
      <c r="B1120" s="188" t="s">
        <v>204</v>
      </c>
      <c r="C1120" s="81" t="s">
        <v>15</v>
      </c>
      <c r="D1120" s="189">
        <v>1</v>
      </c>
      <c r="E1120" s="44"/>
      <c r="F1120" s="59"/>
      <c r="G1120" s="60">
        <f>(D1120*E1120)+(D1120*F1120)</f>
        <v>0</v>
      </c>
    </row>
    <row r="1121" spans="1:7" x14ac:dyDescent="0.2">
      <c r="A1121" s="299"/>
      <c r="B1121" s="188"/>
      <c r="C1121" s="81"/>
      <c r="D1121" s="189"/>
      <c r="E1121" s="44"/>
      <c r="F1121" s="59"/>
      <c r="G1121" s="60"/>
    </row>
    <row r="1122" spans="1:7" x14ac:dyDescent="0.2">
      <c r="A1122" s="295" t="s">
        <v>165</v>
      </c>
      <c r="B1122" s="300" t="s">
        <v>132</v>
      </c>
      <c r="C1122" s="218"/>
      <c r="D1122" s="297"/>
      <c r="E1122" s="214"/>
      <c r="F1122" s="215"/>
      <c r="G1122" s="216"/>
    </row>
    <row r="1123" spans="1:7" x14ac:dyDescent="0.2">
      <c r="A1123" s="299" t="s">
        <v>164</v>
      </c>
      <c r="B1123" s="188" t="s">
        <v>379</v>
      </c>
      <c r="C1123" s="81" t="s">
        <v>114</v>
      </c>
      <c r="D1123" s="189">
        <v>2</v>
      </c>
      <c r="E1123" s="44"/>
      <c r="F1123" s="59"/>
      <c r="G1123" s="60">
        <f>(D1123*E1123)+(D1123*F1123)</f>
        <v>0</v>
      </c>
    </row>
    <row r="1124" spans="1:7" x14ac:dyDescent="0.2">
      <c r="A1124" s="299" t="s">
        <v>165</v>
      </c>
      <c r="B1124" s="188" t="s">
        <v>380</v>
      </c>
      <c r="C1124" s="81" t="s">
        <v>114</v>
      </c>
      <c r="D1124" s="189">
        <v>2</v>
      </c>
      <c r="E1124" s="44"/>
      <c r="F1124" s="59"/>
      <c r="G1124" s="60">
        <f t="shared" ref="G1124:G1131" si="211">(D1124*E1124)+(D1124*F1124)</f>
        <v>0</v>
      </c>
    </row>
    <row r="1125" spans="1:7" x14ac:dyDescent="0.2">
      <c r="A1125" s="299" t="s">
        <v>176</v>
      </c>
      <c r="B1125" s="188" t="s">
        <v>381</v>
      </c>
      <c r="C1125" s="81" t="s">
        <v>114</v>
      </c>
      <c r="D1125" s="189">
        <f>D1124</f>
        <v>2</v>
      </c>
      <c r="E1125" s="44"/>
      <c r="F1125" s="59"/>
      <c r="G1125" s="60">
        <f t="shared" si="211"/>
        <v>0</v>
      </c>
    </row>
    <row r="1126" spans="1:7" x14ac:dyDescent="0.2">
      <c r="A1126" s="299" t="s">
        <v>177</v>
      </c>
      <c r="B1126" s="188" t="s">
        <v>133</v>
      </c>
      <c r="C1126" s="81" t="s">
        <v>114</v>
      </c>
      <c r="D1126" s="189">
        <f>D1123</f>
        <v>2</v>
      </c>
      <c r="E1126" s="44"/>
      <c r="F1126" s="59"/>
      <c r="G1126" s="60">
        <f t="shared" si="211"/>
        <v>0</v>
      </c>
    </row>
    <row r="1127" spans="1:7" x14ac:dyDescent="0.2">
      <c r="A1127" s="299" t="s">
        <v>178</v>
      </c>
      <c r="B1127" s="188" t="s">
        <v>545</v>
      </c>
      <c r="C1127" s="81" t="s">
        <v>114</v>
      </c>
      <c r="D1127" s="189">
        <v>2</v>
      </c>
      <c r="E1127" s="44"/>
      <c r="F1127" s="59"/>
      <c r="G1127" s="60">
        <f t="shared" si="211"/>
        <v>0</v>
      </c>
    </row>
    <row r="1128" spans="1:7" x14ac:dyDescent="0.2">
      <c r="A1128" s="299" t="s">
        <v>179</v>
      </c>
      <c r="B1128" s="188" t="s">
        <v>382</v>
      </c>
      <c r="C1128" s="81" t="s">
        <v>114</v>
      </c>
      <c r="D1128" s="189">
        <f>D1123</f>
        <v>2</v>
      </c>
      <c r="E1128" s="44"/>
      <c r="F1128" s="59"/>
      <c r="G1128" s="60">
        <f t="shared" si="211"/>
        <v>0</v>
      </c>
    </row>
    <row r="1129" spans="1:7" x14ac:dyDescent="0.2">
      <c r="A1129" s="299" t="s">
        <v>180</v>
      </c>
      <c r="B1129" s="188" t="s">
        <v>184</v>
      </c>
      <c r="C1129" s="81" t="s">
        <v>114</v>
      </c>
      <c r="D1129" s="189">
        <v>5</v>
      </c>
      <c r="E1129" s="44"/>
      <c r="F1129" s="59"/>
      <c r="G1129" s="60">
        <f t="shared" si="211"/>
        <v>0</v>
      </c>
    </row>
    <row r="1130" spans="1:7" x14ac:dyDescent="0.2">
      <c r="A1130" s="299" t="s">
        <v>181</v>
      </c>
      <c r="B1130" s="188" t="s">
        <v>383</v>
      </c>
      <c r="C1130" s="81" t="s">
        <v>114</v>
      </c>
      <c r="D1130" s="189">
        <f>D1124</f>
        <v>2</v>
      </c>
      <c r="E1130" s="44"/>
      <c r="F1130" s="59"/>
      <c r="G1130" s="60">
        <f t="shared" si="211"/>
        <v>0</v>
      </c>
    </row>
    <row r="1131" spans="1:7" x14ac:dyDescent="0.2">
      <c r="A1131" s="299" t="s">
        <v>182</v>
      </c>
      <c r="B1131" s="188" t="s">
        <v>251</v>
      </c>
      <c r="C1131" s="81" t="s">
        <v>114</v>
      </c>
      <c r="D1131" s="189">
        <v>4</v>
      </c>
      <c r="E1131" s="44"/>
      <c r="F1131" s="59"/>
      <c r="G1131" s="60">
        <f t="shared" si="211"/>
        <v>0</v>
      </c>
    </row>
    <row r="1132" spans="1:7" x14ac:dyDescent="0.2">
      <c r="A1132" s="295" t="s">
        <v>176</v>
      </c>
      <c r="B1132" s="302" t="s">
        <v>205</v>
      </c>
      <c r="C1132" s="303"/>
      <c r="D1132" s="297"/>
      <c r="E1132" s="214"/>
      <c r="F1132" s="215"/>
      <c r="G1132" s="216">
        <f t="shared" ref="G1132:G1133" si="212">(D1132*E1132)+(D1132*F1132)</f>
        <v>0</v>
      </c>
    </row>
    <row r="1133" spans="1:7" ht="48" x14ac:dyDescent="0.2">
      <c r="A1133" s="299" t="s">
        <v>164</v>
      </c>
      <c r="B1133" s="188" t="s">
        <v>404</v>
      </c>
      <c r="C1133" s="81" t="s">
        <v>15</v>
      </c>
      <c r="D1133" s="189">
        <v>1</v>
      </c>
      <c r="E1133" s="44"/>
      <c r="F1133" s="59"/>
      <c r="G1133" s="60">
        <f t="shared" si="212"/>
        <v>0</v>
      </c>
    </row>
    <row r="1134" spans="1:7" x14ac:dyDescent="0.2">
      <c r="A1134" s="291" t="s">
        <v>153</v>
      </c>
      <c r="B1134" s="292" t="s">
        <v>458</v>
      </c>
      <c r="C1134" s="293"/>
      <c r="D1134" s="294"/>
      <c r="E1134" s="271"/>
      <c r="F1134" s="166"/>
      <c r="G1134" s="167"/>
    </row>
    <row r="1135" spans="1:7" x14ac:dyDescent="0.2">
      <c r="A1135" s="295" t="s">
        <v>164</v>
      </c>
      <c r="B1135" s="296" t="s">
        <v>131</v>
      </c>
      <c r="C1135" s="218"/>
      <c r="D1135" s="297"/>
      <c r="E1135" s="214"/>
      <c r="F1135" s="219"/>
      <c r="G1135" s="298"/>
    </row>
    <row r="1136" spans="1:7" x14ac:dyDescent="0.2">
      <c r="A1136" s="299" t="s">
        <v>185</v>
      </c>
      <c r="B1136" s="188" t="s">
        <v>203</v>
      </c>
      <c r="C1136" s="81" t="s">
        <v>15</v>
      </c>
      <c r="D1136" s="189">
        <v>1</v>
      </c>
      <c r="E1136" s="44"/>
      <c r="F1136" s="59"/>
      <c r="G1136" s="60">
        <f>(D1136*E1136)+(D1136*F1136)</f>
        <v>0</v>
      </c>
    </row>
    <row r="1137" spans="1:7" ht="24" x14ac:dyDescent="0.2">
      <c r="A1137" s="299" t="s">
        <v>186</v>
      </c>
      <c r="B1137" s="188" t="s">
        <v>204</v>
      </c>
      <c r="C1137" s="81" t="s">
        <v>15</v>
      </c>
      <c r="D1137" s="189">
        <v>1</v>
      </c>
      <c r="E1137" s="44"/>
      <c r="F1137" s="59"/>
      <c r="G1137" s="60">
        <f>(D1137*E1137)+(D1137*F1137)</f>
        <v>0</v>
      </c>
    </row>
    <row r="1138" spans="1:7" x14ac:dyDescent="0.2">
      <c r="A1138" s="295" t="s">
        <v>165</v>
      </c>
      <c r="B1138" s="300" t="s">
        <v>132</v>
      </c>
      <c r="C1138" s="218"/>
      <c r="D1138" s="297"/>
      <c r="E1138" s="214"/>
      <c r="F1138" s="215"/>
      <c r="G1138" s="216"/>
    </row>
    <row r="1139" spans="1:7" x14ac:dyDescent="0.2">
      <c r="A1139" s="299" t="s">
        <v>164</v>
      </c>
      <c r="B1139" s="188" t="s">
        <v>379</v>
      </c>
      <c r="C1139" s="81" t="s">
        <v>114</v>
      </c>
      <c r="D1139" s="189">
        <v>2</v>
      </c>
      <c r="E1139" s="44"/>
      <c r="F1139" s="59"/>
      <c r="G1139" s="60">
        <f>(D1139*E1139)+(D1139*F1139)</f>
        <v>0</v>
      </c>
    </row>
    <row r="1140" spans="1:7" x14ac:dyDescent="0.2">
      <c r="A1140" s="299" t="s">
        <v>165</v>
      </c>
      <c r="B1140" s="188" t="s">
        <v>380</v>
      </c>
      <c r="C1140" s="81" t="s">
        <v>114</v>
      </c>
      <c r="D1140" s="189">
        <v>2</v>
      </c>
      <c r="E1140" s="44"/>
      <c r="F1140" s="59"/>
      <c r="G1140" s="60">
        <f t="shared" ref="G1140:G1147" si="213">(D1140*E1140)+(D1140*F1140)</f>
        <v>0</v>
      </c>
    </row>
    <row r="1141" spans="1:7" x14ac:dyDescent="0.2">
      <c r="A1141" s="299" t="s">
        <v>176</v>
      </c>
      <c r="B1141" s="188" t="s">
        <v>381</v>
      </c>
      <c r="C1141" s="81" t="s">
        <v>114</v>
      </c>
      <c r="D1141" s="189">
        <f>D1140</f>
        <v>2</v>
      </c>
      <c r="E1141" s="44"/>
      <c r="F1141" s="59"/>
      <c r="G1141" s="60">
        <f t="shared" si="213"/>
        <v>0</v>
      </c>
    </row>
    <row r="1142" spans="1:7" x14ac:dyDescent="0.2">
      <c r="A1142" s="299" t="s">
        <v>177</v>
      </c>
      <c r="B1142" s="188" t="s">
        <v>133</v>
      </c>
      <c r="C1142" s="81" t="s">
        <v>114</v>
      </c>
      <c r="D1142" s="189">
        <f>D1139</f>
        <v>2</v>
      </c>
      <c r="E1142" s="44"/>
      <c r="F1142" s="59"/>
      <c r="G1142" s="60">
        <f t="shared" si="213"/>
        <v>0</v>
      </c>
    </row>
    <row r="1143" spans="1:7" x14ac:dyDescent="0.2">
      <c r="A1143" s="299" t="s">
        <v>178</v>
      </c>
      <c r="B1143" s="188" t="s">
        <v>545</v>
      </c>
      <c r="C1143" s="81" t="s">
        <v>114</v>
      </c>
      <c r="D1143" s="189">
        <v>2</v>
      </c>
      <c r="E1143" s="44"/>
      <c r="F1143" s="59"/>
      <c r="G1143" s="60">
        <f t="shared" si="213"/>
        <v>0</v>
      </c>
    </row>
    <row r="1144" spans="1:7" x14ac:dyDescent="0.2">
      <c r="A1144" s="299" t="s">
        <v>179</v>
      </c>
      <c r="B1144" s="188" t="s">
        <v>382</v>
      </c>
      <c r="C1144" s="81" t="s">
        <v>114</v>
      </c>
      <c r="D1144" s="189">
        <f>D1139</f>
        <v>2</v>
      </c>
      <c r="E1144" s="44"/>
      <c r="F1144" s="59"/>
      <c r="G1144" s="60">
        <f t="shared" si="213"/>
        <v>0</v>
      </c>
    </row>
    <row r="1145" spans="1:7" x14ac:dyDescent="0.2">
      <c r="A1145" s="299" t="s">
        <v>180</v>
      </c>
      <c r="B1145" s="188" t="s">
        <v>184</v>
      </c>
      <c r="C1145" s="81" t="s">
        <v>114</v>
      </c>
      <c r="D1145" s="189">
        <v>5</v>
      </c>
      <c r="E1145" s="44"/>
      <c r="F1145" s="59"/>
      <c r="G1145" s="60">
        <f t="shared" si="213"/>
        <v>0</v>
      </c>
    </row>
    <row r="1146" spans="1:7" x14ac:dyDescent="0.2">
      <c r="A1146" s="299" t="s">
        <v>181</v>
      </c>
      <c r="B1146" s="188" t="s">
        <v>383</v>
      </c>
      <c r="C1146" s="81" t="s">
        <v>114</v>
      </c>
      <c r="D1146" s="189">
        <f>D1140</f>
        <v>2</v>
      </c>
      <c r="E1146" s="44"/>
      <c r="F1146" s="59"/>
      <c r="G1146" s="60">
        <f t="shared" si="213"/>
        <v>0</v>
      </c>
    </row>
    <row r="1147" spans="1:7" x14ac:dyDescent="0.2">
      <c r="A1147" s="299" t="s">
        <v>182</v>
      </c>
      <c r="B1147" s="188" t="s">
        <v>251</v>
      </c>
      <c r="C1147" s="81" t="s">
        <v>114</v>
      </c>
      <c r="D1147" s="189">
        <v>4</v>
      </c>
      <c r="E1147" s="44"/>
      <c r="F1147" s="59"/>
      <c r="G1147" s="60">
        <f t="shared" si="213"/>
        <v>0</v>
      </c>
    </row>
    <row r="1148" spans="1:7" x14ac:dyDescent="0.2">
      <c r="A1148" s="295" t="s">
        <v>176</v>
      </c>
      <c r="B1148" s="302" t="s">
        <v>205</v>
      </c>
      <c r="C1148" s="303"/>
      <c r="D1148" s="297"/>
      <c r="E1148" s="214"/>
      <c r="F1148" s="215"/>
      <c r="G1148" s="216">
        <f t="shared" ref="G1148:G1149" si="214">(D1148*E1148)+(D1148*F1148)</f>
        <v>0</v>
      </c>
    </row>
    <row r="1149" spans="1:7" ht="48" x14ac:dyDescent="0.2">
      <c r="A1149" s="299" t="s">
        <v>164</v>
      </c>
      <c r="B1149" s="188" t="s">
        <v>404</v>
      </c>
      <c r="C1149" s="81" t="s">
        <v>15</v>
      </c>
      <c r="D1149" s="189">
        <v>1</v>
      </c>
      <c r="E1149" s="44"/>
      <c r="F1149" s="59"/>
      <c r="G1149" s="60">
        <f t="shared" si="214"/>
        <v>0</v>
      </c>
    </row>
    <row r="1150" spans="1:7" ht="12.75" thickBot="1" x14ac:dyDescent="0.25">
      <c r="A1150" s="403"/>
      <c r="B1150" s="404"/>
      <c r="C1150" s="405"/>
      <c r="D1150" s="406"/>
      <c r="E1150" s="77"/>
      <c r="F1150" s="155"/>
      <c r="G1150" s="156"/>
    </row>
    <row r="1151" spans="1:7" x14ac:dyDescent="0.2">
      <c r="A1151" s="299"/>
      <c r="B1151" s="188"/>
      <c r="C1151" s="81"/>
      <c r="D1151" s="189"/>
      <c r="E1151" s="44"/>
      <c r="F1151" s="59"/>
      <c r="G1151" s="60"/>
    </row>
    <row r="1152" spans="1:7" x14ac:dyDescent="0.2">
      <c r="A1152" s="291" t="s">
        <v>154</v>
      </c>
      <c r="B1152" s="292" t="s">
        <v>466</v>
      </c>
      <c r="C1152" s="293"/>
      <c r="D1152" s="294"/>
      <c r="E1152" s="271"/>
      <c r="F1152" s="166"/>
      <c r="G1152" s="167"/>
    </row>
    <row r="1153" spans="1:7" x14ac:dyDescent="0.2">
      <c r="A1153" s="295" t="s">
        <v>164</v>
      </c>
      <c r="B1153" s="296" t="s">
        <v>131</v>
      </c>
      <c r="C1153" s="218"/>
      <c r="D1153" s="297"/>
      <c r="E1153" s="214"/>
      <c r="F1153" s="219"/>
      <c r="G1153" s="298"/>
    </row>
    <row r="1154" spans="1:7" x14ac:dyDescent="0.2">
      <c r="A1154" s="299" t="s">
        <v>185</v>
      </c>
      <c r="B1154" s="188" t="s">
        <v>203</v>
      </c>
      <c r="C1154" s="81" t="s">
        <v>15</v>
      </c>
      <c r="D1154" s="189">
        <v>1</v>
      </c>
      <c r="E1154" s="44"/>
      <c r="F1154" s="59"/>
      <c r="G1154" s="60">
        <f>(D1154*E1154)+(D1154*F1154)</f>
        <v>0</v>
      </c>
    </row>
    <row r="1155" spans="1:7" ht="24" x14ac:dyDescent="0.2">
      <c r="A1155" s="299" t="s">
        <v>186</v>
      </c>
      <c r="B1155" s="188" t="s">
        <v>204</v>
      </c>
      <c r="C1155" s="81" t="s">
        <v>15</v>
      </c>
      <c r="D1155" s="189">
        <v>1</v>
      </c>
      <c r="E1155" s="44"/>
      <c r="F1155" s="59"/>
      <c r="G1155" s="60">
        <f>(D1155*E1155)+(D1155*F1155)</f>
        <v>0</v>
      </c>
    </row>
    <row r="1156" spans="1:7" x14ac:dyDescent="0.2">
      <c r="A1156" s="295" t="s">
        <v>165</v>
      </c>
      <c r="B1156" s="300" t="s">
        <v>132</v>
      </c>
      <c r="C1156" s="218"/>
      <c r="D1156" s="297"/>
      <c r="E1156" s="214"/>
      <c r="F1156" s="215"/>
      <c r="G1156" s="216"/>
    </row>
    <row r="1157" spans="1:7" x14ac:dyDescent="0.2">
      <c r="A1157" s="299" t="s">
        <v>164</v>
      </c>
      <c r="B1157" s="188" t="s">
        <v>379</v>
      </c>
      <c r="C1157" s="81" t="s">
        <v>114</v>
      </c>
      <c r="D1157" s="189">
        <v>2</v>
      </c>
      <c r="E1157" s="44"/>
      <c r="F1157" s="59"/>
      <c r="G1157" s="60">
        <f>(D1157*E1157)+(D1157*F1157)</f>
        <v>0</v>
      </c>
    </row>
    <row r="1158" spans="1:7" x14ac:dyDescent="0.2">
      <c r="A1158" s="299" t="s">
        <v>165</v>
      </c>
      <c r="B1158" s="188" t="s">
        <v>380</v>
      </c>
      <c r="C1158" s="81" t="s">
        <v>114</v>
      </c>
      <c r="D1158" s="189">
        <v>2</v>
      </c>
      <c r="E1158" s="44"/>
      <c r="F1158" s="59"/>
      <c r="G1158" s="60">
        <f t="shared" ref="G1158:G1165" si="215">(D1158*E1158)+(D1158*F1158)</f>
        <v>0</v>
      </c>
    </row>
    <row r="1159" spans="1:7" x14ac:dyDescent="0.2">
      <c r="A1159" s="299" t="s">
        <v>176</v>
      </c>
      <c r="B1159" s="188" t="s">
        <v>381</v>
      </c>
      <c r="C1159" s="81" t="s">
        <v>114</v>
      </c>
      <c r="D1159" s="189">
        <f>D1158</f>
        <v>2</v>
      </c>
      <c r="E1159" s="44"/>
      <c r="F1159" s="59"/>
      <c r="G1159" s="60">
        <f t="shared" si="215"/>
        <v>0</v>
      </c>
    </row>
    <row r="1160" spans="1:7" x14ac:dyDescent="0.2">
      <c r="A1160" s="299" t="s">
        <v>177</v>
      </c>
      <c r="B1160" s="188" t="s">
        <v>133</v>
      </c>
      <c r="C1160" s="81" t="s">
        <v>114</v>
      </c>
      <c r="D1160" s="189">
        <f>D1157</f>
        <v>2</v>
      </c>
      <c r="E1160" s="44"/>
      <c r="F1160" s="59"/>
      <c r="G1160" s="60">
        <f t="shared" si="215"/>
        <v>0</v>
      </c>
    </row>
    <row r="1161" spans="1:7" x14ac:dyDescent="0.2">
      <c r="A1161" s="299" t="s">
        <v>178</v>
      </c>
      <c r="B1161" s="188" t="s">
        <v>545</v>
      </c>
      <c r="C1161" s="81" t="s">
        <v>114</v>
      </c>
      <c r="D1161" s="189">
        <v>2</v>
      </c>
      <c r="E1161" s="44"/>
      <c r="F1161" s="59"/>
      <c r="G1161" s="60">
        <f t="shared" si="215"/>
        <v>0</v>
      </c>
    </row>
    <row r="1162" spans="1:7" x14ac:dyDescent="0.2">
      <c r="A1162" s="299" t="s">
        <v>179</v>
      </c>
      <c r="B1162" s="188" t="s">
        <v>382</v>
      </c>
      <c r="C1162" s="81" t="s">
        <v>114</v>
      </c>
      <c r="D1162" s="189">
        <f>D1157</f>
        <v>2</v>
      </c>
      <c r="E1162" s="44"/>
      <c r="F1162" s="59"/>
      <c r="G1162" s="60">
        <f t="shared" si="215"/>
        <v>0</v>
      </c>
    </row>
    <row r="1163" spans="1:7" x14ac:dyDescent="0.2">
      <c r="A1163" s="299" t="s">
        <v>180</v>
      </c>
      <c r="B1163" s="188" t="s">
        <v>184</v>
      </c>
      <c r="C1163" s="81" t="s">
        <v>114</v>
      </c>
      <c r="D1163" s="189">
        <v>5</v>
      </c>
      <c r="E1163" s="44"/>
      <c r="F1163" s="59"/>
      <c r="G1163" s="60">
        <f t="shared" si="215"/>
        <v>0</v>
      </c>
    </row>
    <row r="1164" spans="1:7" x14ac:dyDescent="0.2">
      <c r="A1164" s="299" t="s">
        <v>181</v>
      </c>
      <c r="B1164" s="188" t="s">
        <v>383</v>
      </c>
      <c r="C1164" s="81" t="s">
        <v>114</v>
      </c>
      <c r="D1164" s="189">
        <f>D1158</f>
        <v>2</v>
      </c>
      <c r="E1164" s="44"/>
      <c r="F1164" s="59"/>
      <c r="G1164" s="60">
        <f t="shared" si="215"/>
        <v>0</v>
      </c>
    </row>
    <row r="1165" spans="1:7" x14ac:dyDescent="0.2">
      <c r="A1165" s="299" t="s">
        <v>182</v>
      </c>
      <c r="B1165" s="188" t="s">
        <v>251</v>
      </c>
      <c r="C1165" s="81" t="s">
        <v>114</v>
      </c>
      <c r="D1165" s="189">
        <v>4</v>
      </c>
      <c r="E1165" s="44"/>
      <c r="F1165" s="59"/>
      <c r="G1165" s="60">
        <f t="shared" si="215"/>
        <v>0</v>
      </c>
    </row>
    <row r="1166" spans="1:7" x14ac:dyDescent="0.2">
      <c r="A1166" s="299"/>
      <c r="B1166" s="188"/>
      <c r="C1166" s="81"/>
      <c r="D1166" s="189"/>
      <c r="E1166" s="44"/>
      <c r="F1166" s="59"/>
      <c r="G1166" s="60"/>
    </row>
    <row r="1167" spans="1:7" x14ac:dyDescent="0.2">
      <c r="A1167" s="295" t="s">
        <v>176</v>
      </c>
      <c r="B1167" s="302" t="s">
        <v>205</v>
      </c>
      <c r="C1167" s="303"/>
      <c r="D1167" s="297"/>
      <c r="E1167" s="214"/>
      <c r="F1167" s="215"/>
      <c r="G1167" s="216">
        <f t="shared" ref="G1167:G1168" si="216">(D1167*E1167)+(D1167*F1167)</f>
        <v>0</v>
      </c>
    </row>
    <row r="1168" spans="1:7" ht="48" x14ac:dyDescent="0.2">
      <c r="A1168" s="299" t="s">
        <v>164</v>
      </c>
      <c r="B1168" s="188" t="s">
        <v>404</v>
      </c>
      <c r="C1168" s="81" t="s">
        <v>15</v>
      </c>
      <c r="D1168" s="189">
        <v>1</v>
      </c>
      <c r="E1168" s="44"/>
      <c r="F1168" s="59"/>
      <c r="G1168" s="60">
        <f t="shared" si="216"/>
        <v>0</v>
      </c>
    </row>
    <row r="1169" spans="1:7" x14ac:dyDescent="0.2">
      <c r="A1169" s="291" t="s">
        <v>153</v>
      </c>
      <c r="B1169" s="292" t="s">
        <v>260</v>
      </c>
      <c r="C1169" s="293"/>
      <c r="D1169" s="294"/>
      <c r="E1169" s="271"/>
      <c r="F1169" s="166"/>
      <c r="G1169" s="167"/>
    </row>
    <row r="1170" spans="1:7" x14ac:dyDescent="0.2">
      <c r="A1170" s="295" t="s">
        <v>164</v>
      </c>
      <c r="B1170" s="300" t="s">
        <v>132</v>
      </c>
      <c r="C1170" s="218"/>
      <c r="D1170" s="297"/>
      <c r="E1170" s="214"/>
      <c r="F1170" s="215"/>
      <c r="G1170" s="216"/>
    </row>
    <row r="1171" spans="1:7" x14ac:dyDescent="0.2">
      <c r="A1171" s="299" t="s">
        <v>164</v>
      </c>
      <c r="B1171" s="188" t="s">
        <v>184</v>
      </c>
      <c r="C1171" s="81" t="s">
        <v>114</v>
      </c>
      <c r="D1171" s="189">
        <v>4</v>
      </c>
      <c r="E1171" s="44"/>
      <c r="F1171" s="59"/>
      <c r="G1171" s="60">
        <f t="shared" ref="G1171" si="217">(D1171*E1171)+(D1171*F1171)</f>
        <v>0</v>
      </c>
    </row>
    <row r="1172" spans="1:7" x14ac:dyDescent="0.2">
      <c r="A1172" s="295" t="s">
        <v>165</v>
      </c>
      <c r="B1172" s="302" t="s">
        <v>205</v>
      </c>
      <c r="C1172" s="303"/>
      <c r="D1172" s="297"/>
      <c r="E1172" s="214"/>
      <c r="F1172" s="215"/>
      <c r="G1172" s="216">
        <f t="shared" ref="G1172:G1173" si="218">(D1172*E1172)+(D1172*F1172)</f>
        <v>0</v>
      </c>
    </row>
    <row r="1173" spans="1:7" ht="48" x14ac:dyDescent="0.2">
      <c r="A1173" s="299" t="s">
        <v>164</v>
      </c>
      <c r="B1173" s="188" t="s">
        <v>407</v>
      </c>
      <c r="C1173" s="81" t="s">
        <v>15</v>
      </c>
      <c r="D1173" s="189">
        <v>1</v>
      </c>
      <c r="E1173" s="44"/>
      <c r="F1173" s="59"/>
      <c r="G1173" s="60">
        <f t="shared" si="218"/>
        <v>0</v>
      </c>
    </row>
    <row r="1174" spans="1:7" x14ac:dyDescent="0.2">
      <c r="A1174" s="40"/>
      <c r="B1174" s="251"/>
      <c r="C1174" s="281"/>
      <c r="D1174" s="57"/>
      <c r="E1174" s="44"/>
      <c r="F1174" s="59"/>
      <c r="G1174" s="60"/>
    </row>
    <row r="1175" spans="1:7" x14ac:dyDescent="0.2">
      <c r="A1175" s="40"/>
      <c r="B1175" s="251"/>
      <c r="C1175" s="281"/>
      <c r="D1175" s="57"/>
      <c r="E1175" s="44"/>
      <c r="F1175" s="59"/>
      <c r="G1175" s="60"/>
    </row>
    <row r="1176" spans="1:7" x14ac:dyDescent="0.2">
      <c r="A1176" s="40"/>
      <c r="B1176" s="251"/>
      <c r="C1176" s="281"/>
      <c r="D1176" s="57"/>
      <c r="E1176" s="44"/>
      <c r="F1176" s="59"/>
      <c r="G1176" s="60"/>
    </row>
    <row r="1177" spans="1:7" x14ac:dyDescent="0.2">
      <c r="A1177" s="40"/>
      <c r="B1177" s="251"/>
      <c r="C1177" s="281"/>
      <c r="D1177" s="57"/>
      <c r="E1177" s="44"/>
      <c r="F1177" s="59"/>
      <c r="G1177" s="60"/>
    </row>
    <row r="1178" spans="1:7" x14ac:dyDescent="0.2">
      <c r="A1178" s="40"/>
      <c r="B1178" s="251"/>
      <c r="C1178" s="281"/>
      <c r="D1178" s="57"/>
      <c r="E1178" s="44"/>
      <c r="F1178" s="59"/>
      <c r="G1178" s="60"/>
    </row>
    <row r="1179" spans="1:7" x14ac:dyDescent="0.2">
      <c r="A1179" s="40"/>
      <c r="B1179" s="251"/>
      <c r="C1179" s="281"/>
      <c r="D1179" s="57"/>
      <c r="E1179" s="44"/>
      <c r="F1179" s="59"/>
      <c r="G1179" s="60"/>
    </row>
    <row r="1180" spans="1:7" x14ac:dyDescent="0.2">
      <c r="A1180" s="40"/>
      <c r="B1180" s="251"/>
      <c r="C1180" s="281"/>
      <c r="D1180" s="57"/>
      <c r="E1180" s="44"/>
      <c r="F1180" s="59"/>
      <c r="G1180" s="60"/>
    </row>
    <row r="1181" spans="1:7" x14ac:dyDescent="0.2">
      <c r="A1181" s="40"/>
      <c r="B1181" s="251"/>
      <c r="C1181" s="281"/>
      <c r="D1181" s="57"/>
      <c r="E1181" s="44"/>
      <c r="F1181" s="59"/>
      <c r="G1181" s="60"/>
    </row>
    <row r="1182" spans="1:7" x14ac:dyDescent="0.2">
      <c r="A1182" s="40"/>
      <c r="B1182" s="251"/>
      <c r="C1182" s="281"/>
      <c r="D1182" s="57"/>
      <c r="E1182" s="44"/>
      <c r="F1182" s="59"/>
      <c r="G1182" s="60"/>
    </row>
    <row r="1183" spans="1:7" x14ac:dyDescent="0.2">
      <c r="A1183" s="40"/>
      <c r="B1183" s="251"/>
      <c r="C1183" s="281"/>
      <c r="D1183" s="57"/>
      <c r="E1183" s="44"/>
      <c r="F1183" s="59"/>
      <c r="G1183" s="60"/>
    </row>
    <row r="1184" spans="1:7" x14ac:dyDescent="0.2">
      <c r="A1184" s="40"/>
      <c r="B1184" s="251"/>
      <c r="C1184" s="281"/>
      <c r="D1184" s="57"/>
      <c r="E1184" s="44"/>
      <c r="F1184" s="59"/>
      <c r="G1184" s="60"/>
    </row>
    <row r="1185" spans="1:7" x14ac:dyDescent="0.2">
      <c r="A1185" s="40"/>
      <c r="B1185" s="251"/>
      <c r="C1185" s="281"/>
      <c r="D1185" s="57"/>
      <c r="E1185" s="44"/>
      <c r="F1185" s="59"/>
      <c r="G1185" s="60"/>
    </row>
    <row r="1186" spans="1:7" x14ac:dyDescent="0.2">
      <c r="A1186" s="40"/>
      <c r="B1186" s="251"/>
      <c r="C1186" s="281"/>
      <c r="D1186" s="57"/>
      <c r="E1186" s="44"/>
      <c r="F1186" s="59"/>
      <c r="G1186" s="60"/>
    </row>
    <row r="1187" spans="1:7" x14ac:dyDescent="0.2">
      <c r="A1187" s="40"/>
      <c r="B1187" s="251"/>
      <c r="C1187" s="281"/>
      <c r="D1187" s="57"/>
      <c r="E1187" s="44"/>
      <c r="F1187" s="59"/>
      <c r="G1187" s="60"/>
    </row>
    <row r="1188" spans="1:7" x14ac:dyDescent="0.2">
      <c r="A1188" s="40"/>
      <c r="B1188" s="251"/>
      <c r="C1188" s="281"/>
      <c r="D1188" s="57"/>
      <c r="E1188" s="44"/>
      <c r="F1188" s="59"/>
      <c r="G1188" s="60"/>
    </row>
    <row r="1189" spans="1:7" x14ac:dyDescent="0.2">
      <c r="A1189" s="40"/>
      <c r="B1189" s="251"/>
      <c r="C1189" s="281"/>
      <c r="D1189" s="57"/>
      <c r="E1189" s="44"/>
      <c r="F1189" s="59"/>
      <c r="G1189" s="60"/>
    </row>
    <row r="1190" spans="1:7" x14ac:dyDescent="0.2">
      <c r="A1190" s="40"/>
      <c r="B1190" s="251"/>
      <c r="C1190" s="281"/>
      <c r="D1190" s="57"/>
      <c r="E1190" s="44"/>
      <c r="F1190" s="59"/>
      <c r="G1190" s="60"/>
    </row>
    <row r="1191" spans="1:7" x14ac:dyDescent="0.2">
      <c r="A1191" s="40"/>
      <c r="B1191" s="251"/>
      <c r="C1191" s="281"/>
      <c r="D1191" s="57"/>
      <c r="E1191" s="44"/>
      <c r="F1191" s="59"/>
      <c r="G1191" s="60"/>
    </row>
    <row r="1192" spans="1:7" x14ac:dyDescent="0.2">
      <c r="A1192" s="40"/>
      <c r="B1192" s="251"/>
      <c r="C1192" s="281"/>
      <c r="D1192" s="57"/>
      <c r="E1192" s="44"/>
      <c r="F1192" s="59"/>
      <c r="G1192" s="60"/>
    </row>
    <row r="1193" spans="1:7" x14ac:dyDescent="0.2">
      <c r="A1193" s="40"/>
      <c r="B1193" s="251"/>
      <c r="C1193" s="281"/>
      <c r="D1193" s="57"/>
      <c r="E1193" s="44"/>
      <c r="F1193" s="59"/>
      <c r="G1193" s="60"/>
    </row>
    <row r="1194" spans="1:7" x14ac:dyDescent="0.2">
      <c r="A1194" s="40"/>
      <c r="B1194" s="251"/>
      <c r="C1194" s="281"/>
      <c r="D1194" s="57"/>
      <c r="E1194" s="44"/>
      <c r="F1194" s="59"/>
      <c r="G1194" s="60"/>
    </row>
    <row r="1195" spans="1:7" x14ac:dyDescent="0.2">
      <c r="A1195" s="40"/>
      <c r="B1195" s="251"/>
      <c r="C1195" s="281"/>
      <c r="D1195" s="57"/>
      <c r="E1195" s="44"/>
      <c r="F1195" s="59"/>
      <c r="G1195" s="60"/>
    </row>
    <row r="1196" spans="1:7" x14ac:dyDescent="0.2">
      <c r="A1196" s="40"/>
      <c r="B1196" s="251"/>
      <c r="C1196" s="281"/>
      <c r="D1196" s="57"/>
      <c r="E1196" s="44"/>
      <c r="F1196" s="59"/>
      <c r="G1196" s="60"/>
    </row>
    <row r="1197" spans="1:7" x14ac:dyDescent="0.2">
      <c r="A1197" s="40"/>
      <c r="B1197" s="251"/>
      <c r="C1197" s="281"/>
      <c r="D1197" s="57"/>
      <c r="E1197" s="44"/>
      <c r="F1197" s="59"/>
      <c r="G1197" s="60"/>
    </row>
    <row r="1198" spans="1:7" x14ac:dyDescent="0.2">
      <c r="A1198" s="40"/>
      <c r="B1198" s="251"/>
      <c r="C1198" s="281"/>
      <c r="D1198" s="57"/>
      <c r="E1198" s="44"/>
      <c r="F1198" s="59"/>
      <c r="G1198" s="60"/>
    </row>
    <row r="1199" spans="1:7" x14ac:dyDescent="0.2">
      <c r="A1199" s="40"/>
      <c r="B1199" s="251"/>
      <c r="C1199" s="281"/>
      <c r="D1199" s="57"/>
      <c r="E1199" s="44"/>
      <c r="F1199" s="59"/>
      <c r="G1199" s="60"/>
    </row>
    <row r="1200" spans="1:7" ht="12.75" thickBot="1" x14ac:dyDescent="0.25">
      <c r="A1200" s="40"/>
      <c r="B1200" s="251"/>
      <c r="C1200" s="281"/>
      <c r="D1200" s="57"/>
      <c r="E1200" s="44"/>
      <c r="F1200" s="59"/>
      <c r="G1200" s="60"/>
    </row>
    <row r="1201" spans="1:7" x14ac:dyDescent="0.2">
      <c r="A1201" s="68"/>
      <c r="B1201" s="69" t="s">
        <v>196</v>
      </c>
      <c r="C1201" s="113"/>
      <c r="D1201" s="71"/>
      <c r="E1201" s="72"/>
      <c r="F1201" s="191"/>
      <c r="G1201" s="192"/>
    </row>
    <row r="1202" spans="1:7" ht="12.75" thickBot="1" x14ac:dyDescent="0.25">
      <c r="A1202" s="73"/>
      <c r="B1202" s="74" t="s">
        <v>127</v>
      </c>
      <c r="C1202" s="114"/>
      <c r="D1202" s="76"/>
      <c r="E1202" s="77"/>
      <c r="F1202" s="155"/>
      <c r="G1202" s="193">
        <f>SUM(G1079:G1201)</f>
        <v>0</v>
      </c>
    </row>
    <row r="1203" spans="1:7" x14ac:dyDescent="0.2">
      <c r="A1203" s="141"/>
      <c r="B1203" s="200"/>
      <c r="C1203" s="143"/>
      <c r="D1203" s="91"/>
      <c r="E1203" s="92"/>
      <c r="F1203" s="59"/>
      <c r="G1203" s="60"/>
    </row>
    <row r="1204" spans="1:7" x14ac:dyDescent="0.2">
      <c r="A1204" s="40"/>
      <c r="B1204" s="41" t="s">
        <v>128</v>
      </c>
      <c r="C1204" s="56"/>
      <c r="D1204" s="57"/>
      <c r="E1204" s="44"/>
      <c r="F1204" s="59"/>
      <c r="G1204" s="60"/>
    </row>
    <row r="1205" spans="1:7" x14ac:dyDescent="0.2">
      <c r="A1205" s="40"/>
      <c r="B1205" s="49" t="s">
        <v>100</v>
      </c>
      <c r="C1205" s="56"/>
      <c r="D1205" s="57"/>
      <c r="E1205" s="44"/>
      <c r="F1205" s="59"/>
      <c r="G1205" s="60"/>
    </row>
    <row r="1206" spans="1:7" x14ac:dyDescent="0.2">
      <c r="A1206" s="304" t="s">
        <v>130</v>
      </c>
      <c r="B1206" s="98" t="s">
        <v>41</v>
      </c>
      <c r="C1206" s="56"/>
      <c r="D1206" s="57"/>
      <c r="E1206" s="305"/>
      <c r="F1206" s="59"/>
      <c r="G1206" s="60"/>
    </row>
    <row r="1207" spans="1:7" ht="27.75" customHeight="1" x14ac:dyDescent="0.2">
      <c r="A1207" s="306"/>
      <c r="B1207" s="429" t="s">
        <v>266</v>
      </c>
      <c r="C1207" s="430"/>
      <c r="D1207" s="430"/>
      <c r="E1207" s="430"/>
      <c r="F1207" s="431"/>
      <c r="G1207" s="196"/>
    </row>
    <row r="1208" spans="1:7" ht="29.25" customHeight="1" x14ac:dyDescent="0.2">
      <c r="A1208" s="306"/>
      <c r="B1208" s="432" t="s">
        <v>267</v>
      </c>
      <c r="C1208" s="433"/>
      <c r="D1208" s="433"/>
      <c r="E1208" s="433"/>
      <c r="F1208" s="434"/>
      <c r="G1208" s="196"/>
    </row>
    <row r="1209" spans="1:7" ht="41.25" customHeight="1" x14ac:dyDescent="0.2">
      <c r="A1209" s="306"/>
      <c r="B1209" s="432" t="s">
        <v>265</v>
      </c>
      <c r="C1209" s="433"/>
      <c r="D1209" s="433"/>
      <c r="E1209" s="433"/>
      <c r="F1209" s="434"/>
      <c r="G1209" s="196"/>
    </row>
    <row r="1210" spans="1:7" ht="26.25" customHeight="1" x14ac:dyDescent="0.2">
      <c r="A1210" s="307"/>
      <c r="B1210" s="432" t="s">
        <v>388</v>
      </c>
      <c r="C1210" s="433"/>
      <c r="D1210" s="433"/>
      <c r="E1210" s="433"/>
      <c r="F1210" s="434"/>
      <c r="G1210" s="196"/>
    </row>
    <row r="1211" spans="1:7" ht="15.75" customHeight="1" x14ac:dyDescent="0.2">
      <c r="A1211" s="306"/>
      <c r="B1211" s="438" t="s">
        <v>387</v>
      </c>
      <c r="C1211" s="439"/>
      <c r="D1211" s="439"/>
      <c r="E1211" s="439"/>
      <c r="F1211" s="440"/>
      <c r="G1211" s="196"/>
    </row>
    <row r="1212" spans="1:7" ht="17.25" customHeight="1" x14ac:dyDescent="0.2">
      <c r="A1212" s="306"/>
      <c r="B1212" s="441" t="s">
        <v>384</v>
      </c>
      <c r="C1212" s="442"/>
      <c r="D1212" s="442"/>
      <c r="E1212" s="442"/>
      <c r="F1212" s="443"/>
      <c r="G1212" s="196"/>
    </row>
    <row r="1213" spans="1:7" ht="12" customHeight="1" x14ac:dyDescent="0.2">
      <c r="A1213" s="306"/>
      <c r="B1213" s="308"/>
      <c r="C1213" s="195"/>
      <c r="D1213" s="195"/>
      <c r="E1213" s="195"/>
      <c r="F1213" s="195"/>
      <c r="G1213" s="196"/>
    </row>
    <row r="1214" spans="1:7" x14ac:dyDescent="0.2">
      <c r="A1214" s="309" t="s">
        <v>151</v>
      </c>
      <c r="B1214" s="310" t="s">
        <v>67</v>
      </c>
      <c r="C1214" s="311"/>
      <c r="D1214" s="312"/>
      <c r="E1214" s="313"/>
      <c r="F1214" s="314"/>
      <c r="G1214" s="315"/>
    </row>
    <row r="1215" spans="1:7" x14ac:dyDescent="0.2">
      <c r="A1215" s="364" t="s">
        <v>164</v>
      </c>
      <c r="B1215" s="365" t="s">
        <v>211</v>
      </c>
      <c r="C1215" s="354"/>
      <c r="D1215" s="355"/>
      <c r="E1215" s="208"/>
      <c r="F1215" s="181"/>
      <c r="G1215" s="217">
        <f>D1215*E1215</f>
        <v>0</v>
      </c>
    </row>
    <row r="1216" spans="1:7" ht="25.5" customHeight="1" x14ac:dyDescent="0.2">
      <c r="A1216" s="366" t="s">
        <v>185</v>
      </c>
      <c r="B1216" s="367" t="s">
        <v>547</v>
      </c>
      <c r="C1216" s="368" t="s">
        <v>8</v>
      </c>
      <c r="D1216" s="369">
        <v>1</v>
      </c>
      <c r="E1216" s="316"/>
      <c r="F1216" s="316"/>
      <c r="G1216" s="317">
        <f>+D1216*E1216+D1216*F1216</f>
        <v>0</v>
      </c>
    </row>
    <row r="1217" spans="1:7" ht="36.75" customHeight="1" x14ac:dyDescent="0.2">
      <c r="A1217" s="366" t="s">
        <v>186</v>
      </c>
      <c r="B1217" s="370" t="s">
        <v>416</v>
      </c>
      <c r="C1217" s="368" t="s">
        <v>8</v>
      </c>
      <c r="D1217" s="369">
        <v>2</v>
      </c>
      <c r="E1217" s="208"/>
      <c r="F1217" s="316"/>
      <c r="G1217" s="317">
        <f t="shared" ref="G1217:G1243" si="219">+D1217*E1217+D1217*F1217</f>
        <v>0</v>
      </c>
    </row>
    <row r="1218" spans="1:7" x14ac:dyDescent="0.2">
      <c r="A1218" s="364" t="s">
        <v>165</v>
      </c>
      <c r="B1218" s="365" t="s">
        <v>212</v>
      </c>
      <c r="C1218" s="371"/>
      <c r="D1218" s="372"/>
      <c r="E1218" s="208"/>
      <c r="F1218" s="316"/>
      <c r="G1218" s="318">
        <f t="shared" si="219"/>
        <v>0</v>
      </c>
    </row>
    <row r="1219" spans="1:7" x14ac:dyDescent="0.2">
      <c r="A1219" s="366"/>
      <c r="B1219" s="370" t="s">
        <v>546</v>
      </c>
      <c r="C1219" s="354" t="s">
        <v>8</v>
      </c>
      <c r="D1219" s="355">
        <v>10</v>
      </c>
      <c r="E1219" s="208"/>
      <c r="F1219" s="316"/>
      <c r="G1219" s="318">
        <f t="shared" ref="G1219" si="220">+D1219*E1219+D1219*F1219</f>
        <v>0</v>
      </c>
    </row>
    <row r="1220" spans="1:7" x14ac:dyDescent="0.2">
      <c r="A1220" s="366"/>
      <c r="B1220" s="370" t="s">
        <v>315</v>
      </c>
      <c r="C1220" s="354" t="s">
        <v>8</v>
      </c>
      <c r="D1220" s="355">
        <v>8</v>
      </c>
      <c r="E1220" s="208"/>
      <c r="F1220" s="316"/>
      <c r="G1220" s="318">
        <f t="shared" ref="G1220" si="221">+D1220*E1220+D1220*F1220</f>
        <v>0</v>
      </c>
    </row>
    <row r="1221" spans="1:7" x14ac:dyDescent="0.2">
      <c r="A1221" s="366"/>
      <c r="B1221" s="370" t="s">
        <v>270</v>
      </c>
      <c r="C1221" s="354" t="s">
        <v>8</v>
      </c>
      <c r="D1221" s="355">
        <v>6</v>
      </c>
      <c r="E1221" s="208"/>
      <c r="F1221" s="316"/>
      <c r="G1221" s="318">
        <f t="shared" ref="G1221" si="222">+D1221*E1221+D1221*F1221</f>
        <v>0</v>
      </c>
    </row>
    <row r="1222" spans="1:7" x14ac:dyDescent="0.2">
      <c r="A1222" s="366"/>
      <c r="B1222" s="370" t="s">
        <v>256</v>
      </c>
      <c r="C1222" s="354" t="s">
        <v>8</v>
      </c>
      <c r="D1222" s="355">
        <v>0</v>
      </c>
      <c r="E1222" s="208"/>
      <c r="F1222" s="316"/>
      <c r="G1222" s="318">
        <f t="shared" si="219"/>
        <v>0</v>
      </c>
    </row>
    <row r="1223" spans="1:7" x14ac:dyDescent="0.2">
      <c r="A1223" s="366"/>
      <c r="B1223" s="370" t="s">
        <v>373</v>
      </c>
      <c r="C1223" s="354" t="s">
        <v>8</v>
      </c>
      <c r="D1223" s="355">
        <v>0</v>
      </c>
      <c r="E1223" s="208"/>
      <c r="F1223" s="316"/>
      <c r="G1223" s="318">
        <f t="shared" si="219"/>
        <v>0</v>
      </c>
    </row>
    <row r="1224" spans="1:7" x14ac:dyDescent="0.2">
      <c r="A1224" s="366"/>
      <c r="B1224" s="370" t="s">
        <v>548</v>
      </c>
      <c r="C1224" s="368" t="s">
        <v>8</v>
      </c>
      <c r="D1224" s="369"/>
      <c r="E1224" s="208"/>
      <c r="F1224" s="316"/>
      <c r="G1224" s="318">
        <f t="shared" ref="G1224:G1227" si="223">+D1224*E1224+D1224*F1224</f>
        <v>0</v>
      </c>
    </row>
    <row r="1225" spans="1:7" x14ac:dyDescent="0.2">
      <c r="A1225" s="366"/>
      <c r="B1225" s="370" t="s">
        <v>549</v>
      </c>
      <c r="C1225" s="368" t="s">
        <v>8</v>
      </c>
      <c r="D1225" s="369">
        <v>20</v>
      </c>
      <c r="E1225" s="208"/>
      <c r="F1225" s="316"/>
      <c r="G1225" s="318">
        <f t="shared" ref="G1225" si="224">+D1225*E1225+D1225*F1225</f>
        <v>0</v>
      </c>
    </row>
    <row r="1226" spans="1:7" x14ac:dyDescent="0.2">
      <c r="A1226" s="366"/>
      <c r="B1226" s="370" t="s">
        <v>318</v>
      </c>
      <c r="C1226" s="368" t="s">
        <v>8</v>
      </c>
      <c r="D1226" s="369">
        <v>2</v>
      </c>
      <c r="E1226" s="208"/>
      <c r="F1226" s="316"/>
      <c r="G1226" s="318">
        <f t="shared" si="223"/>
        <v>0</v>
      </c>
    </row>
    <row r="1227" spans="1:7" x14ac:dyDescent="0.2">
      <c r="A1227" s="366"/>
      <c r="B1227" s="370" t="s">
        <v>374</v>
      </c>
      <c r="C1227" s="354" t="s">
        <v>8</v>
      </c>
      <c r="D1227" s="355">
        <v>3</v>
      </c>
      <c r="E1227" s="208"/>
      <c r="F1227" s="316"/>
      <c r="G1227" s="318">
        <f t="shared" si="223"/>
        <v>0</v>
      </c>
    </row>
    <row r="1228" spans="1:7" x14ac:dyDescent="0.2">
      <c r="A1228" s="366"/>
      <c r="B1228" s="370" t="s">
        <v>319</v>
      </c>
      <c r="C1228" s="354" t="s">
        <v>8</v>
      </c>
      <c r="D1228" s="355">
        <v>2</v>
      </c>
      <c r="E1228" s="208"/>
      <c r="F1228" s="316"/>
      <c r="G1228" s="318">
        <f t="shared" ref="G1228:G1230" si="225">+D1228*E1228+D1228*F1228</f>
        <v>0</v>
      </c>
    </row>
    <row r="1229" spans="1:7" x14ac:dyDescent="0.2">
      <c r="A1229" s="366"/>
      <c r="B1229" s="370" t="s">
        <v>320</v>
      </c>
      <c r="C1229" s="354" t="s">
        <v>8</v>
      </c>
      <c r="D1229" s="355">
        <v>8</v>
      </c>
      <c r="E1229" s="208"/>
      <c r="F1229" s="316"/>
      <c r="G1229" s="318">
        <f t="shared" si="225"/>
        <v>0</v>
      </c>
    </row>
    <row r="1230" spans="1:7" x14ac:dyDescent="0.2">
      <c r="A1230" s="366"/>
      <c r="B1230" s="370" t="s">
        <v>321</v>
      </c>
      <c r="C1230" s="354" t="s">
        <v>8</v>
      </c>
      <c r="D1230" s="355">
        <v>8</v>
      </c>
      <c r="E1230" s="208"/>
      <c r="F1230" s="316"/>
      <c r="G1230" s="318">
        <f t="shared" si="225"/>
        <v>0</v>
      </c>
    </row>
    <row r="1231" spans="1:7" x14ac:dyDescent="0.2">
      <c r="A1231" s="366"/>
      <c r="B1231" s="370" t="s">
        <v>322</v>
      </c>
      <c r="C1231" s="354" t="s">
        <v>8</v>
      </c>
      <c r="D1231" s="355">
        <f>D1260</f>
        <v>32</v>
      </c>
      <c r="E1231" s="208"/>
      <c r="F1231" s="316"/>
      <c r="G1231" s="318">
        <f t="shared" si="219"/>
        <v>0</v>
      </c>
    </row>
    <row r="1232" spans="1:7" x14ac:dyDescent="0.2">
      <c r="A1232" s="366"/>
      <c r="B1232" s="370" t="s">
        <v>323</v>
      </c>
      <c r="C1232" s="354" t="s">
        <v>8</v>
      </c>
      <c r="D1232" s="355">
        <v>4</v>
      </c>
      <c r="E1232" s="208"/>
      <c r="F1232" s="316"/>
      <c r="G1232" s="318">
        <f t="shared" ref="G1232" si="226">+D1232*E1232+D1232*F1232</f>
        <v>0</v>
      </c>
    </row>
    <row r="1233" spans="1:7" x14ac:dyDescent="0.2">
      <c r="A1233" s="366"/>
      <c r="B1233" s="370" t="s">
        <v>550</v>
      </c>
      <c r="C1233" s="354" t="s">
        <v>8</v>
      </c>
      <c r="D1233" s="355">
        <v>2</v>
      </c>
      <c r="E1233" s="208"/>
      <c r="F1233" s="316"/>
      <c r="G1233" s="318">
        <f t="shared" si="219"/>
        <v>0</v>
      </c>
    </row>
    <row r="1234" spans="1:7" x14ac:dyDescent="0.2">
      <c r="A1234" s="366"/>
      <c r="B1234" s="370" t="s">
        <v>324</v>
      </c>
      <c r="C1234" s="354" t="s">
        <v>8</v>
      </c>
      <c r="D1234" s="355">
        <v>1</v>
      </c>
      <c r="E1234" s="208"/>
      <c r="F1234" s="316"/>
      <c r="G1234" s="318">
        <f t="shared" ref="G1234:G1237" si="227">+D1234*E1234+D1234*F1234</f>
        <v>0</v>
      </c>
    </row>
    <row r="1235" spans="1:7" x14ac:dyDescent="0.2">
      <c r="A1235" s="366"/>
      <c r="B1235" s="370" t="s">
        <v>551</v>
      </c>
      <c r="C1235" s="354" t="s">
        <v>8</v>
      </c>
      <c r="D1235" s="355">
        <v>4</v>
      </c>
      <c r="E1235" s="208"/>
      <c r="F1235" s="316"/>
      <c r="G1235" s="318">
        <f t="shared" si="227"/>
        <v>0</v>
      </c>
    </row>
    <row r="1236" spans="1:7" x14ac:dyDescent="0.2">
      <c r="A1236" s="366"/>
      <c r="B1236" s="370" t="s">
        <v>326</v>
      </c>
      <c r="C1236" s="354" t="s">
        <v>8</v>
      </c>
      <c r="D1236" s="355">
        <v>0</v>
      </c>
      <c r="E1236" s="208"/>
      <c r="F1236" s="316"/>
      <c r="G1236" s="318">
        <f t="shared" si="227"/>
        <v>0</v>
      </c>
    </row>
    <row r="1237" spans="1:7" x14ac:dyDescent="0.2">
      <c r="A1237" s="366"/>
      <c r="B1237" s="370" t="s">
        <v>353</v>
      </c>
      <c r="C1237" s="354" t="s">
        <v>8</v>
      </c>
      <c r="D1237" s="355">
        <v>0</v>
      </c>
      <c r="E1237" s="208"/>
      <c r="F1237" s="316"/>
      <c r="G1237" s="318">
        <f t="shared" si="227"/>
        <v>0</v>
      </c>
    </row>
    <row r="1238" spans="1:7" x14ac:dyDescent="0.2">
      <c r="A1238" s="364" t="s">
        <v>176</v>
      </c>
      <c r="B1238" s="365" t="s">
        <v>213</v>
      </c>
      <c r="C1238" s="371"/>
      <c r="D1238" s="372"/>
      <c r="E1238" s="208"/>
      <c r="F1238" s="316"/>
      <c r="G1238" s="318">
        <f t="shared" si="219"/>
        <v>0</v>
      </c>
    </row>
    <row r="1239" spans="1:7" ht="13.5" x14ac:dyDescent="0.2">
      <c r="A1239" s="40" t="s">
        <v>164</v>
      </c>
      <c r="B1239" s="251" t="s">
        <v>408</v>
      </c>
      <c r="C1239" s="281" t="s">
        <v>216</v>
      </c>
      <c r="D1239" s="57">
        <f>D1219+D1222+D1221+D1220+D1223</f>
        <v>24</v>
      </c>
      <c r="E1239" s="44"/>
      <c r="F1239" s="316"/>
      <c r="G1239" s="318">
        <f t="shared" si="219"/>
        <v>0</v>
      </c>
    </row>
    <row r="1240" spans="1:7" ht="13.5" x14ac:dyDescent="0.2">
      <c r="A1240" s="40" t="s">
        <v>165</v>
      </c>
      <c r="B1240" s="251" t="s">
        <v>409</v>
      </c>
      <c r="C1240" s="281" t="s">
        <v>216</v>
      </c>
      <c r="D1240" s="57">
        <f>D1224+D1225+D1226</f>
        <v>22</v>
      </c>
      <c r="E1240" s="44"/>
      <c r="F1240" s="316"/>
      <c r="G1240" s="318">
        <f t="shared" si="219"/>
        <v>0</v>
      </c>
    </row>
    <row r="1241" spans="1:7" ht="13.5" x14ac:dyDescent="0.2">
      <c r="A1241" s="40" t="s">
        <v>176</v>
      </c>
      <c r="B1241" s="251" t="s">
        <v>410</v>
      </c>
      <c r="C1241" s="281" t="s">
        <v>114</v>
      </c>
      <c r="D1241" s="57">
        <v>2</v>
      </c>
      <c r="E1241" s="44"/>
      <c r="F1241" s="316"/>
      <c r="G1241" s="318">
        <f t="shared" si="219"/>
        <v>0</v>
      </c>
    </row>
    <row r="1242" spans="1:7" x14ac:dyDescent="0.2">
      <c r="A1242" s="40" t="s">
        <v>177</v>
      </c>
      <c r="B1242" s="251" t="s">
        <v>214</v>
      </c>
      <c r="C1242" s="281" t="s">
        <v>114</v>
      </c>
      <c r="D1242" s="57">
        <f>D1234</f>
        <v>1</v>
      </c>
      <c r="E1242" s="44"/>
      <c r="F1242" s="316"/>
      <c r="G1242" s="318">
        <f t="shared" si="219"/>
        <v>0</v>
      </c>
    </row>
    <row r="1243" spans="1:7" x14ac:dyDescent="0.2">
      <c r="A1243" s="40" t="s">
        <v>178</v>
      </c>
      <c r="B1243" s="251" t="s">
        <v>215</v>
      </c>
      <c r="C1243" s="281" t="s">
        <v>114</v>
      </c>
      <c r="D1243" s="57">
        <f>D1232</f>
        <v>4</v>
      </c>
      <c r="E1243" s="44"/>
      <c r="F1243" s="316"/>
      <c r="G1243" s="318">
        <f t="shared" si="219"/>
        <v>0</v>
      </c>
    </row>
    <row r="1244" spans="1:7" x14ac:dyDescent="0.2">
      <c r="A1244" s="40" t="s">
        <v>179</v>
      </c>
      <c r="B1244" s="251" t="s">
        <v>271</v>
      </c>
      <c r="C1244" s="281" t="s">
        <v>114</v>
      </c>
      <c r="D1244" s="57">
        <f>D1233</f>
        <v>2</v>
      </c>
      <c r="E1244" s="44"/>
      <c r="F1244" s="316"/>
      <c r="G1244" s="318">
        <f t="shared" ref="G1244" si="228">+D1244*E1244+D1244*F1244</f>
        <v>0</v>
      </c>
    </row>
    <row r="1245" spans="1:7" x14ac:dyDescent="0.2">
      <c r="A1245" s="40" t="s">
        <v>180</v>
      </c>
      <c r="B1245" s="251" t="s">
        <v>328</v>
      </c>
      <c r="C1245" s="281" t="s">
        <v>114</v>
      </c>
      <c r="D1245" s="57">
        <f t="shared" ref="D1245" si="229">D1234</f>
        <v>1</v>
      </c>
      <c r="E1245" s="44"/>
      <c r="F1245" s="316"/>
      <c r="G1245" s="318">
        <f t="shared" ref="G1245:G1246" si="230">+D1245*E1245+D1245*F1245</f>
        <v>0</v>
      </c>
    </row>
    <row r="1246" spans="1:7" x14ac:dyDescent="0.2">
      <c r="A1246" s="40" t="s">
        <v>181</v>
      </c>
      <c r="B1246" s="251" t="s">
        <v>329</v>
      </c>
      <c r="C1246" s="281" t="s">
        <v>114</v>
      </c>
      <c r="D1246" s="57">
        <f>D1235</f>
        <v>4</v>
      </c>
      <c r="E1246" s="44"/>
      <c r="F1246" s="316"/>
      <c r="G1246" s="318">
        <f t="shared" si="230"/>
        <v>0</v>
      </c>
    </row>
    <row r="1247" spans="1:7" x14ac:dyDescent="0.2">
      <c r="A1247" s="40"/>
      <c r="B1247" s="251"/>
      <c r="C1247" s="281"/>
      <c r="D1247" s="57"/>
      <c r="E1247" s="44"/>
      <c r="F1247" s="316"/>
      <c r="G1247" s="318"/>
    </row>
    <row r="1248" spans="1:7" x14ac:dyDescent="0.2">
      <c r="A1248" s="40"/>
      <c r="B1248" s="251"/>
      <c r="C1248" s="281"/>
      <c r="D1248" s="57"/>
      <c r="E1248" s="44"/>
      <c r="F1248" s="316"/>
      <c r="G1248" s="318"/>
    </row>
    <row r="1249" spans="1:7" x14ac:dyDescent="0.2">
      <c r="A1249" s="40"/>
      <c r="B1249" s="251"/>
      <c r="C1249" s="281"/>
      <c r="D1249" s="57"/>
      <c r="E1249" s="44"/>
      <c r="F1249" s="316"/>
      <c r="G1249" s="318"/>
    </row>
    <row r="1250" spans="1:7" x14ac:dyDescent="0.2">
      <c r="A1250" s="40"/>
      <c r="B1250" s="251"/>
      <c r="C1250" s="281"/>
      <c r="D1250" s="57"/>
      <c r="E1250" s="44"/>
      <c r="F1250" s="316"/>
      <c r="G1250" s="318"/>
    </row>
    <row r="1251" spans="1:7" ht="12.75" thickBot="1" x14ac:dyDescent="0.25">
      <c r="A1251" s="73"/>
      <c r="B1251" s="397"/>
      <c r="C1251" s="402"/>
      <c r="D1251" s="76"/>
      <c r="E1251" s="77"/>
      <c r="F1251" s="319"/>
      <c r="G1251" s="320"/>
    </row>
    <row r="1252" spans="1:7" x14ac:dyDescent="0.2">
      <c r="A1252" s="40"/>
      <c r="B1252" s="251"/>
      <c r="C1252" s="281"/>
      <c r="D1252" s="57"/>
      <c r="E1252" s="44"/>
      <c r="F1252" s="316"/>
      <c r="G1252" s="318"/>
    </row>
    <row r="1253" spans="1:7" x14ac:dyDescent="0.2">
      <c r="A1253" s="309" t="s">
        <v>152</v>
      </c>
      <c r="B1253" s="310" t="s">
        <v>69</v>
      </c>
      <c r="C1253" s="311"/>
      <c r="D1253" s="312"/>
      <c r="E1253" s="313"/>
      <c r="F1253" s="314"/>
      <c r="G1253" s="315"/>
    </row>
    <row r="1254" spans="1:7" x14ac:dyDescent="0.2">
      <c r="A1254" s="364" t="s">
        <v>164</v>
      </c>
      <c r="B1254" s="365" t="s">
        <v>211</v>
      </c>
      <c r="C1254" s="354"/>
      <c r="D1254" s="355"/>
      <c r="E1254" s="208"/>
      <c r="F1254" s="181"/>
      <c r="G1254" s="217">
        <f>D1254*E1254</f>
        <v>0</v>
      </c>
    </row>
    <row r="1255" spans="1:7" ht="37.5" customHeight="1" x14ac:dyDescent="0.2">
      <c r="A1255" s="366" t="s">
        <v>185</v>
      </c>
      <c r="B1255" s="373" t="s">
        <v>417</v>
      </c>
      <c r="C1255" s="368" t="s">
        <v>8</v>
      </c>
      <c r="D1255" s="369">
        <v>2</v>
      </c>
      <c r="E1255" s="208"/>
      <c r="F1255" s="316"/>
      <c r="G1255" s="317">
        <f t="shared" ref="G1255:G1273" si="231">+D1255*E1255+D1255*F1255</f>
        <v>0</v>
      </c>
    </row>
    <row r="1256" spans="1:7" x14ac:dyDescent="0.2">
      <c r="A1256" s="364" t="s">
        <v>165</v>
      </c>
      <c r="B1256" s="365" t="s">
        <v>212</v>
      </c>
      <c r="C1256" s="371"/>
      <c r="D1256" s="372"/>
      <c r="E1256" s="208"/>
      <c r="F1256" s="316"/>
      <c r="G1256" s="318">
        <f t="shared" si="231"/>
        <v>0</v>
      </c>
    </row>
    <row r="1257" spans="1:7" x14ac:dyDescent="0.2">
      <c r="A1257" s="366"/>
      <c r="B1257" s="370" t="s">
        <v>314</v>
      </c>
      <c r="C1257" s="354" t="s">
        <v>8</v>
      </c>
      <c r="D1257" s="355">
        <v>38</v>
      </c>
      <c r="E1257" s="208"/>
      <c r="F1257" s="316"/>
      <c r="G1257" s="318">
        <f t="shared" si="231"/>
        <v>0</v>
      </c>
    </row>
    <row r="1258" spans="1:7" x14ac:dyDescent="0.2">
      <c r="A1258" s="366"/>
      <c r="B1258" s="370" t="s">
        <v>315</v>
      </c>
      <c r="C1258" s="354" t="s">
        <v>8</v>
      </c>
      <c r="D1258" s="355">
        <v>8</v>
      </c>
      <c r="E1258" s="208"/>
      <c r="F1258" s="316"/>
      <c r="G1258" s="318">
        <f t="shared" si="231"/>
        <v>0</v>
      </c>
    </row>
    <row r="1259" spans="1:7" x14ac:dyDescent="0.2">
      <c r="A1259" s="366"/>
      <c r="B1259" s="370" t="s">
        <v>270</v>
      </c>
      <c r="C1259" s="354" t="s">
        <v>8</v>
      </c>
      <c r="D1259" s="355">
        <v>4</v>
      </c>
      <c r="E1259" s="208"/>
      <c r="F1259" s="316"/>
      <c r="G1259" s="318">
        <f t="shared" si="231"/>
        <v>0</v>
      </c>
    </row>
    <row r="1260" spans="1:7" x14ac:dyDescent="0.2">
      <c r="A1260" s="366"/>
      <c r="B1260" s="370" t="s">
        <v>590</v>
      </c>
      <c r="C1260" s="354" t="s">
        <v>8</v>
      </c>
      <c r="D1260" s="355">
        <v>32</v>
      </c>
      <c r="E1260" s="208"/>
      <c r="F1260" s="316"/>
      <c r="G1260" s="318">
        <f t="shared" si="231"/>
        <v>0</v>
      </c>
    </row>
    <row r="1261" spans="1:7" x14ac:dyDescent="0.2">
      <c r="A1261" s="366"/>
      <c r="B1261" s="370" t="s">
        <v>373</v>
      </c>
      <c r="C1261" s="354" t="s">
        <v>8</v>
      </c>
      <c r="D1261" s="355">
        <v>2</v>
      </c>
      <c r="E1261" s="208"/>
      <c r="F1261" s="316"/>
      <c r="G1261" s="318">
        <f t="shared" si="231"/>
        <v>0</v>
      </c>
    </row>
    <row r="1262" spans="1:7" x14ac:dyDescent="0.2">
      <c r="A1262" s="366"/>
      <c r="B1262" s="370" t="s">
        <v>316</v>
      </c>
      <c r="C1262" s="368" t="s">
        <v>8</v>
      </c>
      <c r="D1262" s="369">
        <v>0</v>
      </c>
      <c r="E1262" s="208"/>
      <c r="F1262" s="316"/>
      <c r="G1262" s="318">
        <f t="shared" si="231"/>
        <v>0</v>
      </c>
    </row>
    <row r="1263" spans="1:7" x14ac:dyDescent="0.2">
      <c r="A1263" s="366"/>
      <c r="B1263" s="370" t="s">
        <v>317</v>
      </c>
      <c r="C1263" s="368" t="s">
        <v>8</v>
      </c>
      <c r="D1263" s="369">
        <v>12</v>
      </c>
      <c r="E1263" s="208"/>
      <c r="F1263" s="316"/>
      <c r="G1263" s="318">
        <f t="shared" si="231"/>
        <v>0</v>
      </c>
    </row>
    <row r="1264" spans="1:7" x14ac:dyDescent="0.2">
      <c r="A1264" s="366"/>
      <c r="B1264" s="370" t="s">
        <v>318</v>
      </c>
      <c r="C1264" s="368" t="s">
        <v>8</v>
      </c>
      <c r="D1264" s="369">
        <v>0</v>
      </c>
      <c r="E1264" s="208"/>
      <c r="F1264" s="316"/>
      <c r="G1264" s="318">
        <f t="shared" si="231"/>
        <v>0</v>
      </c>
    </row>
    <row r="1265" spans="1:7" x14ac:dyDescent="0.2">
      <c r="A1265" s="366"/>
      <c r="B1265" s="370" t="s">
        <v>374</v>
      </c>
      <c r="C1265" s="354" t="s">
        <v>8</v>
      </c>
      <c r="D1265" s="355">
        <v>4</v>
      </c>
      <c r="E1265" s="208"/>
      <c r="F1265" s="316"/>
      <c r="G1265" s="318">
        <f t="shared" si="231"/>
        <v>0</v>
      </c>
    </row>
    <row r="1266" spans="1:7" x14ac:dyDescent="0.2">
      <c r="A1266" s="366"/>
      <c r="B1266" s="370" t="s">
        <v>319</v>
      </c>
      <c r="C1266" s="354" t="s">
        <v>8</v>
      </c>
      <c r="D1266" s="355">
        <v>1</v>
      </c>
      <c r="E1266" s="208"/>
      <c r="F1266" s="316"/>
      <c r="G1266" s="318">
        <f t="shared" si="231"/>
        <v>0</v>
      </c>
    </row>
    <row r="1267" spans="1:7" x14ac:dyDescent="0.2">
      <c r="A1267" s="366"/>
      <c r="B1267" s="370" t="s">
        <v>320</v>
      </c>
      <c r="C1267" s="354" t="s">
        <v>8</v>
      </c>
      <c r="D1267" s="355">
        <v>2</v>
      </c>
      <c r="E1267" s="208"/>
      <c r="F1267" s="316"/>
      <c r="G1267" s="318">
        <f t="shared" si="231"/>
        <v>0</v>
      </c>
    </row>
    <row r="1268" spans="1:7" x14ac:dyDescent="0.2">
      <c r="A1268" s="366"/>
      <c r="B1268" s="370" t="s">
        <v>321</v>
      </c>
      <c r="C1268" s="354" t="s">
        <v>8</v>
      </c>
      <c r="D1268" s="355"/>
      <c r="E1268" s="208"/>
      <c r="F1268" s="316"/>
      <c r="G1268" s="318">
        <f t="shared" si="231"/>
        <v>0</v>
      </c>
    </row>
    <row r="1269" spans="1:7" x14ac:dyDescent="0.2">
      <c r="A1269" s="366"/>
      <c r="B1269" s="370"/>
      <c r="C1269" s="354"/>
      <c r="D1269" s="355"/>
      <c r="E1269" s="208"/>
      <c r="F1269" s="316"/>
      <c r="G1269" s="318"/>
    </row>
    <row r="1270" spans="1:7" x14ac:dyDescent="0.2">
      <c r="A1270" s="364" t="s">
        <v>176</v>
      </c>
      <c r="B1270" s="365" t="s">
        <v>213</v>
      </c>
      <c r="C1270" s="371"/>
      <c r="D1270" s="372"/>
      <c r="E1270" s="208"/>
      <c r="F1270" s="316"/>
      <c r="G1270" s="318">
        <f t="shared" si="231"/>
        <v>0</v>
      </c>
    </row>
    <row r="1271" spans="1:7" ht="13.5" x14ac:dyDescent="0.2">
      <c r="A1271" s="40" t="s">
        <v>164</v>
      </c>
      <c r="B1271" s="251" t="s">
        <v>408</v>
      </c>
      <c r="C1271" s="281" t="s">
        <v>216</v>
      </c>
      <c r="D1271" s="57">
        <f>D1257+D1260+D1259+D1258</f>
        <v>82</v>
      </c>
      <c r="E1271" s="44"/>
      <c r="F1271" s="316"/>
      <c r="G1271" s="318">
        <f t="shared" si="231"/>
        <v>0</v>
      </c>
    </row>
    <row r="1272" spans="1:7" ht="13.5" x14ac:dyDescent="0.2">
      <c r="A1272" s="40" t="s">
        <v>165</v>
      </c>
      <c r="B1272" s="251" t="s">
        <v>409</v>
      </c>
      <c r="C1272" s="281" t="s">
        <v>216</v>
      </c>
      <c r="D1272" s="57">
        <f>D1262+D1263+D1264</f>
        <v>12</v>
      </c>
      <c r="E1272" s="44"/>
      <c r="F1272" s="316"/>
      <c r="G1272" s="318">
        <f t="shared" si="231"/>
        <v>0</v>
      </c>
    </row>
    <row r="1273" spans="1:7" ht="13.5" x14ac:dyDescent="0.2">
      <c r="A1273" s="40" t="s">
        <v>176</v>
      </c>
      <c r="B1273" s="251" t="s">
        <v>410</v>
      </c>
      <c r="C1273" s="281" t="s">
        <v>114</v>
      </c>
      <c r="D1273" s="57">
        <f>D1255</f>
        <v>2</v>
      </c>
      <c r="E1273" s="44"/>
      <c r="F1273" s="316"/>
      <c r="G1273" s="318">
        <f t="shared" si="231"/>
        <v>0</v>
      </c>
    </row>
    <row r="1274" spans="1:7" x14ac:dyDescent="0.2">
      <c r="A1274" s="309" t="s">
        <v>57</v>
      </c>
      <c r="B1274" s="310" t="s">
        <v>71</v>
      </c>
      <c r="C1274" s="311"/>
      <c r="D1274" s="312"/>
      <c r="E1274" s="313"/>
      <c r="F1274" s="314"/>
      <c r="G1274" s="315"/>
    </row>
    <row r="1275" spans="1:7" x14ac:dyDescent="0.2">
      <c r="A1275" s="364" t="s">
        <v>164</v>
      </c>
      <c r="B1275" s="365" t="s">
        <v>211</v>
      </c>
      <c r="C1275" s="354"/>
      <c r="D1275" s="355"/>
      <c r="E1275" s="208"/>
      <c r="F1275" s="181"/>
      <c r="G1275" s="217">
        <f>D1275*E1275</f>
        <v>0</v>
      </c>
    </row>
    <row r="1276" spans="1:7" ht="36.75" customHeight="1" x14ac:dyDescent="0.2">
      <c r="A1276" s="366" t="s">
        <v>185</v>
      </c>
      <c r="B1276" s="373" t="s">
        <v>417</v>
      </c>
      <c r="C1276" s="368" t="s">
        <v>8</v>
      </c>
      <c r="D1276" s="369">
        <v>2</v>
      </c>
      <c r="E1276" s="208"/>
      <c r="F1276" s="316"/>
      <c r="G1276" s="317">
        <f t="shared" ref="G1276:G1305" si="232">+D1276*E1276+D1276*F1276</f>
        <v>0</v>
      </c>
    </row>
    <row r="1277" spans="1:7" x14ac:dyDescent="0.2">
      <c r="A1277" s="364" t="s">
        <v>165</v>
      </c>
      <c r="B1277" s="365" t="s">
        <v>212</v>
      </c>
      <c r="C1277" s="371"/>
      <c r="D1277" s="372"/>
      <c r="E1277" s="208"/>
      <c r="F1277" s="316"/>
      <c r="G1277" s="318">
        <f t="shared" si="232"/>
        <v>0</v>
      </c>
    </row>
    <row r="1278" spans="1:7" x14ac:dyDescent="0.2">
      <c r="A1278" s="366"/>
      <c r="B1278" s="370" t="s">
        <v>314</v>
      </c>
      <c r="C1278" s="354" t="s">
        <v>8</v>
      </c>
      <c r="D1278" s="355">
        <v>32</v>
      </c>
      <c r="E1278" s="208"/>
      <c r="F1278" s="316"/>
      <c r="G1278" s="318">
        <f t="shared" si="232"/>
        <v>0</v>
      </c>
    </row>
    <row r="1279" spans="1:7" x14ac:dyDescent="0.2">
      <c r="A1279" s="366"/>
      <c r="B1279" s="370" t="s">
        <v>315</v>
      </c>
      <c r="C1279" s="354" t="s">
        <v>8</v>
      </c>
      <c r="D1279" s="355">
        <v>11</v>
      </c>
      <c r="E1279" s="208"/>
      <c r="F1279" s="316"/>
      <c r="G1279" s="318">
        <f t="shared" si="232"/>
        <v>0</v>
      </c>
    </row>
    <row r="1280" spans="1:7" x14ac:dyDescent="0.2">
      <c r="A1280" s="366"/>
      <c r="B1280" s="370" t="s">
        <v>270</v>
      </c>
      <c r="C1280" s="354" t="s">
        <v>8</v>
      </c>
      <c r="D1280" s="355">
        <v>4</v>
      </c>
      <c r="E1280" s="208"/>
      <c r="F1280" s="316"/>
      <c r="G1280" s="318">
        <f t="shared" si="232"/>
        <v>0</v>
      </c>
    </row>
    <row r="1281" spans="1:7" x14ac:dyDescent="0.2">
      <c r="A1281" s="366"/>
      <c r="B1281" s="370" t="s">
        <v>256</v>
      </c>
      <c r="C1281" s="354" t="s">
        <v>8</v>
      </c>
      <c r="D1281" s="355">
        <v>16</v>
      </c>
      <c r="E1281" s="208"/>
      <c r="F1281" s="316"/>
      <c r="G1281" s="318">
        <f t="shared" si="232"/>
        <v>0</v>
      </c>
    </row>
    <row r="1282" spans="1:7" x14ac:dyDescent="0.2">
      <c r="A1282" s="366"/>
      <c r="B1282" s="370" t="s">
        <v>373</v>
      </c>
      <c r="C1282" s="354" t="s">
        <v>8</v>
      </c>
      <c r="D1282" s="355">
        <v>2</v>
      </c>
      <c r="E1282" s="208"/>
      <c r="F1282" s="316"/>
      <c r="G1282" s="318">
        <f t="shared" si="232"/>
        <v>0</v>
      </c>
    </row>
    <row r="1283" spans="1:7" x14ac:dyDescent="0.2">
      <c r="A1283" s="366"/>
      <c r="B1283" s="370" t="s">
        <v>316</v>
      </c>
      <c r="C1283" s="368" t="s">
        <v>8</v>
      </c>
      <c r="D1283" s="369">
        <v>5</v>
      </c>
      <c r="E1283" s="208"/>
      <c r="F1283" s="316"/>
      <c r="G1283" s="318">
        <f t="shared" si="232"/>
        <v>0</v>
      </c>
    </row>
    <row r="1284" spans="1:7" x14ac:dyDescent="0.2">
      <c r="A1284" s="366"/>
      <c r="B1284" s="370" t="s">
        <v>317</v>
      </c>
      <c r="C1284" s="368" t="s">
        <v>8</v>
      </c>
      <c r="D1284" s="369">
        <v>20</v>
      </c>
      <c r="E1284" s="208"/>
      <c r="F1284" s="316"/>
      <c r="G1284" s="318">
        <f t="shared" si="232"/>
        <v>0</v>
      </c>
    </row>
    <row r="1285" spans="1:7" x14ac:dyDescent="0.2">
      <c r="A1285" s="366"/>
      <c r="B1285" s="370" t="s">
        <v>318</v>
      </c>
      <c r="C1285" s="368" t="s">
        <v>8</v>
      </c>
      <c r="D1285" s="369">
        <v>12</v>
      </c>
      <c r="E1285" s="208"/>
      <c r="F1285" s="316"/>
      <c r="G1285" s="318">
        <f t="shared" si="232"/>
        <v>0</v>
      </c>
    </row>
    <row r="1286" spans="1:7" x14ac:dyDescent="0.2">
      <c r="A1286" s="366"/>
      <c r="B1286" s="370" t="s">
        <v>374</v>
      </c>
      <c r="C1286" s="354" t="s">
        <v>8</v>
      </c>
      <c r="D1286" s="355">
        <v>4</v>
      </c>
      <c r="E1286" s="208"/>
      <c r="F1286" s="316"/>
      <c r="G1286" s="318">
        <f t="shared" si="232"/>
        <v>0</v>
      </c>
    </row>
    <row r="1287" spans="1:7" x14ac:dyDescent="0.2">
      <c r="A1287" s="366"/>
      <c r="B1287" s="370" t="s">
        <v>319</v>
      </c>
      <c r="C1287" s="354" t="s">
        <v>8</v>
      </c>
      <c r="D1287" s="355">
        <v>1</v>
      </c>
      <c r="E1287" s="208"/>
      <c r="F1287" s="316"/>
      <c r="G1287" s="318">
        <f t="shared" si="232"/>
        <v>0</v>
      </c>
    </row>
    <row r="1288" spans="1:7" x14ac:dyDescent="0.2">
      <c r="A1288" s="366"/>
      <c r="B1288" s="370" t="s">
        <v>320</v>
      </c>
      <c r="C1288" s="354" t="s">
        <v>8</v>
      </c>
      <c r="D1288" s="355">
        <v>3</v>
      </c>
      <c r="E1288" s="208"/>
      <c r="F1288" s="316"/>
      <c r="G1288" s="318">
        <f t="shared" si="232"/>
        <v>0</v>
      </c>
    </row>
    <row r="1289" spans="1:7" x14ac:dyDescent="0.2">
      <c r="A1289" s="366"/>
      <c r="B1289" s="370" t="s">
        <v>321</v>
      </c>
      <c r="C1289" s="354" t="s">
        <v>8</v>
      </c>
      <c r="D1289" s="355">
        <v>8</v>
      </c>
      <c r="E1289" s="208"/>
      <c r="F1289" s="316"/>
      <c r="G1289" s="318">
        <f t="shared" si="232"/>
        <v>0</v>
      </c>
    </row>
    <row r="1290" spans="1:7" x14ac:dyDescent="0.2">
      <c r="A1290" s="366"/>
      <c r="B1290" s="370" t="s">
        <v>322</v>
      </c>
      <c r="C1290" s="354" t="s">
        <v>8</v>
      </c>
      <c r="D1290" s="355">
        <f>D1281</f>
        <v>16</v>
      </c>
      <c r="E1290" s="208"/>
      <c r="F1290" s="316"/>
      <c r="G1290" s="318">
        <f t="shared" si="232"/>
        <v>0</v>
      </c>
    </row>
    <row r="1291" spans="1:7" x14ac:dyDescent="0.2">
      <c r="A1291" s="366"/>
      <c r="B1291" s="370" t="s">
        <v>323</v>
      </c>
      <c r="C1291" s="354" t="s">
        <v>8</v>
      </c>
      <c r="D1291" s="355">
        <v>4</v>
      </c>
      <c r="E1291" s="208"/>
      <c r="F1291" s="316"/>
      <c r="G1291" s="318">
        <f t="shared" si="232"/>
        <v>0</v>
      </c>
    </row>
    <row r="1292" spans="1:7" x14ac:dyDescent="0.2">
      <c r="A1292" s="366"/>
      <c r="B1292" s="370" t="s">
        <v>552</v>
      </c>
      <c r="C1292" s="354" t="s">
        <v>8</v>
      </c>
      <c r="D1292" s="355">
        <v>4</v>
      </c>
      <c r="E1292" s="208"/>
      <c r="F1292" s="316"/>
      <c r="G1292" s="318">
        <f t="shared" si="232"/>
        <v>0</v>
      </c>
    </row>
    <row r="1293" spans="1:7" x14ac:dyDescent="0.2">
      <c r="A1293" s="366"/>
      <c r="B1293" s="370" t="s">
        <v>324</v>
      </c>
      <c r="C1293" s="354" t="s">
        <v>8</v>
      </c>
      <c r="D1293" s="355">
        <v>4</v>
      </c>
      <c r="E1293" s="208"/>
      <c r="F1293" s="316"/>
      <c r="G1293" s="318">
        <f t="shared" si="232"/>
        <v>0</v>
      </c>
    </row>
    <row r="1294" spans="1:7" x14ac:dyDescent="0.2">
      <c r="A1294" s="366"/>
      <c r="B1294" s="370" t="s">
        <v>325</v>
      </c>
      <c r="C1294" s="354" t="s">
        <v>8</v>
      </c>
      <c r="D1294" s="355">
        <v>6</v>
      </c>
      <c r="E1294" s="208"/>
      <c r="F1294" s="316"/>
      <c r="G1294" s="318">
        <f t="shared" si="232"/>
        <v>0</v>
      </c>
    </row>
    <row r="1295" spans="1:7" x14ac:dyDescent="0.2">
      <c r="A1295" s="366"/>
      <c r="B1295" s="370" t="s">
        <v>326</v>
      </c>
      <c r="C1295" s="354" t="s">
        <v>8</v>
      </c>
      <c r="D1295" s="355">
        <v>8</v>
      </c>
      <c r="E1295" s="208"/>
      <c r="F1295" s="316"/>
      <c r="G1295" s="318">
        <f t="shared" si="232"/>
        <v>0</v>
      </c>
    </row>
    <row r="1296" spans="1:7" x14ac:dyDescent="0.2">
      <c r="A1296" s="366"/>
      <c r="B1296" s="370" t="s">
        <v>327</v>
      </c>
      <c r="C1296" s="354" t="s">
        <v>8</v>
      </c>
      <c r="D1296" s="355">
        <v>4</v>
      </c>
      <c r="E1296" s="208"/>
      <c r="F1296" s="316"/>
      <c r="G1296" s="318">
        <f t="shared" si="232"/>
        <v>0</v>
      </c>
    </row>
    <row r="1297" spans="1:7" x14ac:dyDescent="0.2">
      <c r="A1297" s="364" t="s">
        <v>176</v>
      </c>
      <c r="B1297" s="365" t="s">
        <v>213</v>
      </c>
      <c r="C1297" s="371"/>
      <c r="D1297" s="372"/>
      <c r="E1297" s="208"/>
      <c r="F1297" s="316"/>
      <c r="G1297" s="318">
        <f t="shared" si="232"/>
        <v>0</v>
      </c>
    </row>
    <row r="1298" spans="1:7" ht="13.5" x14ac:dyDescent="0.2">
      <c r="A1298" s="40" t="s">
        <v>164</v>
      </c>
      <c r="B1298" s="251" t="s">
        <v>408</v>
      </c>
      <c r="C1298" s="281" t="s">
        <v>216</v>
      </c>
      <c r="D1298" s="57">
        <f>D1278+D1281+D1280+D1279</f>
        <v>63</v>
      </c>
      <c r="E1298" s="44"/>
      <c r="F1298" s="316"/>
      <c r="G1298" s="318">
        <f t="shared" si="232"/>
        <v>0</v>
      </c>
    </row>
    <row r="1299" spans="1:7" ht="13.5" x14ac:dyDescent="0.2">
      <c r="A1299" s="40" t="s">
        <v>165</v>
      </c>
      <c r="B1299" s="251" t="s">
        <v>409</v>
      </c>
      <c r="C1299" s="281" t="s">
        <v>216</v>
      </c>
      <c r="D1299" s="57">
        <f>D1283+D1284+D1285</f>
        <v>37</v>
      </c>
      <c r="E1299" s="44"/>
      <c r="F1299" s="316"/>
      <c r="G1299" s="318">
        <f t="shared" si="232"/>
        <v>0</v>
      </c>
    </row>
    <row r="1300" spans="1:7" ht="13.5" x14ac:dyDescent="0.2">
      <c r="A1300" s="40" t="s">
        <v>176</v>
      </c>
      <c r="B1300" s="251" t="s">
        <v>410</v>
      </c>
      <c r="C1300" s="281" t="s">
        <v>114</v>
      </c>
      <c r="D1300" s="57">
        <f>D1276</f>
        <v>2</v>
      </c>
      <c r="E1300" s="44"/>
      <c r="F1300" s="316"/>
      <c r="G1300" s="318">
        <f t="shared" si="232"/>
        <v>0</v>
      </c>
    </row>
    <row r="1301" spans="1:7" x14ac:dyDescent="0.2">
      <c r="A1301" s="40" t="s">
        <v>177</v>
      </c>
      <c r="B1301" s="251" t="s">
        <v>214</v>
      </c>
      <c r="C1301" s="281" t="s">
        <v>114</v>
      </c>
      <c r="D1301" s="57">
        <f>D1293</f>
        <v>4</v>
      </c>
      <c r="E1301" s="44"/>
      <c r="F1301" s="316"/>
      <c r="G1301" s="318">
        <f t="shared" si="232"/>
        <v>0</v>
      </c>
    </row>
    <row r="1302" spans="1:7" x14ac:dyDescent="0.2">
      <c r="A1302" s="40" t="s">
        <v>178</v>
      </c>
      <c r="B1302" s="251" t="s">
        <v>215</v>
      </c>
      <c r="C1302" s="281" t="s">
        <v>114</v>
      </c>
      <c r="D1302" s="57">
        <f>D1291</f>
        <v>4</v>
      </c>
      <c r="E1302" s="44"/>
      <c r="F1302" s="316"/>
      <c r="G1302" s="318">
        <f t="shared" si="232"/>
        <v>0</v>
      </c>
    </row>
    <row r="1303" spans="1:7" x14ac:dyDescent="0.2">
      <c r="A1303" s="40" t="s">
        <v>179</v>
      </c>
      <c r="B1303" s="251" t="s">
        <v>271</v>
      </c>
      <c r="C1303" s="281" t="s">
        <v>114</v>
      </c>
      <c r="D1303" s="57">
        <f>D1292</f>
        <v>4</v>
      </c>
      <c r="E1303" s="44"/>
      <c r="F1303" s="316"/>
      <c r="G1303" s="318">
        <f t="shared" si="232"/>
        <v>0</v>
      </c>
    </row>
    <row r="1304" spans="1:7" x14ac:dyDescent="0.2">
      <c r="A1304" s="40" t="s">
        <v>180</v>
      </c>
      <c r="B1304" s="251" t="s">
        <v>328</v>
      </c>
      <c r="C1304" s="281" t="s">
        <v>114</v>
      </c>
      <c r="D1304" s="57">
        <f>D1293</f>
        <v>4</v>
      </c>
      <c r="E1304" s="44"/>
      <c r="F1304" s="316"/>
      <c r="G1304" s="318">
        <f t="shared" si="232"/>
        <v>0</v>
      </c>
    </row>
    <row r="1305" spans="1:7" ht="12.75" thickBot="1" x14ac:dyDescent="0.25">
      <c r="A1305" s="73" t="s">
        <v>181</v>
      </c>
      <c r="B1305" s="397" t="s">
        <v>329</v>
      </c>
      <c r="C1305" s="402" t="s">
        <v>114</v>
      </c>
      <c r="D1305" s="76">
        <f>D1294</f>
        <v>6</v>
      </c>
      <c r="E1305" s="77"/>
      <c r="F1305" s="319"/>
      <c r="G1305" s="320">
        <f t="shared" si="232"/>
        <v>0</v>
      </c>
    </row>
    <row r="1306" spans="1:7" ht="12" customHeight="1" x14ac:dyDescent="0.2">
      <c r="A1306" s="309" t="s">
        <v>153</v>
      </c>
      <c r="B1306" s="310" t="s">
        <v>458</v>
      </c>
      <c r="C1306" s="311"/>
      <c r="D1306" s="312"/>
      <c r="E1306" s="313"/>
      <c r="F1306" s="314"/>
      <c r="G1306" s="315"/>
    </row>
    <row r="1307" spans="1:7" ht="12" customHeight="1" x14ac:dyDescent="0.2">
      <c r="A1307" s="364" t="s">
        <v>164</v>
      </c>
      <c r="B1307" s="365" t="s">
        <v>211</v>
      </c>
      <c r="C1307" s="354"/>
      <c r="D1307" s="355"/>
      <c r="E1307" s="208"/>
      <c r="F1307" s="181"/>
      <c r="G1307" s="217">
        <f>D1307*E1307</f>
        <v>0</v>
      </c>
    </row>
    <row r="1308" spans="1:7" ht="12" customHeight="1" x14ac:dyDescent="0.2">
      <c r="A1308" s="366" t="s">
        <v>185</v>
      </c>
      <c r="B1308" s="373" t="s">
        <v>417</v>
      </c>
      <c r="C1308" s="368" t="s">
        <v>8</v>
      </c>
      <c r="D1308" s="369">
        <v>2</v>
      </c>
      <c r="E1308" s="208"/>
      <c r="F1308" s="316"/>
      <c r="G1308" s="317">
        <f t="shared" ref="G1308:G1337" si="233">+D1308*E1308+D1308*F1308</f>
        <v>0</v>
      </c>
    </row>
    <row r="1309" spans="1:7" ht="12" customHeight="1" x14ac:dyDescent="0.2">
      <c r="A1309" s="364" t="s">
        <v>165</v>
      </c>
      <c r="B1309" s="365" t="s">
        <v>212</v>
      </c>
      <c r="C1309" s="371"/>
      <c r="D1309" s="372"/>
      <c r="E1309" s="208"/>
      <c r="F1309" s="316"/>
      <c r="G1309" s="318">
        <f t="shared" si="233"/>
        <v>0</v>
      </c>
    </row>
    <row r="1310" spans="1:7" ht="12" customHeight="1" x14ac:dyDescent="0.2">
      <c r="A1310" s="366"/>
      <c r="B1310" s="370" t="s">
        <v>314</v>
      </c>
      <c r="C1310" s="354" t="s">
        <v>8</v>
      </c>
      <c r="D1310" s="355">
        <v>32</v>
      </c>
      <c r="E1310" s="208"/>
      <c r="F1310" s="316"/>
      <c r="G1310" s="318">
        <f t="shared" si="233"/>
        <v>0</v>
      </c>
    </row>
    <row r="1311" spans="1:7" ht="12" customHeight="1" x14ac:dyDescent="0.2">
      <c r="A1311" s="366"/>
      <c r="B1311" s="370" t="s">
        <v>315</v>
      </c>
      <c r="C1311" s="354" t="s">
        <v>8</v>
      </c>
      <c r="D1311" s="355">
        <v>11</v>
      </c>
      <c r="E1311" s="208"/>
      <c r="F1311" s="316"/>
      <c r="G1311" s="318">
        <f t="shared" si="233"/>
        <v>0</v>
      </c>
    </row>
    <row r="1312" spans="1:7" ht="12" customHeight="1" x14ac:dyDescent="0.2">
      <c r="A1312" s="366"/>
      <c r="B1312" s="370" t="s">
        <v>270</v>
      </c>
      <c r="C1312" s="354" t="s">
        <v>8</v>
      </c>
      <c r="D1312" s="355">
        <v>4</v>
      </c>
      <c r="E1312" s="208"/>
      <c r="F1312" s="316"/>
      <c r="G1312" s="318">
        <f t="shared" si="233"/>
        <v>0</v>
      </c>
    </row>
    <row r="1313" spans="1:7" ht="12" customHeight="1" x14ac:dyDescent="0.2">
      <c r="A1313" s="366"/>
      <c r="B1313" s="370" t="s">
        <v>256</v>
      </c>
      <c r="C1313" s="354" t="s">
        <v>8</v>
      </c>
      <c r="D1313" s="355">
        <v>16</v>
      </c>
      <c r="E1313" s="208"/>
      <c r="F1313" s="316"/>
      <c r="G1313" s="318">
        <f t="shared" si="233"/>
        <v>0</v>
      </c>
    </row>
    <row r="1314" spans="1:7" ht="12" customHeight="1" x14ac:dyDescent="0.2">
      <c r="A1314" s="366"/>
      <c r="B1314" s="370" t="s">
        <v>373</v>
      </c>
      <c r="C1314" s="354" t="s">
        <v>8</v>
      </c>
      <c r="D1314" s="355">
        <v>2</v>
      </c>
      <c r="E1314" s="208"/>
      <c r="F1314" s="316"/>
      <c r="G1314" s="318">
        <f t="shared" si="233"/>
        <v>0</v>
      </c>
    </row>
    <row r="1315" spans="1:7" ht="12" customHeight="1" x14ac:dyDescent="0.2">
      <c r="A1315" s="366"/>
      <c r="B1315" s="370" t="s">
        <v>316</v>
      </c>
      <c r="C1315" s="368" t="s">
        <v>8</v>
      </c>
      <c r="D1315" s="369">
        <v>5</v>
      </c>
      <c r="E1315" s="208"/>
      <c r="F1315" s="316"/>
      <c r="G1315" s="318">
        <f t="shared" si="233"/>
        <v>0</v>
      </c>
    </row>
    <row r="1316" spans="1:7" ht="12" customHeight="1" x14ac:dyDescent="0.2">
      <c r="A1316" s="366"/>
      <c r="B1316" s="370" t="s">
        <v>317</v>
      </c>
      <c r="C1316" s="368" t="s">
        <v>8</v>
      </c>
      <c r="D1316" s="369">
        <v>20</v>
      </c>
      <c r="E1316" s="208"/>
      <c r="F1316" s="316"/>
      <c r="G1316" s="318">
        <f t="shared" si="233"/>
        <v>0</v>
      </c>
    </row>
    <row r="1317" spans="1:7" ht="12" customHeight="1" x14ac:dyDescent="0.2">
      <c r="A1317" s="366"/>
      <c r="B1317" s="370" t="s">
        <v>318</v>
      </c>
      <c r="C1317" s="368" t="s">
        <v>8</v>
      </c>
      <c r="D1317" s="369">
        <v>12</v>
      </c>
      <c r="E1317" s="208"/>
      <c r="F1317" s="316"/>
      <c r="G1317" s="318">
        <f t="shared" si="233"/>
        <v>0</v>
      </c>
    </row>
    <row r="1318" spans="1:7" ht="12" customHeight="1" x14ac:dyDescent="0.2">
      <c r="A1318" s="366"/>
      <c r="B1318" s="370" t="s">
        <v>374</v>
      </c>
      <c r="C1318" s="354" t="s">
        <v>8</v>
      </c>
      <c r="D1318" s="355">
        <v>4</v>
      </c>
      <c r="E1318" s="208"/>
      <c r="F1318" s="316"/>
      <c r="G1318" s="318">
        <f t="shared" si="233"/>
        <v>0</v>
      </c>
    </row>
    <row r="1319" spans="1:7" ht="12" customHeight="1" x14ac:dyDescent="0.2">
      <c r="A1319" s="366"/>
      <c r="B1319" s="370" t="s">
        <v>319</v>
      </c>
      <c r="C1319" s="354" t="s">
        <v>8</v>
      </c>
      <c r="D1319" s="355">
        <v>1</v>
      </c>
      <c r="E1319" s="208"/>
      <c r="F1319" s="316"/>
      <c r="G1319" s="318">
        <f t="shared" si="233"/>
        <v>0</v>
      </c>
    </row>
    <row r="1320" spans="1:7" ht="12" customHeight="1" x14ac:dyDescent="0.2">
      <c r="A1320" s="366"/>
      <c r="B1320" s="370" t="s">
        <v>320</v>
      </c>
      <c r="C1320" s="354" t="s">
        <v>8</v>
      </c>
      <c r="D1320" s="355">
        <v>3</v>
      </c>
      <c r="E1320" s="208"/>
      <c r="F1320" s="316"/>
      <c r="G1320" s="318">
        <f t="shared" si="233"/>
        <v>0</v>
      </c>
    </row>
    <row r="1321" spans="1:7" ht="12" customHeight="1" x14ac:dyDescent="0.2">
      <c r="A1321" s="366"/>
      <c r="B1321" s="370" t="s">
        <v>321</v>
      </c>
      <c r="C1321" s="354" t="s">
        <v>8</v>
      </c>
      <c r="D1321" s="355">
        <v>8</v>
      </c>
      <c r="E1321" s="208"/>
      <c r="F1321" s="316"/>
      <c r="G1321" s="318">
        <f t="shared" si="233"/>
        <v>0</v>
      </c>
    </row>
    <row r="1322" spans="1:7" ht="12" customHeight="1" x14ac:dyDescent="0.2">
      <c r="A1322" s="366"/>
      <c r="B1322" s="370" t="s">
        <v>322</v>
      </c>
      <c r="C1322" s="354" t="s">
        <v>8</v>
      </c>
      <c r="D1322" s="355">
        <f>D1313</f>
        <v>16</v>
      </c>
      <c r="E1322" s="208"/>
      <c r="F1322" s="316"/>
      <c r="G1322" s="318">
        <f t="shared" si="233"/>
        <v>0</v>
      </c>
    </row>
    <row r="1323" spans="1:7" ht="12" customHeight="1" x14ac:dyDescent="0.2">
      <c r="A1323" s="366"/>
      <c r="B1323" s="370" t="s">
        <v>323</v>
      </c>
      <c r="C1323" s="354" t="s">
        <v>8</v>
      </c>
      <c r="D1323" s="355">
        <v>4</v>
      </c>
      <c r="E1323" s="208"/>
      <c r="F1323" s="316"/>
      <c r="G1323" s="318">
        <f t="shared" si="233"/>
        <v>0</v>
      </c>
    </row>
    <row r="1324" spans="1:7" ht="12" customHeight="1" x14ac:dyDescent="0.2">
      <c r="A1324" s="366"/>
      <c r="B1324" s="370" t="s">
        <v>552</v>
      </c>
      <c r="C1324" s="354" t="s">
        <v>8</v>
      </c>
      <c r="D1324" s="355">
        <v>4</v>
      </c>
      <c r="E1324" s="208"/>
      <c r="F1324" s="316"/>
      <c r="G1324" s="318">
        <f t="shared" si="233"/>
        <v>0</v>
      </c>
    </row>
    <row r="1325" spans="1:7" ht="12" customHeight="1" x14ac:dyDescent="0.2">
      <c r="A1325" s="366"/>
      <c r="B1325" s="370" t="s">
        <v>324</v>
      </c>
      <c r="C1325" s="354" t="s">
        <v>8</v>
      </c>
      <c r="D1325" s="355">
        <v>4</v>
      </c>
      <c r="E1325" s="208"/>
      <c r="F1325" s="316"/>
      <c r="G1325" s="318">
        <f t="shared" si="233"/>
        <v>0</v>
      </c>
    </row>
    <row r="1326" spans="1:7" ht="12" customHeight="1" x14ac:dyDescent="0.2">
      <c r="A1326" s="366"/>
      <c r="B1326" s="370" t="s">
        <v>325</v>
      </c>
      <c r="C1326" s="354" t="s">
        <v>8</v>
      </c>
      <c r="D1326" s="355">
        <v>6</v>
      </c>
      <c r="E1326" s="208"/>
      <c r="F1326" s="316"/>
      <c r="G1326" s="318">
        <f t="shared" si="233"/>
        <v>0</v>
      </c>
    </row>
    <row r="1327" spans="1:7" ht="12" customHeight="1" x14ac:dyDescent="0.2">
      <c r="A1327" s="366"/>
      <c r="B1327" s="370" t="s">
        <v>326</v>
      </c>
      <c r="C1327" s="354" t="s">
        <v>8</v>
      </c>
      <c r="D1327" s="355">
        <v>8</v>
      </c>
      <c r="E1327" s="208"/>
      <c r="F1327" s="316"/>
      <c r="G1327" s="318">
        <f t="shared" si="233"/>
        <v>0</v>
      </c>
    </row>
    <row r="1328" spans="1:7" ht="12" customHeight="1" x14ac:dyDescent="0.2">
      <c r="A1328" s="366"/>
      <c r="B1328" s="370" t="s">
        <v>327</v>
      </c>
      <c r="C1328" s="354" t="s">
        <v>8</v>
      </c>
      <c r="D1328" s="355">
        <v>4</v>
      </c>
      <c r="E1328" s="208"/>
      <c r="F1328" s="316"/>
      <c r="G1328" s="318">
        <f t="shared" si="233"/>
        <v>0</v>
      </c>
    </row>
    <row r="1329" spans="1:7" ht="12" customHeight="1" x14ac:dyDescent="0.2">
      <c r="A1329" s="364" t="s">
        <v>176</v>
      </c>
      <c r="B1329" s="365" t="s">
        <v>213</v>
      </c>
      <c r="C1329" s="371"/>
      <c r="D1329" s="372"/>
      <c r="E1329" s="208"/>
      <c r="F1329" s="316"/>
      <c r="G1329" s="318">
        <f t="shared" si="233"/>
        <v>0</v>
      </c>
    </row>
    <row r="1330" spans="1:7" ht="12" customHeight="1" x14ac:dyDescent="0.2">
      <c r="A1330" s="40" t="s">
        <v>164</v>
      </c>
      <c r="B1330" s="251" t="s">
        <v>408</v>
      </c>
      <c r="C1330" s="281" t="s">
        <v>216</v>
      </c>
      <c r="D1330" s="57">
        <f>D1310+D1313+D1312+D1311</f>
        <v>63</v>
      </c>
      <c r="E1330" s="44"/>
      <c r="F1330" s="316"/>
      <c r="G1330" s="318">
        <f t="shared" si="233"/>
        <v>0</v>
      </c>
    </row>
    <row r="1331" spans="1:7" ht="12" customHeight="1" x14ac:dyDescent="0.2">
      <c r="A1331" s="40" t="s">
        <v>165</v>
      </c>
      <c r="B1331" s="251" t="s">
        <v>409</v>
      </c>
      <c r="C1331" s="281" t="s">
        <v>216</v>
      </c>
      <c r="D1331" s="57">
        <f>D1315+D1316+D1317</f>
        <v>37</v>
      </c>
      <c r="E1331" s="44"/>
      <c r="F1331" s="316"/>
      <c r="G1331" s="318">
        <f t="shared" si="233"/>
        <v>0</v>
      </c>
    </row>
    <row r="1332" spans="1:7" ht="12" customHeight="1" x14ac:dyDescent="0.2">
      <c r="A1332" s="40" t="s">
        <v>176</v>
      </c>
      <c r="B1332" s="251" t="s">
        <v>410</v>
      </c>
      <c r="C1332" s="281" t="s">
        <v>114</v>
      </c>
      <c r="D1332" s="57">
        <f>D1308</f>
        <v>2</v>
      </c>
      <c r="E1332" s="44"/>
      <c r="F1332" s="316"/>
      <c r="G1332" s="318">
        <f t="shared" si="233"/>
        <v>0</v>
      </c>
    </row>
    <row r="1333" spans="1:7" ht="12" customHeight="1" x14ac:dyDescent="0.2">
      <c r="A1333" s="40" t="s">
        <v>177</v>
      </c>
      <c r="B1333" s="251" t="s">
        <v>214</v>
      </c>
      <c r="C1333" s="281" t="s">
        <v>114</v>
      </c>
      <c r="D1333" s="57">
        <f>D1325</f>
        <v>4</v>
      </c>
      <c r="E1333" s="44"/>
      <c r="F1333" s="316"/>
      <c r="G1333" s="318">
        <f t="shared" si="233"/>
        <v>0</v>
      </c>
    </row>
    <row r="1334" spans="1:7" ht="12" customHeight="1" x14ac:dyDescent="0.2">
      <c r="A1334" s="40" t="s">
        <v>178</v>
      </c>
      <c r="B1334" s="251" t="s">
        <v>215</v>
      </c>
      <c r="C1334" s="281" t="s">
        <v>114</v>
      </c>
      <c r="D1334" s="57">
        <f>D1323</f>
        <v>4</v>
      </c>
      <c r="E1334" s="44"/>
      <c r="F1334" s="316"/>
      <c r="G1334" s="318">
        <f t="shared" si="233"/>
        <v>0</v>
      </c>
    </row>
    <row r="1335" spans="1:7" ht="12" customHeight="1" x14ac:dyDescent="0.2">
      <c r="A1335" s="40" t="s">
        <v>179</v>
      </c>
      <c r="B1335" s="251" t="s">
        <v>271</v>
      </c>
      <c r="C1335" s="281" t="s">
        <v>114</v>
      </c>
      <c r="D1335" s="57">
        <f>D1324</f>
        <v>4</v>
      </c>
      <c r="E1335" s="44"/>
      <c r="F1335" s="316"/>
      <c r="G1335" s="318">
        <f t="shared" si="233"/>
        <v>0</v>
      </c>
    </row>
    <row r="1336" spans="1:7" ht="12" customHeight="1" x14ac:dyDescent="0.2">
      <c r="A1336" s="40" t="s">
        <v>180</v>
      </c>
      <c r="B1336" s="251" t="s">
        <v>328</v>
      </c>
      <c r="C1336" s="281" t="s">
        <v>114</v>
      </c>
      <c r="D1336" s="57">
        <f>D1325</f>
        <v>4</v>
      </c>
      <c r="E1336" s="44"/>
      <c r="F1336" s="316"/>
      <c r="G1336" s="318">
        <f t="shared" si="233"/>
        <v>0</v>
      </c>
    </row>
    <row r="1337" spans="1:7" ht="12" customHeight="1" x14ac:dyDescent="0.2">
      <c r="A1337" s="40" t="s">
        <v>181</v>
      </c>
      <c r="B1337" s="251" t="s">
        <v>329</v>
      </c>
      <c r="C1337" s="281" t="s">
        <v>114</v>
      </c>
      <c r="D1337" s="57">
        <f>D1326</f>
        <v>6</v>
      </c>
      <c r="E1337" s="44"/>
      <c r="F1337" s="316"/>
      <c r="G1337" s="318">
        <f t="shared" si="233"/>
        <v>0</v>
      </c>
    </row>
    <row r="1338" spans="1:7" ht="12" customHeight="1" x14ac:dyDescent="0.2">
      <c r="A1338" s="309" t="s">
        <v>154</v>
      </c>
      <c r="B1338" s="310" t="s">
        <v>466</v>
      </c>
      <c r="C1338" s="311"/>
      <c r="D1338" s="312"/>
      <c r="E1338" s="313"/>
      <c r="F1338" s="314"/>
      <c r="G1338" s="315"/>
    </row>
    <row r="1339" spans="1:7" ht="12" customHeight="1" x14ac:dyDescent="0.2">
      <c r="A1339" s="364" t="s">
        <v>164</v>
      </c>
      <c r="B1339" s="365" t="s">
        <v>211</v>
      </c>
      <c r="C1339" s="354"/>
      <c r="D1339" s="355"/>
      <c r="E1339" s="208"/>
      <c r="F1339" s="181"/>
      <c r="G1339" s="217">
        <f>D1339*E1339</f>
        <v>0</v>
      </c>
    </row>
    <row r="1340" spans="1:7" ht="12" customHeight="1" x14ac:dyDescent="0.2">
      <c r="A1340" s="366" t="s">
        <v>185</v>
      </c>
      <c r="B1340" s="373" t="s">
        <v>417</v>
      </c>
      <c r="C1340" s="368" t="s">
        <v>8</v>
      </c>
      <c r="D1340" s="369">
        <v>2</v>
      </c>
      <c r="E1340" s="208"/>
      <c r="F1340" s="316"/>
      <c r="G1340" s="317">
        <f t="shared" ref="G1340:G1369" si="234">+D1340*E1340+D1340*F1340</f>
        <v>0</v>
      </c>
    </row>
    <row r="1341" spans="1:7" ht="12" customHeight="1" x14ac:dyDescent="0.2">
      <c r="A1341" s="364" t="s">
        <v>165</v>
      </c>
      <c r="B1341" s="365" t="s">
        <v>212</v>
      </c>
      <c r="C1341" s="371"/>
      <c r="D1341" s="372"/>
      <c r="E1341" s="208"/>
      <c r="F1341" s="316"/>
      <c r="G1341" s="318">
        <f t="shared" si="234"/>
        <v>0</v>
      </c>
    </row>
    <row r="1342" spans="1:7" ht="12" customHeight="1" x14ac:dyDescent="0.2">
      <c r="A1342" s="366"/>
      <c r="B1342" s="370" t="s">
        <v>314</v>
      </c>
      <c r="C1342" s="354" t="s">
        <v>8</v>
      </c>
      <c r="D1342" s="355">
        <v>32</v>
      </c>
      <c r="E1342" s="208"/>
      <c r="F1342" s="316"/>
      <c r="G1342" s="318">
        <f t="shared" si="234"/>
        <v>0</v>
      </c>
    </row>
    <row r="1343" spans="1:7" ht="12" customHeight="1" x14ac:dyDescent="0.2">
      <c r="A1343" s="366"/>
      <c r="B1343" s="370" t="s">
        <v>315</v>
      </c>
      <c r="C1343" s="354" t="s">
        <v>8</v>
      </c>
      <c r="D1343" s="355">
        <v>11</v>
      </c>
      <c r="E1343" s="208"/>
      <c r="F1343" s="316"/>
      <c r="G1343" s="318">
        <f t="shared" si="234"/>
        <v>0</v>
      </c>
    </row>
    <row r="1344" spans="1:7" ht="12" customHeight="1" x14ac:dyDescent="0.2">
      <c r="A1344" s="366"/>
      <c r="B1344" s="370" t="s">
        <v>270</v>
      </c>
      <c r="C1344" s="354" t="s">
        <v>8</v>
      </c>
      <c r="D1344" s="355">
        <v>4</v>
      </c>
      <c r="E1344" s="208"/>
      <c r="F1344" s="316"/>
      <c r="G1344" s="318">
        <f t="shared" si="234"/>
        <v>0</v>
      </c>
    </row>
    <row r="1345" spans="1:7" ht="12" customHeight="1" x14ac:dyDescent="0.2">
      <c r="A1345" s="366"/>
      <c r="B1345" s="370" t="s">
        <v>256</v>
      </c>
      <c r="C1345" s="354" t="s">
        <v>8</v>
      </c>
      <c r="D1345" s="355">
        <v>16</v>
      </c>
      <c r="E1345" s="208"/>
      <c r="F1345" s="316"/>
      <c r="G1345" s="318">
        <f t="shared" si="234"/>
        <v>0</v>
      </c>
    </row>
    <row r="1346" spans="1:7" ht="12" customHeight="1" x14ac:dyDescent="0.2">
      <c r="A1346" s="366"/>
      <c r="B1346" s="370" t="s">
        <v>373</v>
      </c>
      <c r="C1346" s="354" t="s">
        <v>8</v>
      </c>
      <c r="D1346" s="355">
        <v>2</v>
      </c>
      <c r="E1346" s="208"/>
      <c r="F1346" s="316"/>
      <c r="G1346" s="318">
        <f t="shared" si="234"/>
        <v>0</v>
      </c>
    </row>
    <row r="1347" spans="1:7" ht="12" customHeight="1" x14ac:dyDescent="0.2">
      <c r="A1347" s="366"/>
      <c r="B1347" s="370" t="s">
        <v>316</v>
      </c>
      <c r="C1347" s="368" t="s">
        <v>8</v>
      </c>
      <c r="D1347" s="369">
        <v>5</v>
      </c>
      <c r="E1347" s="208"/>
      <c r="F1347" s="316"/>
      <c r="G1347" s="318">
        <f t="shared" si="234"/>
        <v>0</v>
      </c>
    </row>
    <row r="1348" spans="1:7" ht="12" customHeight="1" x14ac:dyDescent="0.2">
      <c r="A1348" s="366"/>
      <c r="B1348" s="370" t="s">
        <v>317</v>
      </c>
      <c r="C1348" s="368" t="s">
        <v>8</v>
      </c>
      <c r="D1348" s="369">
        <v>20</v>
      </c>
      <c r="E1348" s="208"/>
      <c r="F1348" s="316"/>
      <c r="G1348" s="318">
        <f t="shared" si="234"/>
        <v>0</v>
      </c>
    </row>
    <row r="1349" spans="1:7" ht="12" customHeight="1" x14ac:dyDescent="0.2">
      <c r="A1349" s="366"/>
      <c r="B1349" s="370" t="s">
        <v>318</v>
      </c>
      <c r="C1349" s="368" t="s">
        <v>8</v>
      </c>
      <c r="D1349" s="369">
        <v>12</v>
      </c>
      <c r="E1349" s="208"/>
      <c r="F1349" s="316"/>
      <c r="G1349" s="318">
        <f t="shared" si="234"/>
        <v>0</v>
      </c>
    </row>
    <row r="1350" spans="1:7" ht="12" customHeight="1" x14ac:dyDescent="0.2">
      <c r="A1350" s="366"/>
      <c r="B1350" s="370" t="s">
        <v>374</v>
      </c>
      <c r="C1350" s="354" t="s">
        <v>8</v>
      </c>
      <c r="D1350" s="355">
        <v>4</v>
      </c>
      <c r="E1350" s="208"/>
      <c r="F1350" s="316"/>
      <c r="G1350" s="318">
        <f t="shared" si="234"/>
        <v>0</v>
      </c>
    </row>
    <row r="1351" spans="1:7" ht="12" customHeight="1" x14ac:dyDescent="0.2">
      <c r="A1351" s="366"/>
      <c r="B1351" s="370" t="s">
        <v>319</v>
      </c>
      <c r="C1351" s="354" t="s">
        <v>8</v>
      </c>
      <c r="D1351" s="355">
        <v>1</v>
      </c>
      <c r="E1351" s="208"/>
      <c r="F1351" s="316"/>
      <c r="G1351" s="318">
        <f t="shared" si="234"/>
        <v>0</v>
      </c>
    </row>
    <row r="1352" spans="1:7" ht="12" customHeight="1" x14ac:dyDescent="0.2">
      <c r="A1352" s="366"/>
      <c r="B1352" s="370" t="s">
        <v>320</v>
      </c>
      <c r="C1352" s="354" t="s">
        <v>8</v>
      </c>
      <c r="D1352" s="355">
        <v>3</v>
      </c>
      <c r="E1352" s="208"/>
      <c r="F1352" s="316"/>
      <c r="G1352" s="318">
        <f t="shared" si="234"/>
        <v>0</v>
      </c>
    </row>
    <row r="1353" spans="1:7" ht="12" customHeight="1" x14ac:dyDescent="0.2">
      <c r="A1353" s="366"/>
      <c r="B1353" s="370" t="s">
        <v>321</v>
      </c>
      <c r="C1353" s="354" t="s">
        <v>8</v>
      </c>
      <c r="D1353" s="355">
        <v>8</v>
      </c>
      <c r="E1353" s="208"/>
      <c r="F1353" s="316"/>
      <c r="G1353" s="318">
        <f t="shared" si="234"/>
        <v>0</v>
      </c>
    </row>
    <row r="1354" spans="1:7" ht="12" customHeight="1" x14ac:dyDescent="0.2">
      <c r="A1354" s="366"/>
      <c r="B1354" s="370" t="s">
        <v>322</v>
      </c>
      <c r="C1354" s="354" t="s">
        <v>8</v>
      </c>
      <c r="D1354" s="355">
        <f>D1345</f>
        <v>16</v>
      </c>
      <c r="E1354" s="208"/>
      <c r="F1354" s="316"/>
      <c r="G1354" s="318">
        <f t="shared" si="234"/>
        <v>0</v>
      </c>
    </row>
    <row r="1355" spans="1:7" ht="12" customHeight="1" x14ac:dyDescent="0.2">
      <c r="A1355" s="366"/>
      <c r="B1355" s="370" t="s">
        <v>323</v>
      </c>
      <c r="C1355" s="354" t="s">
        <v>8</v>
      </c>
      <c r="D1355" s="355">
        <v>4</v>
      </c>
      <c r="E1355" s="208"/>
      <c r="F1355" s="316"/>
      <c r="G1355" s="318">
        <f t="shared" si="234"/>
        <v>0</v>
      </c>
    </row>
    <row r="1356" spans="1:7" ht="12" customHeight="1" x14ac:dyDescent="0.2">
      <c r="A1356" s="366"/>
      <c r="B1356" s="370" t="s">
        <v>552</v>
      </c>
      <c r="C1356" s="354" t="s">
        <v>8</v>
      </c>
      <c r="D1356" s="355">
        <v>4</v>
      </c>
      <c r="E1356" s="208"/>
      <c r="F1356" s="316"/>
      <c r="G1356" s="318">
        <f t="shared" si="234"/>
        <v>0</v>
      </c>
    </row>
    <row r="1357" spans="1:7" ht="12" customHeight="1" x14ac:dyDescent="0.2">
      <c r="A1357" s="366"/>
      <c r="B1357" s="370" t="s">
        <v>324</v>
      </c>
      <c r="C1357" s="354" t="s">
        <v>8</v>
      </c>
      <c r="D1357" s="355">
        <v>4</v>
      </c>
      <c r="E1357" s="208"/>
      <c r="F1357" s="316"/>
      <c r="G1357" s="318">
        <f t="shared" si="234"/>
        <v>0</v>
      </c>
    </row>
    <row r="1358" spans="1:7" ht="12" customHeight="1" x14ac:dyDescent="0.2">
      <c r="A1358" s="366"/>
      <c r="B1358" s="370" t="s">
        <v>325</v>
      </c>
      <c r="C1358" s="354" t="s">
        <v>8</v>
      </c>
      <c r="D1358" s="355">
        <v>6</v>
      </c>
      <c r="E1358" s="208"/>
      <c r="F1358" s="316"/>
      <c r="G1358" s="318">
        <f t="shared" si="234"/>
        <v>0</v>
      </c>
    </row>
    <row r="1359" spans="1:7" ht="12" customHeight="1" x14ac:dyDescent="0.2">
      <c r="A1359" s="366"/>
      <c r="B1359" s="370" t="s">
        <v>326</v>
      </c>
      <c r="C1359" s="354" t="s">
        <v>8</v>
      </c>
      <c r="D1359" s="355">
        <v>8</v>
      </c>
      <c r="E1359" s="208"/>
      <c r="F1359" s="316"/>
      <c r="G1359" s="318">
        <f t="shared" si="234"/>
        <v>0</v>
      </c>
    </row>
    <row r="1360" spans="1:7" ht="12" customHeight="1" x14ac:dyDescent="0.2">
      <c r="A1360" s="366"/>
      <c r="B1360" s="370" t="s">
        <v>327</v>
      </c>
      <c r="C1360" s="354" t="s">
        <v>8</v>
      </c>
      <c r="D1360" s="355">
        <v>4</v>
      </c>
      <c r="E1360" s="208"/>
      <c r="F1360" s="316"/>
      <c r="G1360" s="318">
        <f t="shared" si="234"/>
        <v>0</v>
      </c>
    </row>
    <row r="1361" spans="1:7" ht="12" customHeight="1" x14ac:dyDescent="0.2">
      <c r="A1361" s="364" t="s">
        <v>176</v>
      </c>
      <c r="B1361" s="365" t="s">
        <v>213</v>
      </c>
      <c r="C1361" s="371"/>
      <c r="D1361" s="372"/>
      <c r="E1361" s="208"/>
      <c r="F1361" s="316"/>
      <c r="G1361" s="318">
        <f t="shared" si="234"/>
        <v>0</v>
      </c>
    </row>
    <row r="1362" spans="1:7" ht="12" customHeight="1" x14ac:dyDescent="0.2">
      <c r="A1362" s="40" t="s">
        <v>164</v>
      </c>
      <c r="B1362" s="251" t="s">
        <v>408</v>
      </c>
      <c r="C1362" s="281" t="s">
        <v>216</v>
      </c>
      <c r="D1362" s="57">
        <f>D1342+D1345+D1344+D1343</f>
        <v>63</v>
      </c>
      <c r="E1362" s="44"/>
      <c r="F1362" s="316"/>
      <c r="G1362" s="318">
        <f t="shared" si="234"/>
        <v>0</v>
      </c>
    </row>
    <row r="1363" spans="1:7" ht="12" customHeight="1" x14ac:dyDescent="0.2">
      <c r="A1363" s="40" t="s">
        <v>165</v>
      </c>
      <c r="B1363" s="251" t="s">
        <v>409</v>
      </c>
      <c r="C1363" s="281" t="s">
        <v>216</v>
      </c>
      <c r="D1363" s="57">
        <f>D1347+D1348+D1349</f>
        <v>37</v>
      </c>
      <c r="E1363" s="44"/>
      <c r="F1363" s="316"/>
      <c r="G1363" s="318">
        <f t="shared" si="234"/>
        <v>0</v>
      </c>
    </row>
    <row r="1364" spans="1:7" ht="15.75" customHeight="1" thickBot="1" x14ac:dyDescent="0.25">
      <c r="A1364" s="73" t="s">
        <v>176</v>
      </c>
      <c r="B1364" s="397" t="s">
        <v>410</v>
      </c>
      <c r="C1364" s="402" t="s">
        <v>114</v>
      </c>
      <c r="D1364" s="76">
        <f>D1340</f>
        <v>2</v>
      </c>
      <c r="E1364" s="77"/>
      <c r="F1364" s="319"/>
      <c r="G1364" s="320">
        <f t="shared" si="234"/>
        <v>0</v>
      </c>
    </row>
    <row r="1365" spans="1:7" ht="12" customHeight="1" x14ac:dyDescent="0.2">
      <c r="A1365" s="40" t="s">
        <v>177</v>
      </c>
      <c r="B1365" s="251" t="s">
        <v>214</v>
      </c>
      <c r="C1365" s="281" t="s">
        <v>114</v>
      </c>
      <c r="D1365" s="57">
        <f>D1357</f>
        <v>4</v>
      </c>
      <c r="E1365" s="44"/>
      <c r="F1365" s="316"/>
      <c r="G1365" s="318">
        <f t="shared" si="234"/>
        <v>0</v>
      </c>
    </row>
    <row r="1366" spans="1:7" ht="12" customHeight="1" x14ac:dyDescent="0.2">
      <c r="A1366" s="40" t="s">
        <v>178</v>
      </c>
      <c r="B1366" s="251" t="s">
        <v>215</v>
      </c>
      <c r="C1366" s="281" t="s">
        <v>114</v>
      </c>
      <c r="D1366" s="57">
        <f>D1355</f>
        <v>4</v>
      </c>
      <c r="E1366" s="44"/>
      <c r="F1366" s="316"/>
      <c r="G1366" s="318">
        <f t="shared" si="234"/>
        <v>0</v>
      </c>
    </row>
    <row r="1367" spans="1:7" ht="12" customHeight="1" x14ac:dyDescent="0.2">
      <c r="A1367" s="40" t="s">
        <v>179</v>
      </c>
      <c r="B1367" s="251" t="s">
        <v>271</v>
      </c>
      <c r="C1367" s="281" t="s">
        <v>114</v>
      </c>
      <c r="D1367" s="57">
        <f>D1356</f>
        <v>4</v>
      </c>
      <c r="E1367" s="44"/>
      <c r="F1367" s="316"/>
      <c r="G1367" s="318">
        <f t="shared" si="234"/>
        <v>0</v>
      </c>
    </row>
    <row r="1368" spans="1:7" ht="12" customHeight="1" x14ac:dyDescent="0.2">
      <c r="A1368" s="40" t="s">
        <v>180</v>
      </c>
      <c r="B1368" s="251" t="s">
        <v>328</v>
      </c>
      <c r="C1368" s="281" t="s">
        <v>114</v>
      </c>
      <c r="D1368" s="57">
        <f>D1357</f>
        <v>4</v>
      </c>
      <c r="E1368" s="44"/>
      <c r="F1368" s="316"/>
      <c r="G1368" s="318">
        <f t="shared" si="234"/>
        <v>0</v>
      </c>
    </row>
    <row r="1369" spans="1:7" ht="12" customHeight="1" x14ac:dyDescent="0.2">
      <c r="A1369" s="40" t="s">
        <v>181</v>
      </c>
      <c r="B1369" s="251" t="s">
        <v>329</v>
      </c>
      <c r="C1369" s="281" t="s">
        <v>114</v>
      </c>
      <c r="D1369" s="57">
        <f>D1358</f>
        <v>6</v>
      </c>
      <c r="E1369" s="44"/>
      <c r="F1369" s="316"/>
      <c r="G1369" s="318">
        <f t="shared" si="234"/>
        <v>0</v>
      </c>
    </row>
    <row r="1370" spans="1:7" ht="12" customHeight="1" x14ac:dyDescent="0.2">
      <c r="A1370" s="309" t="s">
        <v>155</v>
      </c>
      <c r="B1370" s="310" t="s">
        <v>260</v>
      </c>
      <c r="C1370" s="311"/>
      <c r="D1370" s="312"/>
      <c r="E1370" s="313"/>
      <c r="F1370" s="314"/>
      <c r="G1370" s="315"/>
    </row>
    <row r="1371" spans="1:7" ht="12" customHeight="1" x14ac:dyDescent="0.2">
      <c r="A1371" s="364" t="s">
        <v>164</v>
      </c>
      <c r="B1371" s="365" t="s">
        <v>212</v>
      </c>
      <c r="C1371" s="371"/>
      <c r="D1371" s="372"/>
      <c r="E1371" s="208"/>
      <c r="F1371" s="316"/>
      <c r="G1371" s="318">
        <f t="shared" ref="G1371:G1377" si="235">+D1371*E1371+D1371*F1371</f>
        <v>0</v>
      </c>
    </row>
    <row r="1372" spans="1:7" ht="12" customHeight="1" x14ac:dyDescent="0.2">
      <c r="A1372" s="366"/>
      <c r="B1372" s="370" t="s">
        <v>546</v>
      </c>
      <c r="C1372" s="354" t="s">
        <v>8</v>
      </c>
      <c r="D1372" s="355">
        <v>3</v>
      </c>
      <c r="E1372" s="208"/>
      <c r="F1372" s="316"/>
      <c r="G1372" s="318">
        <f t="shared" si="235"/>
        <v>0</v>
      </c>
    </row>
    <row r="1373" spans="1:7" ht="12" customHeight="1" x14ac:dyDescent="0.2">
      <c r="A1373" s="366"/>
      <c r="B1373" s="370" t="s">
        <v>317</v>
      </c>
      <c r="C1373" s="368" t="s">
        <v>8</v>
      </c>
      <c r="D1373" s="369">
        <v>3</v>
      </c>
      <c r="E1373" s="208"/>
      <c r="F1373" s="316"/>
      <c r="G1373" s="318">
        <f t="shared" si="235"/>
        <v>0</v>
      </c>
    </row>
    <row r="1374" spans="1:7" ht="12" customHeight="1" x14ac:dyDescent="0.2">
      <c r="A1374" s="366"/>
      <c r="B1374" s="370" t="s">
        <v>320</v>
      </c>
      <c r="C1374" s="354" t="s">
        <v>8</v>
      </c>
      <c r="D1374" s="355">
        <v>1</v>
      </c>
      <c r="E1374" s="208"/>
      <c r="F1374" s="316"/>
      <c r="G1374" s="318">
        <f t="shared" si="235"/>
        <v>0</v>
      </c>
    </row>
    <row r="1375" spans="1:7" ht="12" customHeight="1" x14ac:dyDescent="0.2">
      <c r="A1375" s="364" t="s">
        <v>176</v>
      </c>
      <c r="B1375" s="365" t="s">
        <v>213</v>
      </c>
      <c r="C1375" s="371"/>
      <c r="D1375" s="372"/>
      <c r="E1375" s="208"/>
      <c r="F1375" s="316"/>
      <c r="G1375" s="318">
        <f t="shared" si="235"/>
        <v>0</v>
      </c>
    </row>
    <row r="1376" spans="1:7" ht="12" customHeight="1" x14ac:dyDescent="0.2">
      <c r="A1376" s="40" t="s">
        <v>164</v>
      </c>
      <c r="B1376" s="251" t="s">
        <v>408</v>
      </c>
      <c r="C1376" s="281" t="s">
        <v>216</v>
      </c>
      <c r="D1376" s="57">
        <f>D1372</f>
        <v>3</v>
      </c>
      <c r="E1376" s="44"/>
      <c r="F1376" s="316"/>
      <c r="G1376" s="318">
        <f t="shared" si="235"/>
        <v>0</v>
      </c>
    </row>
    <row r="1377" spans="1:7" ht="12" customHeight="1" x14ac:dyDescent="0.2">
      <c r="A1377" s="40" t="s">
        <v>165</v>
      </c>
      <c r="B1377" s="251" t="s">
        <v>409</v>
      </c>
      <c r="C1377" s="281" t="s">
        <v>216</v>
      </c>
      <c r="D1377" s="57">
        <f>D1373</f>
        <v>3</v>
      </c>
      <c r="E1377" s="44"/>
      <c r="F1377" s="316"/>
      <c r="G1377" s="318">
        <f t="shared" si="235"/>
        <v>0</v>
      </c>
    </row>
    <row r="1378" spans="1:7" ht="12" customHeight="1" x14ac:dyDescent="0.2">
      <c r="A1378" s="40"/>
      <c r="B1378" s="251"/>
      <c r="C1378" s="281"/>
      <c r="D1378" s="57"/>
      <c r="E1378" s="44"/>
      <c r="F1378" s="316"/>
      <c r="G1378" s="318"/>
    </row>
    <row r="1379" spans="1:7" ht="12" customHeight="1" x14ac:dyDescent="0.2">
      <c r="A1379" s="40"/>
      <c r="B1379" s="251"/>
      <c r="C1379" s="281"/>
      <c r="D1379" s="57"/>
      <c r="E1379" s="44"/>
      <c r="F1379" s="316"/>
      <c r="G1379" s="318"/>
    </row>
    <row r="1380" spans="1:7" ht="12" customHeight="1" x14ac:dyDescent="0.2">
      <c r="A1380" s="40"/>
      <c r="B1380" s="251"/>
      <c r="C1380" s="281"/>
      <c r="D1380" s="57"/>
      <c r="E1380" s="44"/>
      <c r="F1380" s="316"/>
      <c r="G1380" s="318"/>
    </row>
    <row r="1381" spans="1:7" ht="12" customHeight="1" x14ac:dyDescent="0.2">
      <c r="A1381" s="40"/>
      <c r="B1381" s="251"/>
      <c r="C1381" s="281"/>
      <c r="D1381" s="57"/>
      <c r="E1381" s="44"/>
      <c r="F1381" s="316"/>
      <c r="G1381" s="318"/>
    </row>
    <row r="1382" spans="1:7" ht="12" customHeight="1" x14ac:dyDescent="0.2">
      <c r="A1382" s="40"/>
      <c r="B1382" s="251"/>
      <c r="C1382" s="281"/>
      <c r="D1382" s="57"/>
      <c r="E1382" s="44"/>
      <c r="F1382" s="316"/>
      <c r="G1382" s="318"/>
    </row>
    <row r="1383" spans="1:7" ht="12" customHeight="1" x14ac:dyDescent="0.2">
      <c r="A1383" s="40"/>
      <c r="B1383" s="251"/>
      <c r="C1383" s="281"/>
      <c r="D1383" s="57"/>
      <c r="E1383" s="44"/>
      <c r="F1383" s="316"/>
      <c r="G1383" s="318"/>
    </row>
    <row r="1384" spans="1:7" ht="12" customHeight="1" x14ac:dyDescent="0.2">
      <c r="A1384" s="40"/>
      <c r="B1384" s="251"/>
      <c r="C1384" s="281"/>
      <c r="D1384" s="57"/>
      <c r="E1384" s="44"/>
      <c r="F1384" s="316"/>
      <c r="G1384" s="318"/>
    </row>
    <row r="1385" spans="1:7" ht="12" customHeight="1" x14ac:dyDescent="0.2">
      <c r="A1385" s="40"/>
      <c r="B1385" s="251"/>
      <c r="C1385" s="281"/>
      <c r="D1385" s="57"/>
      <c r="E1385" s="44"/>
      <c r="F1385" s="316"/>
      <c r="G1385" s="318"/>
    </row>
    <row r="1386" spans="1:7" ht="12" customHeight="1" x14ac:dyDescent="0.2">
      <c r="A1386" s="40"/>
      <c r="B1386" s="251"/>
      <c r="C1386" s="281"/>
      <c r="D1386" s="57"/>
      <c r="E1386" s="44"/>
      <c r="F1386" s="316"/>
      <c r="G1386" s="318"/>
    </row>
    <row r="1387" spans="1:7" ht="12" customHeight="1" x14ac:dyDescent="0.2">
      <c r="A1387" s="40"/>
      <c r="B1387" s="251"/>
      <c r="C1387" s="281"/>
      <c r="D1387" s="57"/>
      <c r="E1387" s="44"/>
      <c r="F1387" s="316"/>
      <c r="G1387" s="318"/>
    </row>
    <row r="1388" spans="1:7" ht="12" customHeight="1" x14ac:dyDescent="0.2">
      <c r="A1388" s="40"/>
      <c r="B1388" s="251"/>
      <c r="C1388" s="281"/>
      <c r="D1388" s="57"/>
      <c r="E1388" s="44"/>
      <c r="F1388" s="316"/>
      <c r="G1388" s="318"/>
    </row>
    <row r="1389" spans="1:7" ht="12" customHeight="1" x14ac:dyDescent="0.2">
      <c r="A1389" s="40"/>
      <c r="B1389" s="251"/>
      <c r="C1389" s="281"/>
      <c r="D1389" s="57"/>
      <c r="E1389" s="44"/>
      <c r="F1389" s="316"/>
      <c r="G1389" s="318"/>
    </row>
    <row r="1390" spans="1:7" ht="12" customHeight="1" x14ac:dyDescent="0.2">
      <c r="A1390" s="40"/>
      <c r="B1390" s="251"/>
      <c r="C1390" s="281"/>
      <c r="D1390" s="57"/>
      <c r="E1390" s="44"/>
      <c r="F1390" s="316"/>
      <c r="G1390" s="318"/>
    </row>
    <row r="1391" spans="1:7" ht="12" customHeight="1" x14ac:dyDescent="0.2">
      <c r="A1391" s="40"/>
      <c r="B1391" s="251"/>
      <c r="C1391" s="281"/>
      <c r="D1391" s="57"/>
      <c r="E1391" s="44"/>
      <c r="F1391" s="316"/>
      <c r="G1391" s="318"/>
    </row>
    <row r="1392" spans="1:7" ht="12" customHeight="1" x14ac:dyDescent="0.2">
      <c r="A1392" s="40"/>
      <c r="B1392" s="251"/>
      <c r="C1392" s="281"/>
      <c r="D1392" s="57"/>
      <c r="E1392" s="44"/>
      <c r="F1392" s="316"/>
      <c r="G1392" s="318"/>
    </row>
    <row r="1393" spans="1:7" ht="12" customHeight="1" x14ac:dyDescent="0.2">
      <c r="A1393" s="40"/>
      <c r="B1393" s="251"/>
      <c r="C1393" s="281"/>
      <c r="D1393" s="57"/>
      <c r="E1393" s="44"/>
      <c r="F1393" s="316"/>
      <c r="G1393" s="318"/>
    </row>
    <row r="1394" spans="1:7" ht="12" customHeight="1" x14ac:dyDescent="0.2">
      <c r="A1394" s="40"/>
      <c r="B1394" s="251"/>
      <c r="C1394" s="281"/>
      <c r="D1394" s="57"/>
      <c r="E1394" s="44"/>
      <c r="F1394" s="316"/>
      <c r="G1394" s="318"/>
    </row>
    <row r="1395" spans="1:7" ht="12" customHeight="1" x14ac:dyDescent="0.2">
      <c r="A1395" s="40"/>
      <c r="B1395" s="251"/>
      <c r="C1395" s="281"/>
      <c r="D1395" s="57"/>
      <c r="E1395" s="44"/>
      <c r="F1395" s="316"/>
      <c r="G1395" s="318"/>
    </row>
    <row r="1396" spans="1:7" ht="12" customHeight="1" x14ac:dyDescent="0.2">
      <c r="A1396" s="40"/>
      <c r="B1396" s="251"/>
      <c r="C1396" s="281"/>
      <c r="D1396" s="57"/>
      <c r="E1396" s="44"/>
      <c r="F1396" s="316"/>
      <c r="G1396" s="318"/>
    </row>
    <row r="1397" spans="1:7" ht="12" customHeight="1" x14ac:dyDescent="0.2">
      <c r="A1397" s="40"/>
      <c r="B1397" s="251"/>
      <c r="C1397" s="281"/>
      <c r="D1397" s="57"/>
      <c r="E1397" s="44"/>
      <c r="F1397" s="316"/>
      <c r="G1397" s="318"/>
    </row>
    <row r="1398" spans="1:7" ht="12" customHeight="1" x14ac:dyDescent="0.2">
      <c r="A1398" s="40"/>
      <c r="B1398" s="251"/>
      <c r="C1398" s="281"/>
      <c r="D1398" s="57"/>
      <c r="E1398" s="44"/>
      <c r="F1398" s="316"/>
      <c r="G1398" s="318"/>
    </row>
    <row r="1399" spans="1:7" ht="12" customHeight="1" x14ac:dyDescent="0.2">
      <c r="A1399" s="40"/>
      <c r="B1399" s="251"/>
      <c r="C1399" s="281"/>
      <c r="D1399" s="57"/>
      <c r="E1399" s="44"/>
      <c r="F1399" s="316"/>
      <c r="G1399" s="318"/>
    </row>
    <row r="1400" spans="1:7" ht="12" customHeight="1" x14ac:dyDescent="0.2">
      <c r="A1400" s="40"/>
      <c r="B1400" s="251"/>
      <c r="C1400" s="281"/>
      <c r="D1400" s="57"/>
      <c r="E1400" s="44"/>
      <c r="F1400" s="316"/>
      <c r="G1400" s="318"/>
    </row>
    <row r="1401" spans="1:7" ht="12" customHeight="1" x14ac:dyDescent="0.2">
      <c r="A1401" s="40"/>
      <c r="B1401" s="251"/>
      <c r="C1401" s="281"/>
      <c r="D1401" s="57"/>
      <c r="E1401" s="44"/>
      <c r="F1401" s="316"/>
      <c r="G1401" s="318"/>
    </row>
    <row r="1402" spans="1:7" ht="12" customHeight="1" x14ac:dyDescent="0.2">
      <c r="A1402" s="40"/>
      <c r="B1402" s="251"/>
      <c r="C1402" s="281"/>
      <c r="D1402" s="57"/>
      <c r="E1402" s="44"/>
      <c r="F1402" s="316"/>
      <c r="G1402" s="318"/>
    </row>
    <row r="1403" spans="1:7" ht="12" customHeight="1" x14ac:dyDescent="0.2">
      <c r="A1403" s="40"/>
      <c r="B1403" s="251"/>
      <c r="C1403" s="281"/>
      <c r="D1403" s="57"/>
      <c r="E1403" s="44"/>
      <c r="F1403" s="316"/>
      <c r="G1403" s="318"/>
    </row>
    <row r="1404" spans="1:7" ht="12" customHeight="1" x14ac:dyDescent="0.2">
      <c r="A1404" s="40"/>
      <c r="B1404" s="251"/>
      <c r="C1404" s="281"/>
      <c r="D1404" s="57"/>
      <c r="E1404" s="44"/>
      <c r="F1404" s="316"/>
      <c r="G1404" s="318"/>
    </row>
    <row r="1405" spans="1:7" ht="12" customHeight="1" x14ac:dyDescent="0.2">
      <c r="A1405" s="40"/>
      <c r="B1405" s="251"/>
      <c r="C1405" s="281"/>
      <c r="D1405" s="57"/>
      <c r="E1405" s="44"/>
      <c r="F1405" s="316"/>
      <c r="G1405" s="318"/>
    </row>
    <row r="1406" spans="1:7" ht="12" customHeight="1" x14ac:dyDescent="0.2">
      <c r="A1406" s="40"/>
      <c r="B1406" s="251"/>
      <c r="C1406" s="281"/>
      <c r="D1406" s="57"/>
      <c r="E1406" s="44"/>
      <c r="F1406" s="316"/>
      <c r="G1406" s="318"/>
    </row>
    <row r="1407" spans="1:7" ht="12" customHeight="1" x14ac:dyDescent="0.2">
      <c r="A1407" s="40"/>
      <c r="B1407" s="251"/>
      <c r="C1407" s="281"/>
      <c r="D1407" s="57"/>
      <c r="E1407" s="44"/>
      <c r="F1407" s="316"/>
      <c r="G1407" s="318"/>
    </row>
    <row r="1408" spans="1:7" ht="12" customHeight="1" x14ac:dyDescent="0.2">
      <c r="A1408" s="40"/>
      <c r="B1408" s="251"/>
      <c r="C1408" s="281"/>
      <c r="D1408" s="57"/>
      <c r="E1408" s="44"/>
      <c r="F1408" s="316"/>
      <c r="G1408" s="318"/>
    </row>
    <row r="1409" spans="1:9" ht="12" customHeight="1" x14ac:dyDescent="0.2">
      <c r="A1409" s="40"/>
      <c r="B1409" s="251"/>
      <c r="C1409" s="281"/>
      <c r="D1409" s="57"/>
      <c r="E1409" s="44"/>
      <c r="F1409" s="316"/>
      <c r="G1409" s="318"/>
    </row>
    <row r="1410" spans="1:9" ht="12" customHeight="1" x14ac:dyDescent="0.2">
      <c r="A1410" s="40"/>
      <c r="B1410" s="251"/>
      <c r="C1410" s="281"/>
      <c r="D1410" s="57"/>
      <c r="E1410" s="44"/>
      <c r="F1410" s="316"/>
      <c r="G1410" s="318"/>
    </row>
    <row r="1411" spans="1:9" ht="12" customHeight="1" x14ac:dyDescent="0.2">
      <c r="A1411" s="40"/>
      <c r="B1411" s="251"/>
      <c r="C1411" s="281"/>
      <c r="D1411" s="57"/>
      <c r="E1411" s="44"/>
      <c r="F1411" s="316"/>
      <c r="G1411" s="318"/>
    </row>
    <row r="1412" spans="1:9" ht="12" customHeight="1" x14ac:dyDescent="0.2">
      <c r="A1412" s="40"/>
      <c r="B1412" s="251"/>
      <c r="C1412" s="281"/>
      <c r="D1412" s="57"/>
      <c r="E1412" s="44"/>
      <c r="F1412" s="316"/>
      <c r="G1412" s="318"/>
    </row>
    <row r="1413" spans="1:9" ht="12" customHeight="1" x14ac:dyDescent="0.2">
      <c r="A1413" s="40"/>
      <c r="B1413" s="251"/>
      <c r="C1413" s="281"/>
      <c r="D1413" s="57"/>
      <c r="E1413" s="44"/>
      <c r="F1413" s="316"/>
      <c r="G1413" s="318"/>
    </row>
    <row r="1414" spans="1:9" ht="12" customHeight="1" x14ac:dyDescent="0.2">
      <c r="A1414" s="40"/>
      <c r="B1414" s="251"/>
      <c r="C1414" s="281"/>
      <c r="D1414" s="57"/>
      <c r="E1414" s="44"/>
      <c r="F1414" s="316"/>
      <c r="G1414" s="318"/>
    </row>
    <row r="1415" spans="1:9" ht="12" customHeight="1" x14ac:dyDescent="0.2">
      <c r="A1415" s="40"/>
      <c r="B1415" s="251"/>
      <c r="C1415" s="281"/>
      <c r="D1415" s="57"/>
      <c r="E1415" s="44"/>
      <c r="F1415" s="316"/>
      <c r="G1415" s="318"/>
    </row>
    <row r="1416" spans="1:9" ht="12" customHeight="1" x14ac:dyDescent="0.2">
      <c r="A1416" s="40"/>
      <c r="B1416" s="251"/>
      <c r="C1416" s="281"/>
      <c r="D1416" s="57"/>
      <c r="E1416" s="44"/>
      <c r="F1416" s="316"/>
      <c r="G1416" s="318"/>
    </row>
    <row r="1417" spans="1:9" ht="12" customHeight="1" x14ac:dyDescent="0.2">
      <c r="A1417" s="40"/>
      <c r="B1417" s="251"/>
      <c r="C1417" s="281"/>
      <c r="D1417" s="57"/>
      <c r="E1417" s="44"/>
      <c r="F1417" s="316"/>
      <c r="G1417" s="318"/>
    </row>
    <row r="1418" spans="1:9" ht="12" customHeight="1" x14ac:dyDescent="0.2">
      <c r="A1418" s="40"/>
      <c r="B1418" s="251"/>
      <c r="C1418" s="281"/>
      <c r="D1418" s="57"/>
      <c r="E1418" s="44"/>
      <c r="F1418" s="316"/>
      <c r="G1418" s="318"/>
    </row>
    <row r="1419" spans="1:9" ht="12" customHeight="1" x14ac:dyDescent="0.2">
      <c r="A1419" s="40"/>
      <c r="B1419" s="251"/>
      <c r="C1419" s="281"/>
      <c r="D1419" s="57"/>
      <c r="E1419" s="44"/>
      <c r="F1419" s="316"/>
      <c r="G1419" s="318"/>
    </row>
    <row r="1420" spans="1:9" ht="12" customHeight="1" x14ac:dyDescent="0.2">
      <c r="A1420" s="366"/>
      <c r="B1420" s="370"/>
      <c r="C1420" s="368"/>
      <c r="D1420" s="369"/>
      <c r="E1420" s="208"/>
      <c r="F1420" s="316"/>
      <c r="G1420" s="318"/>
    </row>
    <row r="1421" spans="1:9" ht="12" customHeight="1" thickBot="1" x14ac:dyDescent="0.25">
      <c r="A1421" s="366"/>
      <c r="B1421" s="370"/>
      <c r="C1421" s="368"/>
      <c r="D1421" s="369"/>
      <c r="E1421" s="208"/>
      <c r="F1421" s="316"/>
      <c r="G1421" s="318"/>
    </row>
    <row r="1422" spans="1:9" ht="12" customHeight="1" x14ac:dyDescent="0.2">
      <c r="A1422" s="68"/>
      <c r="B1422" s="69" t="s">
        <v>183</v>
      </c>
      <c r="C1422" s="321"/>
      <c r="D1422" s="322"/>
      <c r="E1422" s="323"/>
      <c r="F1422" s="191"/>
      <c r="G1422" s="192"/>
    </row>
    <row r="1423" spans="1:9" ht="12" customHeight="1" thickBot="1" x14ac:dyDescent="0.25">
      <c r="A1423" s="73"/>
      <c r="B1423" s="74" t="s">
        <v>134</v>
      </c>
      <c r="C1423" s="153"/>
      <c r="D1423" s="154"/>
      <c r="E1423" s="183"/>
      <c r="F1423" s="155"/>
      <c r="G1423" s="193">
        <f>SUM(G1216:G1422)</f>
        <v>0</v>
      </c>
      <c r="I1423" s="169"/>
    </row>
    <row r="1424" spans="1:9" ht="12" customHeight="1" x14ac:dyDescent="0.2">
      <c r="A1424" s="40"/>
      <c r="B1424" s="80"/>
      <c r="C1424" s="143"/>
      <c r="D1424" s="91"/>
      <c r="E1424" s="92"/>
      <c r="F1424" s="59"/>
      <c r="G1424" s="150"/>
      <c r="I1424" s="169"/>
    </row>
    <row r="1425" spans="1:7" x14ac:dyDescent="0.2">
      <c r="A1425" s="324"/>
      <c r="B1425" s="41" t="s">
        <v>335</v>
      </c>
      <c r="C1425" s="56"/>
      <c r="D1425" s="189"/>
      <c r="E1425" s="44"/>
      <c r="F1425" s="59"/>
      <c r="G1425" s="60"/>
    </row>
    <row r="1426" spans="1:7" x14ac:dyDescent="0.2">
      <c r="A1426" s="324"/>
      <c r="B1426" s="49" t="s">
        <v>334</v>
      </c>
      <c r="C1426" s="56"/>
      <c r="D1426" s="189"/>
      <c r="E1426" s="44"/>
      <c r="F1426" s="59"/>
      <c r="G1426" s="60"/>
    </row>
    <row r="1427" spans="1:7" x14ac:dyDescent="0.2">
      <c r="A1427" s="325">
        <v>12.1</v>
      </c>
      <c r="B1427" s="268" t="s">
        <v>336</v>
      </c>
      <c r="C1427" s="326"/>
      <c r="D1427" s="327"/>
      <c r="E1427" s="122"/>
      <c r="F1427" s="235"/>
      <c r="G1427" s="236"/>
    </row>
    <row r="1428" spans="1:7" ht="43.5" customHeight="1" x14ac:dyDescent="0.2">
      <c r="A1428" s="324"/>
      <c r="B1428" s="444" t="s">
        <v>337</v>
      </c>
      <c r="C1428" s="445"/>
      <c r="D1428" s="445"/>
      <c r="E1428" s="445"/>
      <c r="F1428" s="446"/>
      <c r="G1428" s="60"/>
    </row>
    <row r="1429" spans="1:7" ht="27" customHeight="1" x14ac:dyDescent="0.2">
      <c r="A1429" s="324"/>
      <c r="B1429" s="447" t="s">
        <v>338</v>
      </c>
      <c r="C1429" s="448"/>
      <c r="D1429" s="448"/>
      <c r="E1429" s="448"/>
      <c r="F1429" s="449"/>
      <c r="G1429" s="60"/>
    </row>
    <row r="1430" spans="1:7" ht="14.25" customHeight="1" x14ac:dyDescent="0.2">
      <c r="A1430" s="324"/>
      <c r="B1430" s="447" t="s">
        <v>339</v>
      </c>
      <c r="C1430" s="448"/>
      <c r="D1430" s="448"/>
      <c r="E1430" s="448"/>
      <c r="F1430" s="449"/>
      <c r="G1430" s="60"/>
    </row>
    <row r="1431" spans="1:7" ht="28.5" customHeight="1" x14ac:dyDescent="0.2">
      <c r="A1431" s="324"/>
      <c r="B1431" s="435" t="s">
        <v>340</v>
      </c>
      <c r="C1431" s="436"/>
      <c r="D1431" s="436"/>
      <c r="E1431" s="436"/>
      <c r="F1431" s="437"/>
      <c r="G1431" s="60"/>
    </row>
    <row r="1432" spans="1:7" x14ac:dyDescent="0.2">
      <c r="A1432" s="328">
        <v>12.2</v>
      </c>
      <c r="B1432" s="329" t="s">
        <v>341</v>
      </c>
      <c r="C1432" s="330"/>
      <c r="D1432" s="331"/>
      <c r="E1432" s="290"/>
      <c r="F1432" s="149"/>
      <c r="G1432" s="150"/>
    </row>
    <row r="1433" spans="1:7" ht="24" x14ac:dyDescent="0.2">
      <c r="A1433" s="324"/>
      <c r="B1433" s="251" t="s">
        <v>342</v>
      </c>
      <c r="C1433" s="281"/>
      <c r="D1433" s="189"/>
      <c r="E1433" s="44"/>
      <c r="F1433" s="59"/>
      <c r="G1433" s="60"/>
    </row>
    <row r="1434" spans="1:7" x14ac:dyDescent="0.2">
      <c r="A1434" s="332">
        <v>1</v>
      </c>
      <c r="B1434" s="333" t="s">
        <v>67</v>
      </c>
      <c r="C1434" s="334"/>
      <c r="D1434" s="335"/>
      <c r="E1434" s="336"/>
      <c r="F1434" s="337"/>
      <c r="G1434" s="338"/>
    </row>
    <row r="1435" spans="1:7" x14ac:dyDescent="0.2">
      <c r="A1435" s="339" t="s">
        <v>185</v>
      </c>
      <c r="B1435" s="340" t="s">
        <v>341</v>
      </c>
      <c r="C1435" s="330"/>
      <c r="D1435" s="331"/>
      <c r="E1435" s="290"/>
      <c r="F1435" s="203"/>
      <c r="G1435" s="318">
        <f t="shared" ref="G1435:G1442" si="236">+D1435*E1435+D1435*F1435</f>
        <v>0</v>
      </c>
    </row>
    <row r="1436" spans="1:7" x14ac:dyDescent="0.2">
      <c r="A1436" s="324" t="s">
        <v>164</v>
      </c>
      <c r="B1436" s="251" t="s">
        <v>343</v>
      </c>
      <c r="C1436" s="281" t="s">
        <v>114</v>
      </c>
      <c r="D1436" s="189">
        <v>1</v>
      </c>
      <c r="E1436" s="44"/>
      <c r="F1436" s="59"/>
      <c r="G1436" s="318">
        <f t="shared" si="236"/>
        <v>0</v>
      </c>
    </row>
    <row r="1437" spans="1:7" x14ac:dyDescent="0.2">
      <c r="A1437" s="324" t="s">
        <v>165</v>
      </c>
      <c r="B1437" s="251" t="s">
        <v>344</v>
      </c>
      <c r="C1437" s="281" t="s">
        <v>114</v>
      </c>
      <c r="D1437" s="189">
        <v>1</v>
      </c>
      <c r="E1437" s="44"/>
      <c r="F1437" s="59"/>
      <c r="G1437" s="318">
        <f t="shared" si="236"/>
        <v>0</v>
      </c>
    </row>
    <row r="1438" spans="1:7" x14ac:dyDescent="0.2">
      <c r="A1438" s="324" t="s">
        <v>176</v>
      </c>
      <c r="B1438" s="251" t="s">
        <v>345</v>
      </c>
      <c r="C1438" s="281" t="s">
        <v>114</v>
      </c>
      <c r="D1438" s="189">
        <v>12</v>
      </c>
      <c r="E1438" s="44"/>
      <c r="F1438" s="59"/>
      <c r="G1438" s="318">
        <f t="shared" si="236"/>
        <v>0</v>
      </c>
    </row>
    <row r="1439" spans="1:7" ht="24" x14ac:dyDescent="0.2">
      <c r="A1439" s="324" t="s">
        <v>177</v>
      </c>
      <c r="B1439" s="251" t="s">
        <v>346</v>
      </c>
      <c r="C1439" s="281" t="s">
        <v>114</v>
      </c>
      <c r="D1439" s="189">
        <v>1</v>
      </c>
      <c r="E1439" s="44"/>
      <c r="F1439" s="59"/>
      <c r="G1439" s="318">
        <f t="shared" si="236"/>
        <v>0</v>
      </c>
    </row>
    <row r="1440" spans="1:7" x14ac:dyDescent="0.2">
      <c r="A1440" s="324" t="s">
        <v>178</v>
      </c>
      <c r="B1440" s="251" t="s">
        <v>347</v>
      </c>
      <c r="C1440" s="281" t="s">
        <v>114</v>
      </c>
      <c r="D1440" s="189">
        <v>1</v>
      </c>
      <c r="E1440" s="44"/>
      <c r="F1440" s="59"/>
      <c r="G1440" s="318">
        <f t="shared" si="236"/>
        <v>0</v>
      </c>
    </row>
    <row r="1441" spans="1:7" x14ac:dyDescent="0.2">
      <c r="A1441" s="324" t="s">
        <v>179</v>
      </c>
      <c r="B1441" s="251" t="s">
        <v>349</v>
      </c>
      <c r="C1441" s="281" t="s">
        <v>114</v>
      </c>
      <c r="D1441" s="189">
        <v>1</v>
      </c>
      <c r="E1441" s="44"/>
      <c r="F1441" s="59"/>
      <c r="G1441" s="318">
        <f t="shared" si="236"/>
        <v>0</v>
      </c>
    </row>
    <row r="1442" spans="1:7" x14ac:dyDescent="0.2">
      <c r="A1442" s="324" t="s">
        <v>180</v>
      </c>
      <c r="B1442" s="251" t="s">
        <v>350</v>
      </c>
      <c r="C1442" s="281" t="s">
        <v>114</v>
      </c>
      <c r="D1442" s="189">
        <v>1</v>
      </c>
      <c r="E1442" s="44"/>
      <c r="F1442" s="59"/>
      <c r="G1442" s="318">
        <f t="shared" si="236"/>
        <v>0</v>
      </c>
    </row>
    <row r="1443" spans="1:7" x14ac:dyDescent="0.2">
      <c r="A1443" s="341"/>
      <c r="B1443" s="342"/>
      <c r="C1443" s="343"/>
      <c r="D1443" s="331"/>
      <c r="E1443" s="344"/>
      <c r="F1443" s="345"/>
      <c r="G1443" s="318"/>
    </row>
    <row r="1444" spans="1:7" x14ac:dyDescent="0.2">
      <c r="A1444" s="332">
        <v>2</v>
      </c>
      <c r="B1444" s="333" t="s">
        <v>69</v>
      </c>
      <c r="C1444" s="334"/>
      <c r="D1444" s="335"/>
      <c r="E1444" s="336"/>
      <c r="F1444" s="337"/>
      <c r="G1444" s="338"/>
    </row>
    <row r="1445" spans="1:7" x14ac:dyDescent="0.2">
      <c r="A1445" s="339" t="s">
        <v>185</v>
      </c>
      <c r="B1445" s="340" t="s">
        <v>341</v>
      </c>
      <c r="C1445" s="330"/>
      <c r="D1445" s="331"/>
      <c r="E1445" s="290"/>
      <c r="F1445" s="203"/>
      <c r="G1445" s="318">
        <f t="shared" ref="G1445:G1449" si="237">+D1445*E1445+D1445*F1445</f>
        <v>0</v>
      </c>
    </row>
    <row r="1446" spans="1:7" ht="24" x14ac:dyDescent="0.2">
      <c r="A1446" s="324" t="s">
        <v>164</v>
      </c>
      <c r="B1446" s="251" t="s">
        <v>346</v>
      </c>
      <c r="C1446" s="281" t="s">
        <v>114</v>
      </c>
      <c r="D1446" s="189">
        <v>1</v>
      </c>
      <c r="E1446" s="44"/>
      <c r="F1446" s="59"/>
      <c r="G1446" s="318">
        <f t="shared" si="237"/>
        <v>0</v>
      </c>
    </row>
    <row r="1447" spans="1:7" x14ac:dyDescent="0.2">
      <c r="A1447" s="324" t="s">
        <v>165</v>
      </c>
      <c r="B1447" s="251" t="s">
        <v>345</v>
      </c>
      <c r="C1447" s="281" t="s">
        <v>114</v>
      </c>
      <c r="D1447" s="189">
        <v>3</v>
      </c>
      <c r="E1447" s="44"/>
      <c r="F1447" s="59"/>
      <c r="G1447" s="318">
        <f t="shared" si="237"/>
        <v>0</v>
      </c>
    </row>
    <row r="1448" spans="1:7" x14ac:dyDescent="0.2">
      <c r="A1448" s="324" t="s">
        <v>176</v>
      </c>
      <c r="B1448" s="251" t="s">
        <v>349</v>
      </c>
      <c r="C1448" s="281" t="s">
        <v>114</v>
      </c>
      <c r="D1448" s="189">
        <v>1</v>
      </c>
      <c r="E1448" s="44"/>
      <c r="F1448" s="59"/>
      <c r="G1448" s="318">
        <f t="shared" si="237"/>
        <v>0</v>
      </c>
    </row>
    <row r="1449" spans="1:7" x14ac:dyDescent="0.2">
      <c r="A1449" s="324" t="s">
        <v>177</v>
      </c>
      <c r="B1449" s="251" t="s">
        <v>350</v>
      </c>
      <c r="C1449" s="281" t="s">
        <v>114</v>
      </c>
      <c r="D1449" s="189">
        <v>1</v>
      </c>
      <c r="E1449" s="44"/>
      <c r="F1449" s="59"/>
      <c r="G1449" s="318">
        <f t="shared" si="237"/>
        <v>0</v>
      </c>
    </row>
    <row r="1450" spans="1:7" x14ac:dyDescent="0.2">
      <c r="A1450" s="341"/>
      <c r="B1450" s="342"/>
      <c r="C1450" s="343"/>
      <c r="D1450" s="331"/>
      <c r="E1450" s="344"/>
      <c r="F1450" s="345"/>
      <c r="G1450" s="318"/>
    </row>
    <row r="1451" spans="1:7" x14ac:dyDescent="0.2">
      <c r="A1451" s="332">
        <v>3</v>
      </c>
      <c r="B1451" s="333" t="s">
        <v>71</v>
      </c>
      <c r="C1451" s="334"/>
      <c r="D1451" s="335"/>
      <c r="E1451" s="336"/>
      <c r="F1451" s="337"/>
      <c r="G1451" s="338"/>
    </row>
    <row r="1452" spans="1:7" x14ac:dyDescent="0.2">
      <c r="A1452" s="339" t="s">
        <v>185</v>
      </c>
      <c r="B1452" s="340" t="s">
        <v>341</v>
      </c>
      <c r="C1452" s="330"/>
      <c r="D1452" s="331"/>
      <c r="E1452" s="290"/>
      <c r="F1452" s="203"/>
      <c r="G1452" s="318">
        <f t="shared" ref="G1452:G1459" si="238">+D1452*E1452+D1452*F1452</f>
        <v>0</v>
      </c>
    </row>
    <row r="1453" spans="1:7" x14ac:dyDescent="0.2">
      <c r="A1453" s="324" t="s">
        <v>164</v>
      </c>
      <c r="B1453" s="251" t="s">
        <v>344</v>
      </c>
      <c r="C1453" s="281" t="s">
        <v>114</v>
      </c>
      <c r="D1453" s="189">
        <v>1</v>
      </c>
      <c r="E1453" s="44"/>
      <c r="F1453" s="59"/>
      <c r="G1453" s="318">
        <f t="shared" si="238"/>
        <v>0</v>
      </c>
    </row>
    <row r="1454" spans="1:7" x14ac:dyDescent="0.2">
      <c r="A1454" s="324" t="s">
        <v>165</v>
      </c>
      <c r="B1454" s="251" t="s">
        <v>345</v>
      </c>
      <c r="C1454" s="281" t="s">
        <v>114</v>
      </c>
      <c r="D1454" s="189">
        <v>8</v>
      </c>
      <c r="E1454" s="44"/>
      <c r="F1454" s="59"/>
      <c r="G1454" s="318">
        <f t="shared" si="238"/>
        <v>0</v>
      </c>
    </row>
    <row r="1455" spans="1:7" ht="24" x14ac:dyDescent="0.2">
      <c r="A1455" s="324" t="s">
        <v>176</v>
      </c>
      <c r="B1455" s="251" t="s">
        <v>346</v>
      </c>
      <c r="C1455" s="281" t="s">
        <v>114</v>
      </c>
      <c r="D1455" s="189">
        <v>1</v>
      </c>
      <c r="E1455" s="44"/>
      <c r="F1455" s="59"/>
      <c r="G1455" s="318">
        <f t="shared" si="238"/>
        <v>0</v>
      </c>
    </row>
    <row r="1456" spans="1:7" x14ac:dyDescent="0.2">
      <c r="A1456" s="324" t="s">
        <v>177</v>
      </c>
      <c r="B1456" s="251" t="s">
        <v>347</v>
      </c>
      <c r="C1456" s="281" t="s">
        <v>114</v>
      </c>
      <c r="D1456" s="189">
        <v>1</v>
      </c>
      <c r="E1456" s="44"/>
      <c r="F1456" s="59"/>
      <c r="G1456" s="318">
        <f t="shared" si="238"/>
        <v>0</v>
      </c>
    </row>
    <row r="1457" spans="1:7" x14ac:dyDescent="0.2">
      <c r="A1457" s="324" t="s">
        <v>178</v>
      </c>
      <c r="B1457" s="251" t="s">
        <v>348</v>
      </c>
      <c r="C1457" s="281" t="s">
        <v>114</v>
      </c>
      <c r="D1457" s="189">
        <v>8</v>
      </c>
      <c r="E1457" s="44"/>
      <c r="F1457" s="59"/>
      <c r="G1457" s="318">
        <f t="shared" si="238"/>
        <v>0</v>
      </c>
    </row>
    <row r="1458" spans="1:7" x14ac:dyDescent="0.2">
      <c r="A1458" s="324" t="s">
        <v>179</v>
      </c>
      <c r="B1458" s="251" t="s">
        <v>349</v>
      </c>
      <c r="C1458" s="281" t="s">
        <v>114</v>
      </c>
      <c r="D1458" s="189">
        <v>1</v>
      </c>
      <c r="E1458" s="44"/>
      <c r="F1458" s="59"/>
      <c r="G1458" s="318">
        <f t="shared" si="238"/>
        <v>0</v>
      </c>
    </row>
    <row r="1459" spans="1:7" x14ac:dyDescent="0.2">
      <c r="A1459" s="324" t="s">
        <v>180</v>
      </c>
      <c r="B1459" s="251" t="s">
        <v>350</v>
      </c>
      <c r="C1459" s="281" t="s">
        <v>114</v>
      </c>
      <c r="D1459" s="189">
        <v>1</v>
      </c>
      <c r="E1459" s="44"/>
      <c r="F1459" s="59"/>
      <c r="G1459" s="318">
        <f t="shared" si="238"/>
        <v>0</v>
      </c>
    </row>
    <row r="1460" spans="1:7" x14ac:dyDescent="0.2">
      <c r="A1460" s="324"/>
      <c r="B1460" s="251"/>
      <c r="C1460" s="281"/>
      <c r="D1460" s="189"/>
      <c r="E1460" s="44"/>
      <c r="F1460" s="59"/>
      <c r="G1460" s="318"/>
    </row>
    <row r="1461" spans="1:7" x14ac:dyDescent="0.2">
      <c r="A1461" s="332">
        <v>4</v>
      </c>
      <c r="B1461" s="333" t="s">
        <v>458</v>
      </c>
      <c r="C1461" s="334"/>
      <c r="D1461" s="335"/>
      <c r="E1461" s="336"/>
      <c r="F1461" s="337"/>
      <c r="G1461" s="338"/>
    </row>
    <row r="1462" spans="1:7" x14ac:dyDescent="0.2">
      <c r="A1462" s="339" t="s">
        <v>185</v>
      </c>
      <c r="B1462" s="340" t="s">
        <v>341</v>
      </c>
      <c r="C1462" s="330"/>
      <c r="D1462" s="331"/>
      <c r="E1462" s="290"/>
      <c r="F1462" s="203"/>
      <c r="G1462" s="318">
        <f t="shared" ref="G1462:G1469" si="239">+D1462*E1462+D1462*F1462</f>
        <v>0</v>
      </c>
    </row>
    <row r="1463" spans="1:7" x14ac:dyDescent="0.2">
      <c r="A1463" s="324" t="s">
        <v>164</v>
      </c>
      <c r="B1463" s="251" t="s">
        <v>344</v>
      </c>
      <c r="C1463" s="281" t="s">
        <v>114</v>
      </c>
      <c r="D1463" s="189">
        <v>1</v>
      </c>
      <c r="E1463" s="44"/>
      <c r="F1463" s="59"/>
      <c r="G1463" s="318">
        <f t="shared" si="239"/>
        <v>0</v>
      </c>
    </row>
    <row r="1464" spans="1:7" x14ac:dyDescent="0.2">
      <c r="A1464" s="324" t="s">
        <v>165</v>
      </c>
      <c r="B1464" s="251" t="s">
        <v>345</v>
      </c>
      <c r="C1464" s="281" t="s">
        <v>114</v>
      </c>
      <c r="D1464" s="189">
        <v>8</v>
      </c>
      <c r="E1464" s="44"/>
      <c r="F1464" s="59"/>
      <c r="G1464" s="318">
        <f t="shared" si="239"/>
        <v>0</v>
      </c>
    </row>
    <row r="1465" spans="1:7" ht="24" x14ac:dyDescent="0.2">
      <c r="A1465" s="324" t="s">
        <v>176</v>
      </c>
      <c r="B1465" s="251" t="s">
        <v>346</v>
      </c>
      <c r="C1465" s="281" t="s">
        <v>114</v>
      </c>
      <c r="D1465" s="189">
        <v>1</v>
      </c>
      <c r="E1465" s="44"/>
      <c r="F1465" s="59"/>
      <c r="G1465" s="318">
        <f t="shared" si="239"/>
        <v>0</v>
      </c>
    </row>
    <row r="1466" spans="1:7" x14ac:dyDescent="0.2">
      <c r="A1466" s="324" t="s">
        <v>177</v>
      </c>
      <c r="B1466" s="251" t="s">
        <v>347</v>
      </c>
      <c r="C1466" s="281" t="s">
        <v>114</v>
      </c>
      <c r="D1466" s="189">
        <v>1</v>
      </c>
      <c r="E1466" s="44"/>
      <c r="F1466" s="59"/>
      <c r="G1466" s="318">
        <f t="shared" si="239"/>
        <v>0</v>
      </c>
    </row>
    <row r="1467" spans="1:7" x14ac:dyDescent="0.2">
      <c r="A1467" s="324" t="s">
        <v>178</v>
      </c>
      <c r="B1467" s="251" t="s">
        <v>348</v>
      </c>
      <c r="C1467" s="281" t="s">
        <v>114</v>
      </c>
      <c r="D1467" s="189">
        <v>8</v>
      </c>
      <c r="E1467" s="44"/>
      <c r="F1467" s="59"/>
      <c r="G1467" s="318">
        <f t="shared" si="239"/>
        <v>0</v>
      </c>
    </row>
    <row r="1468" spans="1:7" x14ac:dyDescent="0.2">
      <c r="A1468" s="324" t="s">
        <v>179</v>
      </c>
      <c r="B1468" s="251" t="s">
        <v>349</v>
      </c>
      <c r="C1468" s="281" t="s">
        <v>114</v>
      </c>
      <c r="D1468" s="189">
        <v>1</v>
      </c>
      <c r="E1468" s="44"/>
      <c r="F1468" s="59"/>
      <c r="G1468" s="318">
        <f t="shared" si="239"/>
        <v>0</v>
      </c>
    </row>
    <row r="1469" spans="1:7" x14ac:dyDescent="0.2">
      <c r="A1469" s="324" t="s">
        <v>180</v>
      </c>
      <c r="B1469" s="251" t="s">
        <v>350</v>
      </c>
      <c r="C1469" s="281" t="s">
        <v>114</v>
      </c>
      <c r="D1469" s="189">
        <v>1</v>
      </c>
      <c r="E1469" s="44"/>
      <c r="F1469" s="59"/>
      <c r="G1469" s="318">
        <f t="shared" si="239"/>
        <v>0</v>
      </c>
    </row>
    <row r="1470" spans="1:7" x14ac:dyDescent="0.2">
      <c r="A1470" s="324"/>
      <c r="B1470" s="251"/>
      <c r="C1470" s="281"/>
      <c r="D1470" s="189"/>
      <c r="E1470" s="44"/>
      <c r="F1470" s="59"/>
      <c r="G1470" s="318"/>
    </row>
    <row r="1471" spans="1:7" x14ac:dyDescent="0.2">
      <c r="A1471" s="324"/>
      <c r="B1471" s="251"/>
      <c r="C1471" s="281"/>
      <c r="D1471" s="189"/>
      <c r="E1471" s="44"/>
      <c r="F1471" s="59"/>
      <c r="G1471" s="318"/>
    </row>
    <row r="1472" spans="1:7" ht="12.75" thickBot="1" x14ac:dyDescent="0.25">
      <c r="A1472" s="347"/>
      <c r="B1472" s="397"/>
      <c r="C1472" s="402"/>
      <c r="D1472" s="406"/>
      <c r="E1472" s="77"/>
      <c r="F1472" s="155"/>
      <c r="G1472" s="320"/>
    </row>
    <row r="1473" spans="1:7" x14ac:dyDescent="0.2">
      <c r="A1473" s="324"/>
      <c r="B1473" s="251"/>
      <c r="C1473" s="281"/>
      <c r="D1473" s="189"/>
      <c r="E1473" s="44"/>
      <c r="F1473" s="59"/>
      <c r="G1473" s="318"/>
    </row>
    <row r="1474" spans="1:7" x14ac:dyDescent="0.2">
      <c r="A1474" s="332">
        <v>5</v>
      </c>
      <c r="B1474" s="333" t="s">
        <v>466</v>
      </c>
      <c r="C1474" s="334"/>
      <c r="D1474" s="335"/>
      <c r="E1474" s="336"/>
      <c r="F1474" s="337"/>
      <c r="G1474" s="338"/>
    </row>
    <row r="1475" spans="1:7" x14ac:dyDescent="0.2">
      <c r="A1475" s="339" t="s">
        <v>185</v>
      </c>
      <c r="B1475" s="340" t="s">
        <v>341</v>
      </c>
      <c r="C1475" s="330"/>
      <c r="D1475" s="331"/>
      <c r="E1475" s="290"/>
      <c r="F1475" s="203"/>
      <c r="G1475" s="318">
        <f t="shared" ref="G1475:G1482" si="240">+D1475*E1475+D1475*F1475</f>
        <v>0</v>
      </c>
    </row>
    <row r="1476" spans="1:7" x14ac:dyDescent="0.2">
      <c r="A1476" s="324" t="s">
        <v>164</v>
      </c>
      <c r="B1476" s="251" t="s">
        <v>344</v>
      </c>
      <c r="C1476" s="281" t="s">
        <v>114</v>
      </c>
      <c r="D1476" s="189">
        <v>1</v>
      </c>
      <c r="E1476" s="44"/>
      <c r="F1476" s="59"/>
      <c r="G1476" s="318">
        <f t="shared" si="240"/>
        <v>0</v>
      </c>
    </row>
    <row r="1477" spans="1:7" x14ac:dyDescent="0.2">
      <c r="A1477" s="324" t="s">
        <v>165</v>
      </c>
      <c r="B1477" s="251" t="s">
        <v>345</v>
      </c>
      <c r="C1477" s="281" t="s">
        <v>114</v>
      </c>
      <c r="D1477" s="189">
        <v>8</v>
      </c>
      <c r="E1477" s="44"/>
      <c r="F1477" s="59"/>
      <c r="G1477" s="318">
        <f t="shared" si="240"/>
        <v>0</v>
      </c>
    </row>
    <row r="1478" spans="1:7" ht="24" x14ac:dyDescent="0.2">
      <c r="A1478" s="324" t="s">
        <v>176</v>
      </c>
      <c r="B1478" s="251" t="s">
        <v>346</v>
      </c>
      <c r="C1478" s="281" t="s">
        <v>114</v>
      </c>
      <c r="D1478" s="189">
        <v>1</v>
      </c>
      <c r="E1478" s="44"/>
      <c r="F1478" s="59"/>
      <c r="G1478" s="318">
        <f t="shared" si="240"/>
        <v>0</v>
      </c>
    </row>
    <row r="1479" spans="1:7" x14ac:dyDescent="0.2">
      <c r="A1479" s="324" t="s">
        <v>177</v>
      </c>
      <c r="B1479" s="251" t="s">
        <v>347</v>
      </c>
      <c r="C1479" s="281" t="s">
        <v>114</v>
      </c>
      <c r="D1479" s="189">
        <v>1</v>
      </c>
      <c r="E1479" s="44"/>
      <c r="F1479" s="59"/>
      <c r="G1479" s="318">
        <f t="shared" si="240"/>
        <v>0</v>
      </c>
    </row>
    <row r="1480" spans="1:7" x14ac:dyDescent="0.2">
      <c r="A1480" s="324" t="s">
        <v>178</v>
      </c>
      <c r="B1480" s="251" t="s">
        <v>348</v>
      </c>
      <c r="C1480" s="281" t="s">
        <v>114</v>
      </c>
      <c r="D1480" s="189">
        <v>8</v>
      </c>
      <c r="E1480" s="44"/>
      <c r="F1480" s="59"/>
      <c r="G1480" s="318">
        <f t="shared" si="240"/>
        <v>0</v>
      </c>
    </row>
    <row r="1481" spans="1:7" x14ac:dyDescent="0.2">
      <c r="A1481" s="324" t="s">
        <v>179</v>
      </c>
      <c r="B1481" s="251" t="s">
        <v>349</v>
      </c>
      <c r="C1481" s="281" t="s">
        <v>114</v>
      </c>
      <c r="D1481" s="189">
        <v>1</v>
      </c>
      <c r="E1481" s="44"/>
      <c r="F1481" s="59"/>
      <c r="G1481" s="318">
        <f t="shared" si="240"/>
        <v>0</v>
      </c>
    </row>
    <row r="1482" spans="1:7" x14ac:dyDescent="0.2">
      <c r="A1482" s="324" t="s">
        <v>180</v>
      </c>
      <c r="B1482" s="251" t="s">
        <v>350</v>
      </c>
      <c r="C1482" s="281" t="s">
        <v>114</v>
      </c>
      <c r="D1482" s="189">
        <v>1</v>
      </c>
      <c r="E1482" s="44"/>
      <c r="F1482" s="59"/>
      <c r="G1482" s="318">
        <f t="shared" si="240"/>
        <v>0</v>
      </c>
    </row>
    <row r="1483" spans="1:7" x14ac:dyDescent="0.2">
      <c r="A1483" s="341"/>
      <c r="B1483" s="342"/>
      <c r="C1483" s="343"/>
      <c r="D1483" s="331"/>
      <c r="E1483" s="344"/>
      <c r="F1483" s="345"/>
      <c r="G1483" s="318"/>
    </row>
    <row r="1484" spans="1:7" x14ac:dyDescent="0.2">
      <c r="A1484" s="341"/>
      <c r="B1484" s="342"/>
      <c r="C1484" s="343"/>
      <c r="D1484" s="331"/>
      <c r="E1484" s="344"/>
      <c r="F1484" s="345"/>
      <c r="G1484" s="318"/>
    </row>
    <row r="1485" spans="1:7" x14ac:dyDescent="0.2">
      <c r="A1485" s="341"/>
      <c r="B1485" s="342"/>
      <c r="C1485" s="343"/>
      <c r="D1485" s="331"/>
      <c r="E1485" s="344"/>
      <c r="F1485" s="345"/>
      <c r="G1485" s="318"/>
    </row>
    <row r="1486" spans="1:7" x14ac:dyDescent="0.2">
      <c r="A1486" s="341"/>
      <c r="B1486" s="342"/>
      <c r="C1486" s="343"/>
      <c r="D1486" s="331"/>
      <c r="E1486" s="344"/>
      <c r="F1486" s="345"/>
      <c r="G1486" s="318"/>
    </row>
    <row r="1487" spans="1:7" x14ac:dyDescent="0.2">
      <c r="A1487" s="341"/>
      <c r="B1487" s="342"/>
      <c r="C1487" s="343"/>
      <c r="D1487" s="331"/>
      <c r="E1487" s="344"/>
      <c r="F1487" s="345"/>
      <c r="G1487" s="318"/>
    </row>
    <row r="1488" spans="1:7" x14ac:dyDescent="0.2">
      <c r="A1488" s="341"/>
      <c r="B1488" s="342"/>
      <c r="C1488" s="343"/>
      <c r="D1488" s="331"/>
      <c r="E1488" s="344"/>
      <c r="F1488" s="345"/>
      <c r="G1488" s="318"/>
    </row>
    <row r="1489" spans="1:7" x14ac:dyDescent="0.2">
      <c r="A1489" s="341"/>
      <c r="B1489" s="342"/>
      <c r="C1489" s="343"/>
      <c r="D1489" s="331"/>
      <c r="E1489" s="344"/>
      <c r="F1489" s="345"/>
      <c r="G1489" s="318"/>
    </row>
    <row r="1490" spans="1:7" x14ac:dyDescent="0.2">
      <c r="A1490" s="341"/>
      <c r="B1490" s="342"/>
      <c r="C1490" s="343"/>
      <c r="D1490" s="331"/>
      <c r="E1490" s="344"/>
      <c r="F1490" s="345"/>
      <c r="G1490" s="318"/>
    </row>
    <row r="1491" spans="1:7" x14ac:dyDescent="0.2">
      <c r="A1491" s="341"/>
      <c r="B1491" s="342"/>
      <c r="C1491" s="343"/>
      <c r="D1491" s="331"/>
      <c r="E1491" s="344"/>
      <c r="F1491" s="345"/>
      <c r="G1491" s="318"/>
    </row>
    <row r="1492" spans="1:7" x14ac:dyDescent="0.2">
      <c r="A1492" s="341"/>
      <c r="B1492" s="342"/>
      <c r="C1492" s="343"/>
      <c r="D1492" s="331"/>
      <c r="E1492" s="344"/>
      <c r="F1492" s="345"/>
      <c r="G1492" s="318"/>
    </row>
    <row r="1493" spans="1:7" x14ac:dyDescent="0.2">
      <c r="A1493" s="341"/>
      <c r="B1493" s="342"/>
      <c r="C1493" s="343"/>
      <c r="D1493" s="331"/>
      <c r="E1493" s="344"/>
      <c r="F1493" s="345"/>
      <c r="G1493" s="318"/>
    </row>
    <row r="1494" spans="1:7" x14ac:dyDescent="0.2">
      <c r="A1494" s="341"/>
      <c r="B1494" s="342"/>
      <c r="C1494" s="343"/>
      <c r="D1494" s="331"/>
      <c r="E1494" s="344"/>
      <c r="F1494" s="345"/>
      <c r="G1494" s="318"/>
    </row>
    <row r="1495" spans="1:7" x14ac:dyDescent="0.2">
      <c r="A1495" s="341"/>
      <c r="B1495" s="342"/>
      <c r="C1495" s="343"/>
      <c r="D1495" s="331"/>
      <c r="E1495" s="344"/>
      <c r="F1495" s="345"/>
      <c r="G1495" s="318"/>
    </row>
    <row r="1496" spans="1:7" x14ac:dyDescent="0.2">
      <c r="A1496" s="341"/>
      <c r="B1496" s="342"/>
      <c r="C1496" s="343"/>
      <c r="D1496" s="331"/>
      <c r="E1496" s="344"/>
      <c r="F1496" s="345"/>
      <c r="G1496" s="318"/>
    </row>
    <row r="1497" spans="1:7" x14ac:dyDescent="0.2">
      <c r="A1497" s="341"/>
      <c r="B1497" s="342"/>
      <c r="C1497" s="343"/>
      <c r="D1497" s="331"/>
      <c r="E1497" s="344"/>
      <c r="F1497" s="345"/>
      <c r="G1497" s="318"/>
    </row>
    <row r="1498" spans="1:7" x14ac:dyDescent="0.2">
      <c r="A1498" s="341"/>
      <c r="B1498" s="342"/>
      <c r="C1498" s="343"/>
      <c r="D1498" s="331"/>
      <c r="E1498" s="344"/>
      <c r="F1498" s="345"/>
      <c r="G1498" s="318"/>
    </row>
    <row r="1499" spans="1:7" x14ac:dyDescent="0.2">
      <c r="A1499" s="341"/>
      <c r="B1499" s="342"/>
      <c r="C1499" s="343"/>
      <c r="D1499" s="331"/>
      <c r="E1499" s="344"/>
      <c r="F1499" s="345"/>
      <c r="G1499" s="318"/>
    </row>
    <row r="1500" spans="1:7" x14ac:dyDescent="0.2">
      <c r="A1500" s="341"/>
      <c r="B1500" s="342"/>
      <c r="C1500" s="343"/>
      <c r="D1500" s="331"/>
      <c r="E1500" s="344"/>
      <c r="F1500" s="345"/>
      <c r="G1500" s="318"/>
    </row>
    <row r="1501" spans="1:7" x14ac:dyDescent="0.2">
      <c r="A1501" s="341"/>
      <c r="B1501" s="342"/>
      <c r="C1501" s="343"/>
      <c r="D1501" s="331"/>
      <c r="E1501" s="344"/>
      <c r="F1501" s="345"/>
      <c r="G1501" s="318"/>
    </row>
    <row r="1502" spans="1:7" x14ac:dyDescent="0.2">
      <c r="A1502" s="341"/>
      <c r="B1502" s="342"/>
      <c r="C1502" s="343"/>
      <c r="D1502" s="331"/>
      <c r="E1502" s="344"/>
      <c r="F1502" s="345"/>
      <c r="G1502" s="318"/>
    </row>
    <row r="1503" spans="1:7" x14ac:dyDescent="0.2">
      <c r="A1503" s="341"/>
      <c r="B1503" s="342"/>
      <c r="C1503" s="343"/>
      <c r="D1503" s="331"/>
      <c r="E1503" s="344"/>
      <c r="F1503" s="345"/>
      <c r="G1503" s="318"/>
    </row>
    <row r="1504" spans="1:7" x14ac:dyDescent="0.2">
      <c r="A1504" s="341"/>
      <c r="B1504" s="342"/>
      <c r="C1504" s="343"/>
      <c r="D1504" s="331"/>
      <c r="E1504" s="344"/>
      <c r="F1504" s="345"/>
      <c r="G1504" s="318"/>
    </row>
    <row r="1505" spans="1:7" x14ac:dyDescent="0.2">
      <c r="A1505" s="341"/>
      <c r="B1505" s="342"/>
      <c r="C1505" s="343"/>
      <c r="D1505" s="331"/>
      <c r="E1505" s="344"/>
      <c r="F1505" s="345"/>
      <c r="G1505" s="318"/>
    </row>
    <row r="1506" spans="1:7" x14ac:dyDescent="0.2">
      <c r="A1506" s="341"/>
      <c r="B1506" s="342"/>
      <c r="C1506" s="343"/>
      <c r="D1506" s="331"/>
      <c r="E1506" s="344"/>
      <c r="F1506" s="345"/>
      <c r="G1506" s="318"/>
    </row>
    <row r="1507" spans="1:7" x14ac:dyDescent="0.2">
      <c r="A1507" s="341"/>
      <c r="B1507" s="342"/>
      <c r="C1507" s="343"/>
      <c r="D1507" s="331"/>
      <c r="E1507" s="344"/>
      <c r="F1507" s="345"/>
      <c r="G1507" s="318"/>
    </row>
    <row r="1508" spans="1:7" x14ac:dyDescent="0.2">
      <c r="A1508" s="341"/>
      <c r="B1508" s="342"/>
      <c r="C1508" s="343"/>
      <c r="D1508" s="331"/>
      <c r="E1508" s="344"/>
      <c r="F1508" s="345"/>
      <c r="G1508" s="318"/>
    </row>
    <row r="1509" spans="1:7" x14ac:dyDescent="0.2">
      <c r="A1509" s="341"/>
      <c r="B1509" s="342"/>
      <c r="C1509" s="343"/>
      <c r="D1509" s="331"/>
      <c r="E1509" s="344"/>
      <c r="F1509" s="345"/>
      <c r="G1509" s="318"/>
    </row>
    <row r="1510" spans="1:7" x14ac:dyDescent="0.2">
      <c r="A1510" s="341"/>
      <c r="B1510" s="342"/>
      <c r="C1510" s="343"/>
      <c r="D1510" s="331"/>
      <c r="E1510" s="344"/>
      <c r="F1510" s="345"/>
      <c r="G1510" s="318"/>
    </row>
    <row r="1511" spans="1:7" x14ac:dyDescent="0.2">
      <c r="A1511" s="341"/>
      <c r="B1511" s="342"/>
      <c r="C1511" s="343"/>
      <c r="D1511" s="331"/>
      <c r="E1511" s="344"/>
      <c r="F1511" s="345"/>
      <c r="G1511" s="318"/>
    </row>
    <row r="1512" spans="1:7" x14ac:dyDescent="0.2">
      <c r="A1512" s="341"/>
      <c r="B1512" s="342"/>
      <c r="C1512" s="343"/>
      <c r="D1512" s="331"/>
      <c r="E1512" s="344"/>
      <c r="F1512" s="345"/>
      <c r="G1512" s="318"/>
    </row>
    <row r="1513" spans="1:7" x14ac:dyDescent="0.2">
      <c r="A1513" s="341"/>
      <c r="B1513" s="342"/>
      <c r="C1513" s="343"/>
      <c r="D1513" s="331"/>
      <c r="E1513" s="344"/>
      <c r="F1513" s="345"/>
      <c r="G1513" s="318"/>
    </row>
    <row r="1514" spans="1:7" x14ac:dyDescent="0.2">
      <c r="A1514" s="341"/>
      <c r="B1514" s="342"/>
      <c r="C1514" s="343"/>
      <c r="D1514" s="331"/>
      <c r="E1514" s="344"/>
      <c r="F1514" s="345"/>
      <c r="G1514" s="318"/>
    </row>
    <row r="1515" spans="1:7" x14ac:dyDescent="0.2">
      <c r="A1515" s="341"/>
      <c r="B1515" s="342"/>
      <c r="C1515" s="343"/>
      <c r="D1515" s="331"/>
      <c r="E1515" s="344"/>
      <c r="F1515" s="345"/>
      <c r="G1515" s="318"/>
    </row>
    <row r="1516" spans="1:7" x14ac:dyDescent="0.2">
      <c r="A1516" s="341"/>
      <c r="B1516" s="342"/>
      <c r="C1516" s="343"/>
      <c r="D1516" s="331"/>
      <c r="E1516" s="344"/>
      <c r="F1516" s="345"/>
      <c r="G1516" s="318"/>
    </row>
    <row r="1517" spans="1:7" x14ac:dyDescent="0.2">
      <c r="A1517" s="341"/>
      <c r="B1517" s="342"/>
      <c r="C1517" s="343"/>
      <c r="D1517" s="331"/>
      <c r="E1517" s="344"/>
      <c r="F1517" s="345"/>
      <c r="G1517" s="318"/>
    </row>
    <row r="1518" spans="1:7" x14ac:dyDescent="0.2">
      <c r="A1518" s="341"/>
      <c r="B1518" s="342"/>
      <c r="C1518" s="343"/>
      <c r="D1518" s="331"/>
      <c r="E1518" s="344"/>
      <c r="F1518" s="345"/>
      <c r="G1518" s="318"/>
    </row>
    <row r="1519" spans="1:7" x14ac:dyDescent="0.2">
      <c r="A1519" s="341"/>
      <c r="B1519" s="342"/>
      <c r="C1519" s="343"/>
      <c r="D1519" s="331"/>
      <c r="E1519" s="344"/>
      <c r="F1519" s="345"/>
      <c r="G1519" s="318"/>
    </row>
    <row r="1520" spans="1:7" x14ac:dyDescent="0.2">
      <c r="A1520" s="341"/>
      <c r="B1520" s="342"/>
      <c r="C1520" s="343"/>
      <c r="D1520" s="331"/>
      <c r="E1520" s="344"/>
      <c r="F1520" s="345"/>
      <c r="G1520" s="318"/>
    </row>
    <row r="1521" spans="1:7" x14ac:dyDescent="0.2">
      <c r="A1521" s="341"/>
      <c r="B1521" s="342"/>
      <c r="C1521" s="343"/>
      <c r="D1521" s="331"/>
      <c r="E1521" s="344"/>
      <c r="F1521" s="345"/>
      <c r="G1521" s="318"/>
    </row>
    <row r="1522" spans="1:7" x14ac:dyDescent="0.2">
      <c r="A1522" s="341"/>
      <c r="B1522" s="342"/>
      <c r="C1522" s="343"/>
      <c r="D1522" s="331"/>
      <c r="E1522" s="344"/>
      <c r="F1522" s="345"/>
      <c r="G1522" s="318"/>
    </row>
    <row r="1523" spans="1:7" x14ac:dyDescent="0.2">
      <c r="A1523" s="341"/>
      <c r="B1523" s="342"/>
      <c r="C1523" s="343"/>
      <c r="D1523" s="331"/>
      <c r="E1523" s="344"/>
      <c r="F1523" s="345"/>
      <c r="G1523" s="318"/>
    </row>
    <row r="1524" spans="1:7" x14ac:dyDescent="0.2">
      <c r="A1524" s="341"/>
      <c r="B1524" s="342"/>
      <c r="C1524" s="343"/>
      <c r="D1524" s="331"/>
      <c r="E1524" s="344"/>
      <c r="F1524" s="345"/>
      <c r="G1524" s="318"/>
    </row>
    <row r="1525" spans="1:7" x14ac:dyDescent="0.2">
      <c r="A1525" s="341"/>
      <c r="B1525" s="342"/>
      <c r="C1525" s="343"/>
      <c r="D1525" s="331"/>
      <c r="E1525" s="344"/>
      <c r="F1525" s="345"/>
      <c r="G1525" s="318"/>
    </row>
    <row r="1526" spans="1:7" x14ac:dyDescent="0.2">
      <c r="A1526" s="341"/>
      <c r="B1526" s="342"/>
      <c r="C1526" s="343"/>
      <c r="D1526" s="331"/>
      <c r="E1526" s="344"/>
      <c r="F1526" s="345"/>
      <c r="G1526" s="318"/>
    </row>
    <row r="1527" spans="1:7" x14ac:dyDescent="0.2">
      <c r="A1527" s="341"/>
      <c r="B1527" s="188"/>
      <c r="C1527" s="343"/>
      <c r="D1527" s="331"/>
      <c r="E1527" s="344"/>
      <c r="F1527" s="345"/>
      <c r="G1527" s="318"/>
    </row>
    <row r="1528" spans="1:7" ht="12.75" thickBot="1" x14ac:dyDescent="0.25">
      <c r="A1528" s="341"/>
      <c r="B1528" s="342"/>
      <c r="C1528" s="343"/>
      <c r="D1528" s="331"/>
      <c r="E1528" s="344"/>
      <c r="F1528" s="345"/>
      <c r="G1528" s="318"/>
    </row>
    <row r="1529" spans="1:7" x14ac:dyDescent="0.2">
      <c r="A1529" s="346"/>
      <c r="B1529" s="69" t="s">
        <v>351</v>
      </c>
      <c r="C1529" s="321"/>
      <c r="D1529" s="191"/>
      <c r="E1529" s="323"/>
      <c r="F1529" s="191"/>
      <c r="G1529" s="192"/>
    </row>
    <row r="1530" spans="1:7" ht="12.75" thickBot="1" x14ac:dyDescent="0.25">
      <c r="A1530" s="347"/>
      <c r="B1530" s="74" t="s">
        <v>352</v>
      </c>
      <c r="C1530" s="153"/>
      <c r="D1530" s="155"/>
      <c r="E1530" s="183"/>
      <c r="F1530" s="155"/>
      <c r="G1530" s="193">
        <f>SUM(G1428:G1529)</f>
        <v>0</v>
      </c>
    </row>
    <row r="1531" spans="1:7" x14ac:dyDescent="0.2">
      <c r="A1531" s="324"/>
      <c r="B1531" s="80"/>
      <c r="C1531" s="143"/>
      <c r="D1531" s="59"/>
      <c r="E1531" s="92"/>
      <c r="F1531" s="59"/>
      <c r="G1531" s="150"/>
    </row>
    <row r="1532" spans="1:7" x14ac:dyDescent="0.2">
      <c r="A1532" s="324"/>
      <c r="B1532" s="41" t="s">
        <v>368</v>
      </c>
      <c r="C1532" s="143"/>
      <c r="D1532" s="59"/>
      <c r="E1532" s="92"/>
      <c r="F1532" s="59"/>
      <c r="G1532" s="150"/>
    </row>
    <row r="1533" spans="1:7" x14ac:dyDescent="0.2">
      <c r="A1533" s="324"/>
      <c r="B1533" s="49" t="s">
        <v>553</v>
      </c>
      <c r="C1533" s="143"/>
      <c r="D1533" s="59"/>
      <c r="E1533" s="92"/>
      <c r="F1533" s="59"/>
      <c r="G1533" s="150"/>
    </row>
    <row r="1534" spans="1:7" x14ac:dyDescent="0.2">
      <c r="A1534" s="324"/>
      <c r="B1534" s="80"/>
      <c r="C1534" s="143"/>
      <c r="D1534" s="59"/>
      <c r="E1534" s="92"/>
      <c r="F1534" s="59"/>
      <c r="G1534" s="150"/>
    </row>
    <row r="1535" spans="1:7" x14ac:dyDescent="0.2">
      <c r="A1535" s="324">
        <v>13.1</v>
      </c>
      <c r="B1535" s="384" t="s">
        <v>106</v>
      </c>
      <c r="C1535" s="143"/>
      <c r="D1535" s="59"/>
      <c r="E1535" s="92"/>
      <c r="F1535" s="59"/>
      <c r="G1535" s="318">
        <f t="shared" ref="G1535" si="241">+D1535*E1535+D1535*F1535</f>
        <v>0</v>
      </c>
    </row>
    <row r="1536" spans="1:7" x14ac:dyDescent="0.2">
      <c r="A1536" s="324" t="s">
        <v>554</v>
      </c>
      <c r="B1536" s="384" t="s">
        <v>425</v>
      </c>
      <c r="C1536" s="143"/>
      <c r="D1536" s="59"/>
      <c r="E1536" s="92"/>
      <c r="F1536" s="59"/>
      <c r="G1536" s="150"/>
    </row>
    <row r="1537" spans="1:10" x14ac:dyDescent="0.2">
      <c r="A1537" s="324" t="s">
        <v>426</v>
      </c>
      <c r="B1537" s="386" t="s">
        <v>427</v>
      </c>
      <c r="C1537" s="143"/>
      <c r="D1537" s="59"/>
      <c r="E1537" s="92"/>
      <c r="F1537" s="59"/>
      <c r="G1537" s="150"/>
    </row>
    <row r="1538" spans="1:10" ht="13.5" x14ac:dyDescent="0.2">
      <c r="A1538" s="324"/>
      <c r="B1538" s="385" t="s">
        <v>555</v>
      </c>
      <c r="C1538" s="143" t="s">
        <v>393</v>
      </c>
      <c r="D1538" s="59">
        <v>44.3</v>
      </c>
      <c r="E1538" s="92"/>
      <c r="F1538" s="59"/>
      <c r="G1538" s="318">
        <f t="shared" ref="G1538:G1541" si="242">+D1538*E1538+D1538*F1538</f>
        <v>0</v>
      </c>
      <c r="I1538" s="28">
        <f>10.3+4*2+1.95*2+1.675*4+0.85*2+1.1*2</f>
        <v>32.799999999999997</v>
      </c>
      <c r="J1538" s="28">
        <f>I1538*1.35</f>
        <v>44.28</v>
      </c>
    </row>
    <row r="1539" spans="1:10" x14ac:dyDescent="0.2">
      <c r="A1539" s="324" t="s">
        <v>424</v>
      </c>
      <c r="B1539" s="384" t="s">
        <v>107</v>
      </c>
      <c r="C1539" s="143"/>
      <c r="D1539" s="59"/>
      <c r="E1539" s="92"/>
      <c r="F1539" s="59"/>
      <c r="G1539" s="318">
        <f t="shared" si="242"/>
        <v>0</v>
      </c>
    </row>
    <row r="1540" spans="1:10" ht="13.5" x14ac:dyDescent="0.2">
      <c r="A1540" s="324"/>
      <c r="B1540" s="385" t="s">
        <v>556</v>
      </c>
      <c r="C1540" s="143" t="s">
        <v>393</v>
      </c>
      <c r="D1540" s="59">
        <v>88.6</v>
      </c>
      <c r="E1540" s="92"/>
      <c r="F1540" s="59"/>
      <c r="G1540" s="318">
        <f t="shared" ref="G1540" si="243">+D1540*E1540+D1540*F1540</f>
        <v>0</v>
      </c>
      <c r="I1540" s="28">
        <f>10.3+4*2+1.95*2+1.675*4+0.85*2+1.1*2</f>
        <v>32.799999999999997</v>
      </c>
      <c r="J1540" s="28">
        <f>I1540*1.35*2</f>
        <v>88.56</v>
      </c>
    </row>
    <row r="1541" spans="1:10" x14ac:dyDescent="0.2">
      <c r="A1541" s="324">
        <v>13.2</v>
      </c>
      <c r="B1541" s="384" t="s">
        <v>428</v>
      </c>
      <c r="C1541" s="143"/>
      <c r="D1541" s="59"/>
      <c r="E1541" s="92"/>
      <c r="F1541" s="59"/>
      <c r="G1541" s="318">
        <f t="shared" si="242"/>
        <v>0</v>
      </c>
    </row>
    <row r="1542" spans="1:10" x14ac:dyDescent="0.2">
      <c r="A1542" s="244"/>
      <c r="B1542" s="245"/>
      <c r="C1542" s="246"/>
      <c r="D1542" s="247"/>
      <c r="E1542" s="248"/>
      <c r="F1542" s="249"/>
      <c r="G1542" s="250"/>
    </row>
    <row r="1543" spans="1:10" x14ac:dyDescent="0.2">
      <c r="A1543" s="63" t="s">
        <v>185</v>
      </c>
      <c r="B1543" s="251" t="s">
        <v>557</v>
      </c>
      <c r="C1543" s="252" t="s">
        <v>114</v>
      </c>
      <c r="D1543" s="57">
        <v>3</v>
      </c>
      <c r="E1543" s="44"/>
      <c r="F1543" s="103"/>
      <c r="G1543" s="104">
        <f t="shared" ref="G1543" si="244">(D1543*E1543)+(D1543*F1543)</f>
        <v>0</v>
      </c>
    </row>
    <row r="1544" spans="1:10" x14ac:dyDescent="0.2">
      <c r="A1544" s="324"/>
      <c r="B1544" s="385"/>
      <c r="C1544" s="143"/>
      <c r="D1544" s="59"/>
      <c r="E1544" s="92"/>
      <c r="F1544" s="59"/>
      <c r="G1544" s="60"/>
    </row>
    <row r="1545" spans="1:10" x14ac:dyDescent="0.2">
      <c r="A1545" s="324">
        <v>13.3</v>
      </c>
      <c r="B1545" s="384" t="s">
        <v>95</v>
      </c>
      <c r="C1545" s="143"/>
      <c r="D1545" s="59"/>
      <c r="E1545" s="92"/>
      <c r="F1545" s="59"/>
      <c r="G1545" s="318">
        <f t="shared" ref="G1545" si="245">+D1545*E1545+D1545*F1545</f>
        <v>0</v>
      </c>
    </row>
    <row r="1546" spans="1:10" ht="13.5" x14ac:dyDescent="0.2">
      <c r="A1546" s="63"/>
      <c r="B1546" s="385" t="s">
        <v>429</v>
      </c>
      <c r="C1546" s="143" t="s">
        <v>393</v>
      </c>
      <c r="D1546" s="59">
        <f>D1540</f>
        <v>88.6</v>
      </c>
      <c r="E1546" s="92"/>
      <c r="F1546" s="59"/>
      <c r="G1546" s="318">
        <f t="shared" ref="G1546" si="246">+D1546*E1546+D1546*F1546</f>
        <v>0</v>
      </c>
    </row>
    <row r="1547" spans="1:10" x14ac:dyDescent="0.2">
      <c r="A1547" s="63"/>
      <c r="B1547" s="385"/>
      <c r="C1547" s="143"/>
      <c r="D1547" s="59"/>
      <c r="E1547" s="92"/>
      <c r="F1547" s="59"/>
      <c r="G1547" s="318"/>
    </row>
    <row r="1548" spans="1:10" x14ac:dyDescent="0.2">
      <c r="A1548" s="324">
        <v>13.4</v>
      </c>
      <c r="B1548" s="384" t="s">
        <v>311</v>
      </c>
      <c r="C1548" s="143"/>
      <c r="D1548" s="59"/>
      <c r="E1548" s="92"/>
      <c r="F1548" s="59"/>
      <c r="G1548" s="318">
        <f t="shared" ref="G1548:G1549" si="247">+D1548*E1548+D1548*F1548</f>
        <v>0</v>
      </c>
    </row>
    <row r="1549" spans="1:10" x14ac:dyDescent="0.2">
      <c r="A1549" s="63"/>
      <c r="B1549" s="385" t="s">
        <v>558</v>
      </c>
      <c r="C1549" s="143" t="s">
        <v>126</v>
      </c>
      <c r="D1549" s="59">
        <v>150.4</v>
      </c>
      <c r="E1549" s="92"/>
      <c r="F1549" s="59"/>
      <c r="G1549" s="318">
        <f t="shared" si="247"/>
        <v>0</v>
      </c>
      <c r="I1549" s="28">
        <f>8.5*8+10.3*8</f>
        <v>150.4</v>
      </c>
    </row>
    <row r="1550" spans="1:10" ht="13.5" x14ac:dyDescent="0.2">
      <c r="A1550" s="324"/>
      <c r="B1550" s="385" t="s">
        <v>561</v>
      </c>
      <c r="C1550" s="143" t="s">
        <v>393</v>
      </c>
      <c r="D1550" s="59">
        <v>50.6</v>
      </c>
      <c r="E1550" s="92"/>
      <c r="F1550" s="59"/>
      <c r="G1550" s="60"/>
      <c r="I1550" s="169">
        <f>D1550+5.4</f>
        <v>56</v>
      </c>
    </row>
    <row r="1551" spans="1:10" x14ac:dyDescent="0.2">
      <c r="A1551" s="324">
        <v>13.5</v>
      </c>
      <c r="B1551" s="384" t="s">
        <v>559</v>
      </c>
      <c r="C1551" s="143"/>
      <c r="D1551" s="59"/>
      <c r="E1551" s="92"/>
      <c r="F1551" s="59"/>
      <c r="G1551" s="318">
        <f t="shared" ref="G1551" si="248">+D1551*E1551+D1551*F1551</f>
        <v>0</v>
      </c>
    </row>
    <row r="1552" spans="1:10" ht="13.5" x14ac:dyDescent="0.2">
      <c r="A1552" s="364"/>
      <c r="B1552" s="370" t="s">
        <v>560</v>
      </c>
      <c r="C1552" s="143" t="s">
        <v>393</v>
      </c>
      <c r="D1552" s="355">
        <v>50.6</v>
      </c>
      <c r="E1552" s="208"/>
      <c r="F1552" s="316"/>
      <c r="G1552" s="217"/>
    </row>
    <row r="1553" spans="1:7" x14ac:dyDescent="0.2">
      <c r="A1553" s="364"/>
      <c r="B1553" s="365"/>
      <c r="C1553" s="371"/>
      <c r="D1553" s="372"/>
      <c r="E1553" s="208"/>
      <c r="F1553" s="316"/>
      <c r="G1553" s="318"/>
    </row>
    <row r="1554" spans="1:7" x14ac:dyDescent="0.2">
      <c r="A1554" s="366"/>
      <c r="B1554" s="370"/>
      <c r="C1554" s="354"/>
      <c r="D1554" s="355"/>
      <c r="E1554" s="208"/>
      <c r="F1554" s="316"/>
      <c r="G1554" s="318"/>
    </row>
    <row r="1555" spans="1:7" x14ac:dyDescent="0.2">
      <c r="A1555" s="366"/>
      <c r="B1555" s="370"/>
      <c r="C1555" s="354"/>
      <c r="D1555" s="355"/>
      <c r="E1555" s="208"/>
      <c r="F1555" s="316"/>
      <c r="G1555" s="318"/>
    </row>
    <row r="1556" spans="1:7" x14ac:dyDescent="0.2">
      <c r="A1556" s="366"/>
      <c r="B1556" s="370"/>
      <c r="C1556" s="354"/>
      <c r="D1556" s="355"/>
      <c r="E1556" s="208"/>
      <c r="F1556" s="316"/>
      <c r="G1556" s="318"/>
    </row>
    <row r="1557" spans="1:7" x14ac:dyDescent="0.2">
      <c r="A1557" s="366"/>
      <c r="B1557" s="370"/>
      <c r="C1557" s="354"/>
      <c r="D1557" s="355"/>
      <c r="E1557" s="208"/>
      <c r="F1557" s="316"/>
      <c r="G1557" s="318"/>
    </row>
    <row r="1558" spans="1:7" x14ac:dyDescent="0.2">
      <c r="A1558" s="324"/>
      <c r="B1558" s="385"/>
      <c r="C1558" s="143"/>
      <c r="D1558" s="59"/>
      <c r="E1558" s="92"/>
      <c r="F1558" s="59"/>
      <c r="G1558" s="60"/>
    </row>
    <row r="1559" spans="1:7" x14ac:dyDescent="0.2">
      <c r="A1559" s="364"/>
      <c r="B1559" s="365"/>
      <c r="C1559" s="371"/>
      <c r="D1559" s="372"/>
      <c r="E1559" s="208"/>
      <c r="F1559" s="316"/>
      <c r="G1559" s="318"/>
    </row>
    <row r="1560" spans="1:7" x14ac:dyDescent="0.2">
      <c r="A1560" s="364"/>
      <c r="B1560" s="365"/>
      <c r="C1560" s="371"/>
      <c r="D1560" s="372"/>
      <c r="E1560" s="208"/>
      <c r="F1560" s="316"/>
      <c r="G1560" s="318"/>
    </row>
    <row r="1561" spans="1:7" x14ac:dyDescent="0.2">
      <c r="A1561" s="364"/>
      <c r="B1561" s="365"/>
      <c r="C1561" s="371"/>
      <c r="D1561" s="372"/>
      <c r="E1561" s="208"/>
      <c r="F1561" s="316"/>
      <c r="G1561" s="318"/>
    </row>
    <row r="1562" spans="1:7" x14ac:dyDescent="0.2">
      <c r="A1562" s="364"/>
      <c r="B1562" s="365"/>
      <c r="C1562" s="371"/>
      <c r="D1562" s="372"/>
      <c r="E1562" s="208"/>
      <c r="F1562" s="316"/>
      <c r="G1562" s="318"/>
    </row>
    <row r="1563" spans="1:7" x14ac:dyDescent="0.2">
      <c r="A1563" s="364"/>
      <c r="B1563" s="365"/>
      <c r="C1563" s="371"/>
      <c r="D1563" s="372"/>
      <c r="E1563" s="208"/>
      <c r="F1563" s="316"/>
      <c r="G1563" s="318"/>
    </row>
    <row r="1564" spans="1:7" x14ac:dyDescent="0.2">
      <c r="A1564" s="364"/>
      <c r="B1564" s="365"/>
      <c r="C1564" s="371"/>
      <c r="D1564" s="372"/>
      <c r="E1564" s="208"/>
      <c r="F1564" s="316"/>
      <c r="G1564" s="318"/>
    </row>
    <row r="1565" spans="1:7" x14ac:dyDescent="0.2">
      <c r="A1565" s="364"/>
      <c r="B1565" s="365"/>
      <c r="C1565" s="371"/>
      <c r="D1565" s="372"/>
      <c r="E1565" s="208"/>
      <c r="F1565" s="316"/>
      <c r="G1565" s="318"/>
    </row>
    <row r="1566" spans="1:7" x14ac:dyDescent="0.2">
      <c r="A1566" s="364"/>
      <c r="B1566" s="365"/>
      <c r="C1566" s="371"/>
      <c r="D1566" s="372"/>
      <c r="E1566" s="208"/>
      <c r="F1566" s="316"/>
      <c r="G1566" s="318"/>
    </row>
    <row r="1567" spans="1:7" x14ac:dyDescent="0.2">
      <c r="A1567" s="364"/>
      <c r="B1567" s="365"/>
      <c r="C1567" s="371"/>
      <c r="D1567" s="372"/>
      <c r="E1567" s="208"/>
      <c r="F1567" s="316"/>
      <c r="G1567" s="318"/>
    </row>
    <row r="1568" spans="1:7" x14ac:dyDescent="0.2">
      <c r="A1568" s="364"/>
      <c r="B1568" s="365"/>
      <c r="C1568" s="371"/>
      <c r="D1568" s="372"/>
      <c r="E1568" s="208"/>
      <c r="F1568" s="316"/>
      <c r="G1568" s="318"/>
    </row>
    <row r="1569" spans="1:7" x14ac:dyDescent="0.2">
      <c r="A1569" s="364"/>
      <c r="B1569" s="365"/>
      <c r="C1569" s="371"/>
      <c r="D1569" s="372"/>
      <c r="E1569" s="208"/>
      <c r="F1569" s="316"/>
      <c r="G1569" s="318"/>
    </row>
    <row r="1570" spans="1:7" x14ac:dyDescent="0.2">
      <c r="A1570" s="364"/>
      <c r="B1570" s="365"/>
      <c r="C1570" s="371"/>
      <c r="D1570" s="372"/>
      <c r="E1570" s="208"/>
      <c r="F1570" s="316"/>
      <c r="G1570" s="318"/>
    </row>
    <row r="1571" spans="1:7" x14ac:dyDescent="0.2">
      <c r="A1571" s="364"/>
      <c r="B1571" s="365"/>
      <c r="C1571" s="371"/>
      <c r="D1571" s="372"/>
      <c r="E1571" s="208"/>
      <c r="F1571" s="316"/>
      <c r="G1571" s="318"/>
    </row>
    <row r="1572" spans="1:7" x14ac:dyDescent="0.2">
      <c r="A1572" s="364"/>
      <c r="B1572" s="365"/>
      <c r="C1572" s="371"/>
      <c r="D1572" s="372"/>
      <c r="E1572" s="208"/>
      <c r="F1572" s="316"/>
      <c r="G1572" s="318"/>
    </row>
    <row r="1573" spans="1:7" x14ac:dyDescent="0.2">
      <c r="A1573" s="364"/>
      <c r="B1573" s="365"/>
      <c r="C1573" s="371"/>
      <c r="D1573" s="372"/>
      <c r="E1573" s="208"/>
      <c r="F1573" s="316"/>
      <c r="G1573" s="318"/>
    </row>
    <row r="1574" spans="1:7" x14ac:dyDescent="0.2">
      <c r="A1574" s="364"/>
      <c r="B1574" s="365"/>
      <c r="C1574" s="371"/>
      <c r="D1574" s="372"/>
      <c r="E1574" s="208"/>
      <c r="F1574" s="316"/>
      <c r="G1574" s="318"/>
    </row>
    <row r="1575" spans="1:7" x14ac:dyDescent="0.2">
      <c r="A1575" s="364"/>
      <c r="B1575" s="365"/>
      <c r="C1575" s="371"/>
      <c r="D1575" s="372"/>
      <c r="E1575" s="208"/>
      <c r="F1575" s="316"/>
      <c r="G1575" s="318"/>
    </row>
    <row r="1576" spans="1:7" x14ac:dyDescent="0.2">
      <c r="A1576" s="364"/>
      <c r="B1576" s="365"/>
      <c r="C1576" s="371"/>
      <c r="D1576" s="372"/>
      <c r="E1576" s="208"/>
      <c r="F1576" s="316"/>
      <c r="G1576" s="318"/>
    </row>
    <row r="1577" spans="1:7" x14ac:dyDescent="0.2">
      <c r="A1577" s="364"/>
      <c r="B1577" s="365"/>
      <c r="C1577" s="371"/>
      <c r="D1577" s="372"/>
      <c r="E1577" s="208"/>
      <c r="F1577" s="316"/>
      <c r="G1577" s="318"/>
    </row>
    <row r="1578" spans="1:7" x14ac:dyDescent="0.2">
      <c r="A1578" s="364"/>
      <c r="B1578" s="365"/>
      <c r="C1578" s="371"/>
      <c r="D1578" s="372"/>
      <c r="E1578" s="208"/>
      <c r="F1578" s="316"/>
      <c r="G1578" s="318"/>
    </row>
    <row r="1579" spans="1:7" x14ac:dyDescent="0.2">
      <c r="A1579" s="364"/>
      <c r="B1579" s="365"/>
      <c r="C1579" s="371"/>
      <c r="D1579" s="372"/>
      <c r="E1579" s="208"/>
      <c r="F1579" s="316"/>
      <c r="G1579" s="318"/>
    </row>
    <row r="1580" spans="1:7" x14ac:dyDescent="0.2">
      <c r="A1580" s="364"/>
      <c r="B1580" s="365"/>
      <c r="C1580" s="371"/>
      <c r="D1580" s="372"/>
      <c r="E1580" s="208"/>
      <c r="F1580" s="316"/>
      <c r="G1580" s="318"/>
    </row>
    <row r="1581" spans="1:7" x14ac:dyDescent="0.2">
      <c r="A1581" s="364"/>
      <c r="B1581" s="365"/>
      <c r="C1581" s="371"/>
      <c r="D1581" s="372"/>
      <c r="E1581" s="208"/>
      <c r="F1581" s="316"/>
      <c r="G1581" s="318"/>
    </row>
    <row r="1582" spans="1:7" x14ac:dyDescent="0.2">
      <c r="A1582" s="364"/>
      <c r="B1582" s="365"/>
      <c r="C1582" s="371"/>
      <c r="D1582" s="372"/>
      <c r="E1582" s="208"/>
      <c r="F1582" s="316"/>
      <c r="G1582" s="318"/>
    </row>
    <row r="1583" spans="1:7" x14ac:dyDescent="0.2">
      <c r="A1583" s="364"/>
      <c r="B1583" s="365"/>
      <c r="C1583" s="371"/>
      <c r="D1583" s="372"/>
      <c r="E1583" s="208"/>
      <c r="F1583" s="316"/>
      <c r="G1583" s="318"/>
    </row>
    <row r="1584" spans="1:7" x14ac:dyDescent="0.2">
      <c r="A1584" s="364"/>
      <c r="B1584" s="365"/>
      <c r="C1584" s="371"/>
      <c r="D1584" s="372"/>
      <c r="E1584" s="208"/>
      <c r="F1584" s="316"/>
      <c r="G1584" s="318"/>
    </row>
    <row r="1585" spans="1:7" x14ac:dyDescent="0.2">
      <c r="A1585" s="364"/>
      <c r="B1585" s="365"/>
      <c r="C1585" s="371"/>
      <c r="D1585" s="372"/>
      <c r="E1585" s="208"/>
      <c r="F1585" s="316"/>
      <c r="G1585" s="318"/>
    </row>
    <row r="1586" spans="1:7" x14ac:dyDescent="0.2">
      <c r="A1586" s="364"/>
      <c r="B1586" s="365"/>
      <c r="C1586" s="371"/>
      <c r="D1586" s="372"/>
      <c r="E1586" s="208"/>
      <c r="F1586" s="316"/>
      <c r="G1586" s="318"/>
    </row>
    <row r="1587" spans="1:7" ht="12.75" thickBot="1" x14ac:dyDescent="0.25">
      <c r="A1587" s="364"/>
      <c r="B1587" s="365"/>
      <c r="C1587" s="371"/>
      <c r="D1587" s="372"/>
      <c r="E1587" s="208"/>
      <c r="F1587" s="316"/>
      <c r="G1587" s="318"/>
    </row>
    <row r="1588" spans="1:7" x14ac:dyDescent="0.2">
      <c r="A1588" s="346"/>
      <c r="B1588" s="69" t="s">
        <v>572</v>
      </c>
      <c r="C1588" s="321"/>
      <c r="D1588" s="191"/>
      <c r="E1588" s="323"/>
      <c r="F1588" s="191"/>
      <c r="G1588" s="192"/>
    </row>
    <row r="1589" spans="1:7" ht="12.75" thickBot="1" x14ac:dyDescent="0.25">
      <c r="A1589" s="347"/>
      <c r="B1589" s="74" t="s">
        <v>370</v>
      </c>
      <c r="C1589" s="153"/>
      <c r="D1589" s="155"/>
      <c r="E1589" s="183"/>
      <c r="F1589" s="155"/>
      <c r="G1589" s="193">
        <f>SUM(G1534:G1588)</f>
        <v>0</v>
      </c>
    </row>
    <row r="1590" spans="1:7" x14ac:dyDescent="0.2">
      <c r="A1590" s="324"/>
      <c r="B1590" s="385"/>
      <c r="C1590" s="143"/>
      <c r="D1590" s="59"/>
      <c r="E1590" s="92"/>
      <c r="F1590" s="59"/>
      <c r="G1590" s="60"/>
    </row>
    <row r="1591" spans="1:7" x14ac:dyDescent="0.2">
      <c r="A1591" s="324"/>
      <c r="B1591" s="41" t="s">
        <v>371</v>
      </c>
      <c r="C1591" s="56"/>
      <c r="D1591" s="189"/>
      <c r="E1591" s="44"/>
      <c r="F1591" s="59"/>
      <c r="G1591" s="60"/>
    </row>
    <row r="1592" spans="1:7" x14ac:dyDescent="0.2">
      <c r="A1592" s="324"/>
      <c r="B1592" s="49" t="s">
        <v>365</v>
      </c>
      <c r="C1592" s="56"/>
      <c r="D1592" s="189"/>
      <c r="E1592" s="44"/>
      <c r="F1592" s="59"/>
      <c r="G1592" s="60"/>
    </row>
    <row r="1593" spans="1:7" x14ac:dyDescent="0.2">
      <c r="A1593" s="325">
        <v>14.1</v>
      </c>
      <c r="B1593" s="268" t="s">
        <v>41</v>
      </c>
      <c r="C1593" s="326"/>
      <c r="D1593" s="327"/>
      <c r="E1593" s="122"/>
      <c r="F1593" s="235"/>
      <c r="G1593" s="236"/>
    </row>
    <row r="1594" spans="1:7" x14ac:dyDescent="0.2">
      <c r="A1594" s="348"/>
      <c r="B1594" s="268" t="s">
        <v>367</v>
      </c>
      <c r="C1594" s="326"/>
      <c r="D1594" s="327"/>
      <c r="E1594" s="122"/>
      <c r="F1594" s="235"/>
      <c r="G1594" s="236"/>
    </row>
    <row r="1595" spans="1:7" x14ac:dyDescent="0.2">
      <c r="A1595" s="324"/>
      <c r="B1595" s="251"/>
      <c r="C1595" s="281"/>
      <c r="D1595" s="189"/>
      <c r="E1595" s="44"/>
      <c r="F1595" s="59"/>
      <c r="G1595" s="60"/>
    </row>
    <row r="1596" spans="1:7" x14ac:dyDescent="0.2">
      <c r="A1596" s="324"/>
      <c r="B1596" s="251"/>
      <c r="C1596" s="281"/>
      <c r="D1596" s="189"/>
      <c r="E1596" s="44"/>
      <c r="F1596" s="59"/>
      <c r="G1596" s="60"/>
    </row>
    <row r="1597" spans="1:7" x14ac:dyDescent="0.2">
      <c r="A1597" s="324"/>
      <c r="B1597" s="251"/>
      <c r="C1597" s="281"/>
      <c r="D1597" s="189"/>
      <c r="E1597" s="44"/>
      <c r="F1597" s="59"/>
      <c r="G1597" s="60"/>
    </row>
    <row r="1598" spans="1:7" x14ac:dyDescent="0.2">
      <c r="A1598" s="324"/>
      <c r="B1598" s="251"/>
      <c r="C1598" s="281"/>
      <c r="D1598" s="189"/>
      <c r="E1598" s="44"/>
      <c r="F1598" s="59"/>
      <c r="G1598" s="60"/>
    </row>
    <row r="1599" spans="1:7" x14ac:dyDescent="0.2">
      <c r="A1599" s="324"/>
      <c r="B1599" s="251"/>
      <c r="C1599" s="281"/>
      <c r="D1599" s="189"/>
      <c r="E1599" s="44"/>
      <c r="F1599" s="59"/>
      <c r="G1599" s="60"/>
    </row>
    <row r="1600" spans="1:7" x14ac:dyDescent="0.2">
      <c r="A1600" s="324"/>
      <c r="B1600" s="251"/>
      <c r="C1600" s="281"/>
      <c r="D1600" s="189"/>
      <c r="E1600" s="44"/>
      <c r="F1600" s="59"/>
      <c r="G1600" s="60"/>
    </row>
    <row r="1601" spans="1:7" x14ac:dyDescent="0.2">
      <c r="A1601" s="324"/>
      <c r="B1601" s="251"/>
      <c r="C1601" s="281"/>
      <c r="D1601" s="189"/>
      <c r="E1601" s="44"/>
      <c r="F1601" s="59"/>
      <c r="G1601" s="60"/>
    </row>
    <row r="1602" spans="1:7" x14ac:dyDescent="0.2">
      <c r="A1602" s="324"/>
      <c r="B1602" s="251"/>
      <c r="C1602" s="281"/>
      <c r="D1602" s="189"/>
      <c r="E1602" s="44"/>
      <c r="F1602" s="59"/>
      <c r="G1602" s="60"/>
    </row>
    <row r="1603" spans="1:7" x14ac:dyDescent="0.2">
      <c r="A1603" s="324"/>
      <c r="B1603" s="251"/>
      <c r="C1603" s="281"/>
      <c r="D1603" s="189"/>
      <c r="E1603" s="44"/>
      <c r="F1603" s="59"/>
      <c r="G1603" s="60"/>
    </row>
    <row r="1604" spans="1:7" x14ac:dyDescent="0.2">
      <c r="A1604" s="324"/>
      <c r="B1604" s="251"/>
      <c r="C1604" s="281"/>
      <c r="D1604" s="189"/>
      <c r="E1604" s="44"/>
      <c r="F1604" s="59"/>
      <c r="G1604" s="60"/>
    </row>
    <row r="1605" spans="1:7" x14ac:dyDescent="0.2">
      <c r="A1605" s="324"/>
      <c r="B1605" s="251"/>
      <c r="C1605" s="281"/>
      <c r="D1605" s="189"/>
      <c r="E1605" s="44"/>
      <c r="F1605" s="59"/>
      <c r="G1605" s="60"/>
    </row>
    <row r="1606" spans="1:7" x14ac:dyDescent="0.2">
      <c r="A1606" s="324"/>
      <c r="B1606" s="251"/>
      <c r="C1606" s="281"/>
      <c r="D1606" s="189"/>
      <c r="E1606" s="44"/>
      <c r="F1606" s="59"/>
      <c r="G1606" s="60"/>
    </row>
    <row r="1607" spans="1:7" x14ac:dyDescent="0.2">
      <c r="A1607" s="324"/>
      <c r="B1607" s="251"/>
      <c r="C1607" s="281"/>
      <c r="D1607" s="189"/>
      <c r="E1607" s="44"/>
      <c r="F1607" s="59"/>
      <c r="G1607" s="60"/>
    </row>
    <row r="1608" spans="1:7" x14ac:dyDescent="0.2">
      <c r="A1608" s="324"/>
      <c r="B1608" s="251"/>
      <c r="C1608" s="281"/>
      <c r="D1608" s="189"/>
      <c r="E1608" s="44"/>
      <c r="F1608" s="59"/>
      <c r="G1608" s="60"/>
    </row>
    <row r="1609" spans="1:7" x14ac:dyDescent="0.2">
      <c r="A1609" s="324"/>
      <c r="B1609" s="251"/>
      <c r="C1609" s="281"/>
      <c r="D1609" s="189"/>
      <c r="E1609" s="44"/>
      <c r="F1609" s="59"/>
      <c r="G1609" s="60"/>
    </row>
    <row r="1610" spans="1:7" x14ac:dyDescent="0.2">
      <c r="A1610" s="324"/>
      <c r="B1610" s="251"/>
      <c r="C1610" s="281"/>
      <c r="D1610" s="189"/>
      <c r="E1610" s="44"/>
      <c r="F1610" s="59"/>
      <c r="G1610" s="60"/>
    </row>
    <row r="1611" spans="1:7" x14ac:dyDescent="0.2">
      <c r="A1611" s="324"/>
      <c r="B1611" s="251"/>
      <c r="C1611" s="281"/>
      <c r="D1611" s="189"/>
      <c r="E1611" s="44"/>
      <c r="F1611" s="59"/>
      <c r="G1611" s="60"/>
    </row>
    <row r="1612" spans="1:7" x14ac:dyDescent="0.2">
      <c r="A1612" s="324"/>
      <c r="B1612" s="251"/>
      <c r="C1612" s="281"/>
      <c r="D1612" s="189"/>
      <c r="E1612" s="44"/>
      <c r="F1612" s="59"/>
      <c r="G1612" s="60"/>
    </row>
    <row r="1613" spans="1:7" x14ac:dyDescent="0.2">
      <c r="A1613" s="324"/>
      <c r="B1613" s="251"/>
      <c r="C1613" s="281"/>
      <c r="D1613" s="189"/>
      <c r="E1613" s="44"/>
      <c r="F1613" s="59"/>
      <c r="G1613" s="60"/>
    </row>
    <row r="1614" spans="1:7" x14ac:dyDescent="0.2">
      <c r="A1614" s="324"/>
      <c r="B1614" s="251"/>
      <c r="C1614" s="281"/>
      <c r="D1614" s="189"/>
      <c r="E1614" s="44"/>
      <c r="F1614" s="59"/>
      <c r="G1614" s="60"/>
    </row>
    <row r="1615" spans="1:7" x14ac:dyDescent="0.2">
      <c r="A1615" s="324"/>
      <c r="B1615" s="251"/>
      <c r="C1615" s="281"/>
      <c r="D1615" s="189"/>
      <c r="E1615" s="44"/>
      <c r="F1615" s="59"/>
      <c r="G1615" s="60"/>
    </row>
    <row r="1616" spans="1:7" x14ac:dyDescent="0.2">
      <c r="A1616" s="324"/>
      <c r="B1616" s="251"/>
      <c r="C1616" s="281"/>
      <c r="D1616" s="189"/>
      <c r="E1616" s="44"/>
      <c r="F1616" s="59"/>
      <c r="G1616" s="60"/>
    </row>
    <row r="1617" spans="1:7" x14ac:dyDescent="0.2">
      <c r="A1617" s="324"/>
      <c r="B1617" s="251"/>
      <c r="C1617" s="281"/>
      <c r="D1617" s="189"/>
      <c r="E1617" s="44"/>
      <c r="F1617" s="59"/>
      <c r="G1617" s="60"/>
    </row>
    <row r="1618" spans="1:7" x14ac:dyDescent="0.2">
      <c r="A1618" s="324"/>
      <c r="B1618" s="251"/>
      <c r="C1618" s="281"/>
      <c r="D1618" s="189"/>
      <c r="E1618" s="44"/>
      <c r="F1618" s="59"/>
      <c r="G1618" s="60"/>
    </row>
    <row r="1619" spans="1:7" x14ac:dyDescent="0.2">
      <c r="A1619" s="324"/>
      <c r="B1619" s="251"/>
      <c r="C1619" s="281"/>
      <c r="D1619" s="189"/>
      <c r="E1619" s="44"/>
      <c r="F1619" s="59"/>
      <c r="G1619" s="60"/>
    </row>
    <row r="1620" spans="1:7" x14ac:dyDescent="0.2">
      <c r="A1620" s="324"/>
      <c r="B1620" s="251"/>
      <c r="C1620" s="281"/>
      <c r="D1620" s="189"/>
      <c r="E1620" s="44"/>
      <c r="F1620" s="59"/>
      <c r="G1620" s="60"/>
    </row>
    <row r="1621" spans="1:7" x14ac:dyDescent="0.2">
      <c r="A1621" s="324"/>
      <c r="B1621" s="251"/>
      <c r="C1621" s="281"/>
      <c r="D1621" s="189"/>
      <c r="E1621" s="44"/>
      <c r="F1621" s="59"/>
      <c r="G1621" s="60"/>
    </row>
    <row r="1622" spans="1:7" x14ac:dyDescent="0.2">
      <c r="A1622" s="324"/>
      <c r="B1622" s="251"/>
      <c r="C1622" s="281"/>
      <c r="D1622" s="189"/>
      <c r="E1622" s="44"/>
      <c r="F1622" s="59"/>
      <c r="G1622" s="60"/>
    </row>
    <row r="1623" spans="1:7" x14ac:dyDescent="0.2">
      <c r="A1623" s="324"/>
      <c r="B1623" s="251"/>
      <c r="C1623" s="281"/>
      <c r="D1623" s="189"/>
      <c r="E1623" s="44"/>
      <c r="F1623" s="59"/>
      <c r="G1623" s="60"/>
    </row>
    <row r="1624" spans="1:7" x14ac:dyDescent="0.2">
      <c r="A1624" s="324"/>
      <c r="B1624" s="251"/>
      <c r="C1624" s="281"/>
      <c r="D1624" s="189"/>
      <c r="E1624" s="44"/>
      <c r="F1624" s="59"/>
      <c r="G1624" s="60"/>
    </row>
    <row r="1625" spans="1:7" x14ac:dyDescent="0.2">
      <c r="A1625" s="324"/>
      <c r="B1625" s="251"/>
      <c r="C1625" s="281"/>
      <c r="D1625" s="189"/>
      <c r="E1625" s="44"/>
      <c r="F1625" s="59"/>
      <c r="G1625" s="60"/>
    </row>
    <row r="1626" spans="1:7" x14ac:dyDescent="0.2">
      <c r="A1626" s="324"/>
      <c r="B1626" s="251"/>
      <c r="C1626" s="281"/>
      <c r="D1626" s="189"/>
      <c r="E1626" s="44"/>
      <c r="F1626" s="59"/>
      <c r="G1626" s="60"/>
    </row>
    <row r="1627" spans="1:7" x14ac:dyDescent="0.2">
      <c r="A1627" s="324"/>
      <c r="B1627" s="251"/>
      <c r="C1627" s="281"/>
      <c r="D1627" s="189"/>
      <c r="E1627" s="44"/>
      <c r="F1627" s="59"/>
      <c r="G1627" s="60"/>
    </row>
    <row r="1628" spans="1:7" x14ac:dyDescent="0.2">
      <c r="A1628" s="324"/>
      <c r="B1628" s="251"/>
      <c r="C1628" s="281"/>
      <c r="D1628" s="189"/>
      <c r="E1628" s="44"/>
      <c r="F1628" s="59"/>
      <c r="G1628" s="60"/>
    </row>
    <row r="1629" spans="1:7" x14ac:dyDescent="0.2">
      <c r="A1629" s="324"/>
      <c r="B1629" s="251"/>
      <c r="C1629" s="281"/>
      <c r="D1629" s="189"/>
      <c r="E1629" s="44"/>
      <c r="F1629" s="59"/>
      <c r="G1629" s="60"/>
    </row>
    <row r="1630" spans="1:7" x14ac:dyDescent="0.2">
      <c r="A1630" s="324"/>
      <c r="B1630" s="251"/>
      <c r="C1630" s="281"/>
      <c r="D1630" s="189"/>
      <c r="E1630" s="44"/>
      <c r="F1630" s="59"/>
      <c r="G1630" s="60"/>
    </row>
    <row r="1631" spans="1:7" x14ac:dyDescent="0.2">
      <c r="A1631" s="324"/>
      <c r="B1631" s="251"/>
      <c r="C1631" s="281"/>
      <c r="D1631" s="189"/>
      <c r="E1631" s="44"/>
      <c r="F1631" s="59"/>
      <c r="G1631" s="60"/>
    </row>
    <row r="1632" spans="1:7" x14ac:dyDescent="0.2">
      <c r="A1632" s="324"/>
      <c r="B1632" s="251"/>
      <c r="C1632" s="281"/>
      <c r="D1632" s="189"/>
      <c r="E1632" s="44"/>
      <c r="F1632" s="59"/>
      <c r="G1632" s="60"/>
    </row>
    <row r="1633" spans="1:7" x14ac:dyDescent="0.2">
      <c r="A1633" s="324"/>
      <c r="B1633" s="251"/>
      <c r="C1633" s="281"/>
      <c r="D1633" s="189"/>
      <c r="E1633" s="44"/>
      <c r="F1633" s="59"/>
      <c r="G1633" s="60"/>
    </row>
    <row r="1634" spans="1:7" x14ac:dyDescent="0.2">
      <c r="A1634" s="324"/>
      <c r="B1634" s="251"/>
      <c r="C1634" s="281"/>
      <c r="D1634" s="189"/>
      <c r="E1634" s="44"/>
      <c r="F1634" s="59"/>
      <c r="G1634" s="60"/>
    </row>
    <row r="1635" spans="1:7" x14ac:dyDescent="0.2">
      <c r="A1635" s="324"/>
      <c r="B1635" s="251"/>
      <c r="C1635" s="281"/>
      <c r="D1635" s="189"/>
      <c r="E1635" s="44"/>
      <c r="F1635" s="59"/>
      <c r="G1635" s="60"/>
    </row>
    <row r="1636" spans="1:7" x14ac:dyDescent="0.2">
      <c r="A1636" s="324"/>
      <c r="B1636" s="251"/>
      <c r="C1636" s="281"/>
      <c r="D1636" s="189"/>
      <c r="E1636" s="44"/>
      <c r="F1636" s="59"/>
      <c r="G1636" s="60"/>
    </row>
    <row r="1637" spans="1:7" x14ac:dyDescent="0.2">
      <c r="A1637" s="324"/>
      <c r="B1637" s="251"/>
      <c r="C1637" s="281"/>
      <c r="D1637" s="189"/>
      <c r="E1637" s="44"/>
      <c r="F1637" s="59"/>
      <c r="G1637" s="60"/>
    </row>
    <row r="1638" spans="1:7" x14ac:dyDescent="0.2">
      <c r="A1638" s="324"/>
      <c r="B1638" s="251"/>
      <c r="C1638" s="281"/>
      <c r="D1638" s="189"/>
      <c r="E1638" s="44"/>
      <c r="F1638" s="59"/>
      <c r="G1638" s="60"/>
    </row>
    <row r="1639" spans="1:7" x14ac:dyDescent="0.2">
      <c r="A1639" s="324"/>
      <c r="B1639" s="251"/>
      <c r="C1639" s="281"/>
      <c r="D1639" s="189"/>
      <c r="E1639" s="44"/>
      <c r="F1639" s="59"/>
      <c r="G1639" s="60"/>
    </row>
    <row r="1640" spans="1:7" x14ac:dyDescent="0.2">
      <c r="A1640" s="324"/>
      <c r="B1640" s="251"/>
      <c r="C1640" s="281"/>
      <c r="D1640" s="189"/>
      <c r="E1640" s="44"/>
      <c r="F1640" s="59"/>
      <c r="G1640" s="60"/>
    </row>
    <row r="1641" spans="1:7" x14ac:dyDescent="0.2">
      <c r="A1641" s="324"/>
      <c r="B1641" s="251"/>
      <c r="C1641" s="281"/>
      <c r="D1641" s="189"/>
      <c r="E1641" s="44"/>
      <c r="F1641" s="59"/>
      <c r="G1641" s="60"/>
    </row>
    <row r="1642" spans="1:7" x14ac:dyDescent="0.2">
      <c r="A1642" s="324"/>
      <c r="B1642" s="251"/>
      <c r="C1642" s="281"/>
      <c r="D1642" s="189"/>
      <c r="E1642" s="44"/>
      <c r="F1642" s="59"/>
      <c r="G1642" s="60"/>
    </row>
    <row r="1643" spans="1:7" x14ac:dyDescent="0.2">
      <c r="A1643" s="324"/>
      <c r="B1643" s="251"/>
      <c r="C1643" s="281"/>
      <c r="D1643" s="189"/>
      <c r="E1643" s="44"/>
      <c r="F1643" s="59"/>
      <c r="G1643" s="60"/>
    </row>
    <row r="1644" spans="1:7" x14ac:dyDescent="0.2">
      <c r="A1644" s="324"/>
      <c r="B1644" s="251"/>
      <c r="C1644" s="281"/>
      <c r="D1644" s="189"/>
      <c r="E1644" s="44"/>
      <c r="F1644" s="59"/>
      <c r="G1644" s="60"/>
    </row>
    <row r="1645" spans="1:7" x14ac:dyDescent="0.2">
      <c r="A1645" s="324"/>
      <c r="B1645" s="251"/>
      <c r="C1645" s="281"/>
      <c r="D1645" s="189"/>
      <c r="E1645" s="44"/>
      <c r="F1645" s="59"/>
      <c r="G1645" s="60"/>
    </row>
    <row r="1646" spans="1:7" ht="12.75" thickBot="1" x14ac:dyDescent="0.25">
      <c r="A1646" s="324"/>
      <c r="B1646" s="251"/>
      <c r="C1646" s="281"/>
      <c r="D1646" s="189"/>
      <c r="E1646" s="44"/>
      <c r="F1646" s="59"/>
      <c r="G1646" s="60"/>
    </row>
    <row r="1647" spans="1:7" x14ac:dyDescent="0.2">
      <c r="A1647" s="346"/>
      <c r="B1647" s="69" t="s">
        <v>562</v>
      </c>
      <c r="C1647" s="321"/>
      <c r="D1647" s="191"/>
      <c r="E1647" s="323"/>
      <c r="F1647" s="191"/>
      <c r="G1647" s="192"/>
    </row>
    <row r="1648" spans="1:7" ht="12.75" thickBot="1" x14ac:dyDescent="0.25">
      <c r="A1648" s="347"/>
      <c r="B1648" s="74" t="s">
        <v>372</v>
      </c>
      <c r="C1648" s="153"/>
      <c r="D1648" s="155"/>
      <c r="E1648" s="183"/>
      <c r="F1648" s="155"/>
      <c r="G1648" s="193">
        <f>SUM(G1593:G1647)</f>
        <v>0</v>
      </c>
    </row>
    <row r="1649" spans="1:7" x14ac:dyDescent="0.2">
      <c r="A1649" s="324"/>
      <c r="B1649" s="80"/>
      <c r="C1649" s="143"/>
      <c r="D1649" s="59"/>
      <c r="E1649" s="92"/>
      <c r="F1649" s="59"/>
      <c r="G1649" s="150"/>
    </row>
    <row r="1650" spans="1:7" x14ac:dyDescent="0.2">
      <c r="A1650" s="324"/>
      <c r="B1650" s="41" t="s">
        <v>563</v>
      </c>
      <c r="C1650" s="56"/>
      <c r="D1650" s="189"/>
      <c r="E1650" s="44"/>
      <c r="F1650" s="59"/>
      <c r="G1650" s="60"/>
    </row>
    <row r="1651" spans="1:7" x14ac:dyDescent="0.2">
      <c r="A1651" s="324"/>
      <c r="B1651" s="49" t="s">
        <v>366</v>
      </c>
      <c r="C1651" s="56"/>
      <c r="D1651" s="189"/>
      <c r="E1651" s="44"/>
      <c r="F1651" s="59"/>
      <c r="G1651" s="60"/>
    </row>
    <row r="1652" spans="1:7" x14ac:dyDescent="0.2">
      <c r="A1652" s="325">
        <v>15.1</v>
      </c>
      <c r="B1652" s="268" t="s">
        <v>41</v>
      </c>
      <c r="C1652" s="326"/>
      <c r="D1652" s="327"/>
      <c r="E1652" s="122"/>
      <c r="F1652" s="235"/>
      <c r="G1652" s="236"/>
    </row>
    <row r="1653" spans="1:7" x14ac:dyDescent="0.2">
      <c r="A1653" s="349"/>
      <c r="B1653" s="350" t="s">
        <v>369</v>
      </c>
      <c r="C1653" s="81"/>
      <c r="D1653" s="189"/>
      <c r="E1653" s="208"/>
      <c r="F1653" s="181"/>
      <c r="G1653" s="217"/>
    </row>
    <row r="1654" spans="1:7" x14ac:dyDescent="0.2">
      <c r="A1654" s="324"/>
      <c r="B1654" s="251"/>
      <c r="C1654" s="281"/>
      <c r="D1654" s="189"/>
      <c r="E1654" s="44"/>
      <c r="F1654" s="59"/>
      <c r="G1654" s="60"/>
    </row>
    <row r="1655" spans="1:7" x14ac:dyDescent="0.2">
      <c r="A1655" s="324"/>
      <c r="B1655" s="251"/>
      <c r="C1655" s="281"/>
      <c r="D1655" s="189"/>
      <c r="E1655" s="44"/>
      <c r="F1655" s="59"/>
      <c r="G1655" s="60"/>
    </row>
    <row r="1656" spans="1:7" x14ac:dyDescent="0.2">
      <c r="A1656" s="324"/>
      <c r="B1656" s="251"/>
      <c r="C1656" s="281"/>
      <c r="D1656" s="189"/>
      <c r="E1656" s="44"/>
      <c r="F1656" s="59"/>
      <c r="G1656" s="60"/>
    </row>
    <row r="1657" spans="1:7" x14ac:dyDescent="0.2">
      <c r="A1657" s="324"/>
      <c r="B1657" s="251"/>
      <c r="C1657" s="281"/>
      <c r="D1657" s="189"/>
      <c r="E1657" s="44"/>
      <c r="F1657" s="59"/>
      <c r="G1657" s="60"/>
    </row>
    <row r="1658" spans="1:7" x14ac:dyDescent="0.2">
      <c r="A1658" s="324"/>
      <c r="B1658" s="251"/>
      <c r="C1658" s="281"/>
      <c r="D1658" s="189"/>
      <c r="E1658" s="44"/>
      <c r="F1658" s="59"/>
      <c r="G1658" s="60"/>
    </row>
    <row r="1659" spans="1:7" x14ac:dyDescent="0.2">
      <c r="A1659" s="324"/>
      <c r="B1659" s="251"/>
      <c r="C1659" s="281"/>
      <c r="D1659" s="189"/>
      <c r="E1659" s="44"/>
      <c r="F1659" s="59"/>
      <c r="G1659" s="60"/>
    </row>
    <row r="1660" spans="1:7" x14ac:dyDescent="0.2">
      <c r="A1660" s="324"/>
      <c r="B1660" s="251"/>
      <c r="C1660" s="281"/>
      <c r="D1660" s="189"/>
      <c r="E1660" s="44"/>
      <c r="F1660" s="59"/>
      <c r="G1660" s="60"/>
    </row>
    <row r="1661" spans="1:7" x14ac:dyDescent="0.2">
      <c r="A1661" s="324"/>
      <c r="B1661" s="251"/>
      <c r="C1661" s="281"/>
      <c r="D1661" s="189"/>
      <c r="E1661" s="44"/>
      <c r="F1661" s="59"/>
      <c r="G1661" s="60"/>
    </row>
    <row r="1662" spans="1:7" x14ac:dyDescent="0.2">
      <c r="A1662" s="324"/>
      <c r="B1662" s="251"/>
      <c r="C1662" s="281"/>
      <c r="D1662" s="189"/>
      <c r="E1662" s="44"/>
      <c r="F1662" s="59"/>
      <c r="G1662" s="60"/>
    </row>
    <row r="1663" spans="1:7" x14ac:dyDescent="0.2">
      <c r="A1663" s="324"/>
      <c r="B1663" s="251"/>
      <c r="C1663" s="281"/>
      <c r="D1663" s="189"/>
      <c r="E1663" s="44"/>
      <c r="F1663" s="59"/>
      <c r="G1663" s="60"/>
    </row>
    <row r="1664" spans="1:7" x14ac:dyDescent="0.2">
      <c r="A1664" s="324"/>
      <c r="B1664" s="251"/>
      <c r="C1664" s="281"/>
      <c r="D1664" s="189"/>
      <c r="E1664" s="44"/>
      <c r="F1664" s="59"/>
      <c r="G1664" s="60"/>
    </row>
    <row r="1665" spans="1:7" x14ac:dyDescent="0.2">
      <c r="A1665" s="324"/>
      <c r="B1665" s="251"/>
      <c r="C1665" s="281"/>
      <c r="D1665" s="189"/>
      <c r="E1665" s="44"/>
      <c r="F1665" s="59"/>
      <c r="G1665" s="60"/>
    </row>
    <row r="1666" spans="1:7" x14ac:dyDescent="0.2">
      <c r="A1666" s="324"/>
      <c r="B1666" s="251"/>
      <c r="C1666" s="281"/>
      <c r="D1666" s="189"/>
      <c r="E1666" s="44"/>
      <c r="F1666" s="59"/>
      <c r="G1666" s="60"/>
    </row>
    <row r="1667" spans="1:7" x14ac:dyDescent="0.2">
      <c r="A1667" s="324"/>
      <c r="B1667" s="251"/>
      <c r="C1667" s="281"/>
      <c r="D1667" s="189"/>
      <c r="E1667" s="44"/>
      <c r="F1667" s="59"/>
      <c r="G1667" s="60"/>
    </row>
    <row r="1668" spans="1:7" x14ac:dyDescent="0.2">
      <c r="A1668" s="324"/>
      <c r="B1668" s="251"/>
      <c r="C1668" s="281"/>
      <c r="D1668" s="189"/>
      <c r="E1668" s="44"/>
      <c r="F1668" s="59"/>
      <c r="G1668" s="60"/>
    </row>
    <row r="1669" spans="1:7" x14ac:dyDescent="0.2">
      <c r="A1669" s="324"/>
      <c r="B1669" s="251"/>
      <c r="C1669" s="281"/>
      <c r="D1669" s="189"/>
      <c r="E1669" s="44"/>
      <c r="F1669" s="59"/>
      <c r="G1669" s="60"/>
    </row>
    <row r="1670" spans="1:7" x14ac:dyDescent="0.2">
      <c r="A1670" s="324"/>
      <c r="B1670" s="251"/>
      <c r="C1670" s="281"/>
      <c r="D1670" s="189"/>
      <c r="E1670" s="44"/>
      <c r="F1670" s="59"/>
      <c r="G1670" s="60"/>
    </row>
    <row r="1671" spans="1:7" x14ac:dyDescent="0.2">
      <c r="A1671" s="324"/>
      <c r="B1671" s="251"/>
      <c r="C1671" s="281"/>
      <c r="D1671" s="189"/>
      <c r="E1671" s="44"/>
      <c r="F1671" s="59"/>
      <c r="G1671" s="60"/>
    </row>
    <row r="1672" spans="1:7" x14ac:dyDescent="0.2">
      <c r="A1672" s="324"/>
      <c r="B1672" s="251"/>
      <c r="C1672" s="281"/>
      <c r="D1672" s="189"/>
      <c r="E1672" s="44"/>
      <c r="F1672" s="59"/>
      <c r="G1672" s="60"/>
    </row>
    <row r="1673" spans="1:7" x14ac:dyDescent="0.2">
      <c r="A1673" s="324"/>
      <c r="B1673" s="251"/>
      <c r="C1673" s="281"/>
      <c r="D1673" s="189"/>
      <c r="E1673" s="44"/>
      <c r="F1673" s="59"/>
      <c r="G1673" s="60"/>
    </row>
    <row r="1674" spans="1:7" x14ac:dyDescent="0.2">
      <c r="A1674" s="324"/>
      <c r="B1674" s="251"/>
      <c r="C1674" s="281"/>
      <c r="D1674" s="189"/>
      <c r="E1674" s="44"/>
      <c r="F1674" s="59"/>
      <c r="G1674" s="60"/>
    </row>
    <row r="1675" spans="1:7" x14ac:dyDescent="0.2">
      <c r="A1675" s="324"/>
      <c r="B1675" s="251"/>
      <c r="C1675" s="281"/>
      <c r="D1675" s="189"/>
      <c r="E1675" s="44"/>
      <c r="F1675" s="59"/>
      <c r="G1675" s="60"/>
    </row>
    <row r="1676" spans="1:7" x14ac:dyDescent="0.2">
      <c r="A1676" s="324"/>
      <c r="B1676" s="251"/>
      <c r="C1676" s="281"/>
      <c r="D1676" s="189"/>
      <c r="E1676" s="44"/>
      <c r="F1676" s="59"/>
      <c r="G1676" s="60"/>
    </row>
    <row r="1677" spans="1:7" x14ac:dyDescent="0.2">
      <c r="A1677" s="324"/>
      <c r="B1677" s="251"/>
      <c r="C1677" s="281"/>
      <c r="D1677" s="189"/>
      <c r="E1677" s="44"/>
      <c r="F1677" s="59"/>
      <c r="G1677" s="60"/>
    </row>
    <row r="1678" spans="1:7" x14ac:dyDescent="0.2">
      <c r="A1678" s="324"/>
      <c r="B1678" s="251"/>
      <c r="C1678" s="281"/>
      <c r="D1678" s="189"/>
      <c r="E1678" s="44"/>
      <c r="F1678" s="59"/>
      <c r="G1678" s="60"/>
    </row>
    <row r="1679" spans="1:7" x14ac:dyDescent="0.2">
      <c r="A1679" s="324"/>
      <c r="B1679" s="251"/>
      <c r="C1679" s="281"/>
      <c r="D1679" s="189"/>
      <c r="E1679" s="44"/>
      <c r="F1679" s="59"/>
      <c r="G1679" s="60"/>
    </row>
    <row r="1680" spans="1:7" x14ac:dyDescent="0.2">
      <c r="A1680" s="324"/>
      <c r="B1680" s="251"/>
      <c r="C1680" s="281"/>
      <c r="D1680" s="189"/>
      <c r="E1680" s="44"/>
      <c r="F1680" s="59"/>
      <c r="G1680" s="60"/>
    </row>
    <row r="1681" spans="1:7" x14ac:dyDescent="0.2">
      <c r="A1681" s="324"/>
      <c r="B1681" s="251"/>
      <c r="C1681" s="281"/>
      <c r="D1681" s="189"/>
      <c r="E1681" s="44"/>
      <c r="F1681" s="59"/>
      <c r="G1681" s="60"/>
    </row>
    <row r="1682" spans="1:7" x14ac:dyDescent="0.2">
      <c r="A1682" s="324"/>
      <c r="B1682" s="251"/>
      <c r="C1682" s="281"/>
      <c r="D1682" s="189"/>
      <c r="E1682" s="44"/>
      <c r="F1682" s="59"/>
      <c r="G1682" s="60"/>
    </row>
    <row r="1683" spans="1:7" x14ac:dyDescent="0.2">
      <c r="A1683" s="324"/>
      <c r="B1683" s="251"/>
      <c r="C1683" s="281"/>
      <c r="D1683" s="189"/>
      <c r="E1683" s="44"/>
      <c r="F1683" s="59"/>
      <c r="G1683" s="60"/>
    </row>
    <row r="1684" spans="1:7" x14ac:dyDescent="0.2">
      <c r="A1684" s="324"/>
      <c r="B1684" s="251"/>
      <c r="C1684" s="281"/>
      <c r="D1684" s="189"/>
      <c r="E1684" s="44"/>
      <c r="F1684" s="59"/>
      <c r="G1684" s="60"/>
    </row>
    <row r="1685" spans="1:7" x14ac:dyDescent="0.2">
      <c r="A1685" s="324"/>
      <c r="B1685" s="251"/>
      <c r="C1685" s="281"/>
      <c r="D1685" s="189"/>
      <c r="E1685" s="44"/>
      <c r="F1685" s="59"/>
      <c r="G1685" s="60"/>
    </row>
    <row r="1686" spans="1:7" x14ac:dyDescent="0.2">
      <c r="A1686" s="324"/>
      <c r="B1686" s="251"/>
      <c r="C1686" s="281"/>
      <c r="D1686" s="189"/>
      <c r="E1686" s="44"/>
      <c r="F1686" s="59"/>
      <c r="G1686" s="60"/>
    </row>
    <row r="1687" spans="1:7" x14ac:dyDescent="0.2">
      <c r="A1687" s="324"/>
      <c r="B1687" s="251"/>
      <c r="C1687" s="281"/>
      <c r="D1687" s="189"/>
      <c r="E1687" s="44"/>
      <c r="F1687" s="59"/>
      <c r="G1687" s="60"/>
    </row>
    <row r="1688" spans="1:7" x14ac:dyDescent="0.2">
      <c r="A1688" s="324"/>
      <c r="B1688" s="251"/>
      <c r="C1688" s="281"/>
      <c r="D1688" s="189"/>
      <c r="E1688" s="44"/>
      <c r="F1688" s="59"/>
      <c r="G1688" s="60"/>
    </row>
    <row r="1689" spans="1:7" x14ac:dyDescent="0.2">
      <c r="A1689" s="324"/>
      <c r="B1689" s="251"/>
      <c r="C1689" s="281"/>
      <c r="D1689" s="189"/>
      <c r="E1689" s="44"/>
      <c r="F1689" s="59"/>
      <c r="G1689" s="60"/>
    </row>
    <row r="1690" spans="1:7" x14ac:dyDescent="0.2">
      <c r="A1690" s="324"/>
      <c r="B1690" s="251"/>
      <c r="C1690" s="281"/>
      <c r="D1690" s="189"/>
      <c r="E1690" s="44"/>
      <c r="F1690" s="59"/>
      <c r="G1690" s="60"/>
    </row>
    <row r="1691" spans="1:7" x14ac:dyDescent="0.2">
      <c r="A1691" s="324"/>
      <c r="B1691" s="251"/>
      <c r="C1691" s="281"/>
      <c r="D1691" s="189"/>
      <c r="E1691" s="44"/>
      <c r="F1691" s="59"/>
      <c r="G1691" s="60"/>
    </row>
    <row r="1692" spans="1:7" x14ac:dyDescent="0.2">
      <c r="A1692" s="324"/>
      <c r="B1692" s="251"/>
      <c r="C1692" s="281"/>
      <c r="D1692" s="189"/>
      <c r="E1692" s="44"/>
      <c r="F1692" s="59"/>
      <c r="G1692" s="60"/>
    </row>
    <row r="1693" spans="1:7" x14ac:dyDescent="0.2">
      <c r="A1693" s="324"/>
      <c r="B1693" s="251"/>
      <c r="C1693" s="281"/>
      <c r="D1693" s="189"/>
      <c r="E1693" s="44"/>
      <c r="F1693" s="59"/>
      <c r="G1693" s="60"/>
    </row>
    <row r="1694" spans="1:7" x14ac:dyDescent="0.2">
      <c r="A1694" s="324"/>
      <c r="B1694" s="251"/>
      <c r="C1694" s="281"/>
      <c r="D1694" s="189"/>
      <c r="E1694" s="44"/>
      <c r="F1694" s="59"/>
      <c r="G1694" s="60"/>
    </row>
    <row r="1695" spans="1:7" x14ac:dyDescent="0.2">
      <c r="A1695" s="324"/>
      <c r="B1695" s="251"/>
      <c r="C1695" s="281"/>
      <c r="D1695" s="189"/>
      <c r="E1695" s="44"/>
      <c r="F1695" s="59"/>
      <c r="G1695" s="60"/>
    </row>
    <row r="1696" spans="1:7" x14ac:dyDescent="0.2">
      <c r="A1696" s="324"/>
      <c r="B1696" s="251"/>
      <c r="C1696" s="281"/>
      <c r="D1696" s="189"/>
      <c r="E1696" s="44"/>
      <c r="F1696" s="59"/>
      <c r="G1696" s="60"/>
    </row>
    <row r="1697" spans="1:7" x14ac:dyDescent="0.2">
      <c r="A1697" s="324"/>
      <c r="B1697" s="251"/>
      <c r="C1697" s="281"/>
      <c r="D1697" s="189"/>
      <c r="E1697" s="44"/>
      <c r="F1697" s="59"/>
      <c r="G1697" s="60"/>
    </row>
    <row r="1698" spans="1:7" x14ac:dyDescent="0.2">
      <c r="A1698" s="324"/>
      <c r="B1698" s="251"/>
      <c r="C1698" s="281"/>
      <c r="D1698" s="189"/>
      <c r="E1698" s="44"/>
      <c r="F1698" s="59"/>
      <c r="G1698" s="60"/>
    </row>
    <row r="1699" spans="1:7" x14ac:dyDescent="0.2">
      <c r="A1699" s="324"/>
      <c r="B1699" s="251"/>
      <c r="C1699" s="281"/>
      <c r="D1699" s="189"/>
      <c r="E1699" s="44"/>
      <c r="F1699" s="59"/>
      <c r="G1699" s="60"/>
    </row>
    <row r="1700" spans="1:7" x14ac:dyDescent="0.2">
      <c r="A1700" s="324"/>
      <c r="B1700" s="251"/>
      <c r="C1700" s="281"/>
      <c r="D1700" s="189"/>
      <c r="E1700" s="44"/>
      <c r="F1700" s="59"/>
      <c r="G1700" s="60"/>
    </row>
    <row r="1701" spans="1:7" x14ac:dyDescent="0.2">
      <c r="A1701" s="324"/>
      <c r="B1701" s="251"/>
      <c r="C1701" s="281"/>
      <c r="D1701" s="189"/>
      <c r="E1701" s="44"/>
      <c r="F1701" s="59"/>
      <c r="G1701" s="60"/>
    </row>
    <row r="1702" spans="1:7" x14ac:dyDescent="0.2">
      <c r="A1702" s="324"/>
      <c r="B1702" s="251"/>
      <c r="C1702" s="281"/>
      <c r="D1702" s="189"/>
      <c r="E1702" s="44"/>
      <c r="F1702" s="59"/>
      <c r="G1702" s="60"/>
    </row>
    <row r="1703" spans="1:7" x14ac:dyDescent="0.2">
      <c r="A1703" s="324"/>
      <c r="B1703" s="251"/>
      <c r="C1703" s="281"/>
      <c r="D1703" s="189"/>
      <c r="E1703" s="44"/>
      <c r="F1703" s="59"/>
      <c r="G1703" s="60"/>
    </row>
    <row r="1704" spans="1:7" x14ac:dyDescent="0.2">
      <c r="A1704" s="324"/>
      <c r="B1704" s="251"/>
      <c r="C1704" s="281"/>
      <c r="D1704" s="189"/>
      <c r="E1704" s="44"/>
      <c r="F1704" s="59"/>
      <c r="G1704" s="60"/>
    </row>
    <row r="1705" spans="1:7" ht="12.75" thickBot="1" x14ac:dyDescent="0.25">
      <c r="A1705" s="324"/>
      <c r="B1705" s="251"/>
      <c r="C1705" s="281"/>
      <c r="D1705" s="189"/>
      <c r="E1705" s="44"/>
      <c r="F1705" s="59"/>
      <c r="G1705" s="60"/>
    </row>
    <row r="1706" spans="1:7" x14ac:dyDescent="0.2">
      <c r="A1706" s="346"/>
      <c r="B1706" s="69" t="s">
        <v>564</v>
      </c>
      <c r="C1706" s="321"/>
      <c r="D1706" s="191"/>
      <c r="E1706" s="323"/>
      <c r="F1706" s="191"/>
      <c r="G1706" s="192"/>
    </row>
    <row r="1707" spans="1:7" ht="12.75" thickBot="1" x14ac:dyDescent="0.25">
      <c r="A1707" s="347"/>
      <c r="B1707" s="74" t="s">
        <v>565</v>
      </c>
      <c r="C1707" s="153"/>
      <c r="D1707" s="155"/>
      <c r="E1707" s="183"/>
      <c r="F1707" s="155"/>
      <c r="G1707" s="193">
        <f>SUM(G1653:G1706)</f>
        <v>0</v>
      </c>
    </row>
  </sheetData>
  <mergeCells count="17">
    <mergeCell ref="B1431:F1431"/>
    <mergeCell ref="B1211:F1211"/>
    <mergeCell ref="B1212:F1212"/>
    <mergeCell ref="B1428:F1428"/>
    <mergeCell ref="B1429:F1429"/>
    <mergeCell ref="B1430:F1430"/>
    <mergeCell ref="B976:E976"/>
    <mergeCell ref="B1207:F1207"/>
    <mergeCell ref="B1208:F1208"/>
    <mergeCell ref="B1209:F1209"/>
    <mergeCell ref="B1210:F1210"/>
    <mergeCell ref="B1011:F1011"/>
    <mergeCell ref="A1:G1"/>
    <mergeCell ref="B880:G880"/>
    <mergeCell ref="B973:E973"/>
    <mergeCell ref="B974:E974"/>
    <mergeCell ref="B975:E975"/>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&amp;L&amp;8SIX CLASS ROOM BLOCK&amp;R&amp;8     BILL OF QUANTITIES</oddHeader>
    <oddFooter>&amp;L&amp;8MARCH, 2015&amp;C&amp;8&amp;P&amp;R&amp;8ArchEng Studio Pvt. Ltd</oddFooter>
  </headerFooter>
  <rowBreaks count="1" manualBreakCount="1">
    <brk id="44"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HUSSAIN</cp:lastModifiedBy>
  <cp:lastPrinted>2015-08-01T09:29:01Z</cp:lastPrinted>
  <dcterms:created xsi:type="dcterms:W3CDTF">2011-03-24T06:48:27Z</dcterms:created>
  <dcterms:modified xsi:type="dcterms:W3CDTF">2015-09-29T03:59:04Z</dcterms:modified>
</cp:coreProperties>
</file>