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255" windowWidth="15135" windowHeight="7755"/>
  </bookViews>
  <sheets>
    <sheet name="Boq" sheetId="1" r:id="rId1"/>
    <sheet name="Summary" sheetId="2" r:id="rId2"/>
    <sheet name="Cover" sheetId="3" r:id="rId3"/>
  </sheets>
  <definedNames>
    <definedName name="_xlnm.Print_Area" localSheetId="0">Boq!$A$1:$G$1465</definedName>
    <definedName name="_xlnm.Print_Area" localSheetId="2">Cover!$A$1:$A$41</definedName>
    <definedName name="_xlnm.Print_Area" localSheetId="1">Summary!$A$1:$C$23</definedName>
    <definedName name="_xlnm.Print_Titles" localSheetId="0">Boq!$3:$3</definedName>
  </definedNames>
  <calcPr calcId="144525"/>
</workbook>
</file>

<file path=xl/calcChain.xml><?xml version="1.0" encoding="utf-8"?>
<calcChain xmlns="http://schemas.openxmlformats.org/spreadsheetml/2006/main">
  <c r="C23" i="2" l="1"/>
  <c r="C12" i="2"/>
  <c r="C24" i="2" l="1"/>
  <c r="C25" i="2" s="1"/>
  <c r="G1213" i="1"/>
  <c r="D1274" i="1"/>
  <c r="D1258" i="1"/>
  <c r="G1271" i="1"/>
  <c r="D1247" i="1"/>
  <c r="D1227" i="1"/>
  <c r="G1227" i="1" s="1"/>
  <c r="D1226" i="1"/>
  <c r="G1226" i="1" s="1"/>
  <c r="G1242" i="1"/>
  <c r="G1225" i="1"/>
  <c r="G1235" i="1"/>
  <c r="G1197" i="1"/>
  <c r="G1198" i="1"/>
  <c r="D1190" i="1"/>
  <c r="D1189" i="1"/>
  <c r="G1189" i="1" s="1"/>
  <c r="G1206" i="1"/>
  <c r="G1244" i="1"/>
  <c r="G1243" i="1"/>
  <c r="G1259" i="1"/>
  <c r="G1258" i="1"/>
  <c r="G1182" i="1"/>
  <c r="G1219" i="1"/>
  <c r="D1210" i="1"/>
  <c r="G1208" i="1"/>
  <c r="G1207" i="1"/>
  <c r="G1218" i="1"/>
  <c r="G1217" i="1"/>
  <c r="G1216" i="1"/>
  <c r="G1147" i="1"/>
  <c r="G1146" i="1"/>
  <c r="G1145" i="1"/>
  <c r="G1181" i="1"/>
  <c r="G1180" i="1"/>
  <c r="G1179" i="1"/>
  <c r="G1200" i="1"/>
  <c r="G1162" i="1"/>
  <c r="G1148" i="1"/>
  <c r="D1174" i="1"/>
  <c r="G1167" i="1"/>
  <c r="D1151" i="1"/>
  <c r="G1164" i="1"/>
  <c r="D885" i="1"/>
  <c r="G842" i="1"/>
  <c r="G828" i="1"/>
  <c r="G810" i="1"/>
  <c r="G1071" i="1"/>
  <c r="G1070" i="1"/>
  <c r="G1069" i="1"/>
  <c r="G1068" i="1"/>
  <c r="G1067" i="1"/>
  <c r="G1066" i="1"/>
  <c r="G1011" i="1"/>
  <c r="G1009" i="1"/>
  <c r="I1006" i="1"/>
  <c r="D966" i="1"/>
  <c r="D960" i="1"/>
  <c r="D954" i="1"/>
  <c r="G927" i="1"/>
  <c r="I717" i="1"/>
  <c r="J710" i="1"/>
  <c r="I710" i="1"/>
  <c r="J713" i="1"/>
  <c r="I713" i="1"/>
  <c r="L712" i="1"/>
  <c r="J712" i="1"/>
  <c r="I712" i="1"/>
  <c r="J711" i="1"/>
  <c r="I711" i="1"/>
  <c r="J696" i="1"/>
  <c r="K696" i="1" s="1"/>
  <c r="L696" i="1" s="1"/>
  <c r="J695" i="1"/>
  <c r="K695" i="1"/>
  <c r="I691" i="1"/>
  <c r="M696" i="1" s="1"/>
  <c r="I656" i="1"/>
  <c r="J656" i="1" s="1"/>
  <c r="N686" i="1"/>
  <c r="O686" i="1" s="1"/>
  <c r="N679" i="1"/>
  <c r="O679" i="1" s="1"/>
  <c r="M687" i="1"/>
  <c r="O687" i="1" s="1"/>
  <c r="J686" i="1"/>
  <c r="L686" i="1" s="1"/>
  <c r="I685" i="1"/>
  <c r="J685" i="1" s="1"/>
  <c r="J687" i="1"/>
  <c r="I687" i="1"/>
  <c r="K685" i="1"/>
  <c r="I834" i="1"/>
  <c r="I833" i="1"/>
  <c r="I831" i="1"/>
  <c r="I830" i="1"/>
  <c r="I839" i="1"/>
  <c r="I848" i="1"/>
  <c r="K684" i="1"/>
  <c r="L684" i="1" s="1"/>
  <c r="I684" i="1"/>
  <c r="J684" i="1" s="1"/>
  <c r="J680" i="1"/>
  <c r="I680" i="1"/>
  <c r="J679" i="1"/>
  <c r="L679" i="1" s="1"/>
  <c r="I678" i="1"/>
  <c r="J678" i="1" s="1"/>
  <c r="M680" i="1"/>
  <c r="O680" i="1" s="1"/>
  <c r="K678" i="1"/>
  <c r="K640" i="1"/>
  <c r="J825" i="1"/>
  <c r="I825" i="1"/>
  <c r="I807" i="1"/>
  <c r="I852" i="1"/>
  <c r="I851" i="1"/>
  <c r="J850" i="1"/>
  <c r="I849" i="1"/>
  <c r="J841" i="1"/>
  <c r="J840" i="1"/>
  <c r="N677" i="1"/>
  <c r="N684" i="1" s="1"/>
  <c r="K677" i="1"/>
  <c r="L677" i="1" s="1"/>
  <c r="I677" i="1"/>
  <c r="J677" i="1" s="1"/>
  <c r="J673" i="1"/>
  <c r="M672" i="1"/>
  <c r="O673" i="1"/>
  <c r="P673" i="1" s="1"/>
  <c r="Q673" i="1" s="1"/>
  <c r="I671" i="1"/>
  <c r="J671" i="1" s="1"/>
  <c r="M631" i="1"/>
  <c r="K673" i="1"/>
  <c r="K672" i="1" s="1"/>
  <c r="I672" i="1"/>
  <c r="J672" i="1" s="1"/>
  <c r="Q671" i="1"/>
  <c r="K671" i="1"/>
  <c r="L671" i="1" s="1"/>
  <c r="I668" i="1"/>
  <c r="J668" i="1" s="1"/>
  <c r="I623" i="1"/>
  <c r="K659" i="1"/>
  <c r="I858" i="1"/>
  <c r="I857" i="1"/>
  <c r="I861" i="1"/>
  <c r="I655" i="1"/>
  <c r="J655" i="1" s="1"/>
  <c r="L655" i="1" s="1"/>
  <c r="J660" i="1"/>
  <c r="K660" i="1" s="1"/>
  <c r="L660" i="1" s="1"/>
  <c r="G660" i="1"/>
  <c r="J659" i="1"/>
  <c r="G659" i="1"/>
  <c r="G656" i="1"/>
  <c r="G655" i="1"/>
  <c r="I652" i="1"/>
  <c r="K650" i="1"/>
  <c r="I650" i="1"/>
  <c r="J650" i="1" s="1"/>
  <c r="I646" i="1"/>
  <c r="J646" i="1" s="1"/>
  <c r="L646" i="1" s="1"/>
  <c r="M652" i="1"/>
  <c r="O652" i="1" s="1"/>
  <c r="J652" i="1"/>
  <c r="G652" i="1"/>
  <c r="J651" i="1"/>
  <c r="L651" i="1" s="1"/>
  <c r="G651" i="1"/>
  <c r="G650" i="1"/>
  <c r="J647" i="1"/>
  <c r="G647" i="1"/>
  <c r="G646" i="1"/>
  <c r="I642" i="1"/>
  <c r="M642" i="1"/>
  <c r="O642" i="1" s="1"/>
  <c r="I640" i="1"/>
  <c r="J640" i="1" s="1"/>
  <c r="J832" i="1"/>
  <c r="G832" i="1"/>
  <c r="J642" i="1"/>
  <c r="J641" i="1"/>
  <c r="L641" i="1" s="1"/>
  <c r="I636" i="1"/>
  <c r="J636" i="1" s="1"/>
  <c r="L636" i="1" s="1"/>
  <c r="G642" i="1"/>
  <c r="J826" i="1"/>
  <c r="J827" i="1"/>
  <c r="I814" i="1"/>
  <c r="J637" i="1"/>
  <c r="G641" i="1"/>
  <c r="G640" i="1"/>
  <c r="G637" i="1"/>
  <c r="G636" i="1"/>
  <c r="K632" i="1"/>
  <c r="K631" i="1" s="1"/>
  <c r="J632" i="1"/>
  <c r="I631" i="1"/>
  <c r="J631" i="1" s="1"/>
  <c r="I817" i="1"/>
  <c r="I816" i="1"/>
  <c r="I815" i="1"/>
  <c r="J808" i="1"/>
  <c r="J807" i="1"/>
  <c r="I809" i="1"/>
  <c r="G826" i="1"/>
  <c r="G835" i="1"/>
  <c r="G834" i="1"/>
  <c r="G833" i="1"/>
  <c r="G831" i="1"/>
  <c r="G830" i="1"/>
  <c r="G827" i="1"/>
  <c r="G825" i="1"/>
  <c r="G808" i="1"/>
  <c r="I628" i="1"/>
  <c r="J628" i="1" s="1"/>
  <c r="I627" i="1"/>
  <c r="J627" i="1" s="1"/>
  <c r="L627" i="1" s="1"/>
  <c r="G674" i="1"/>
  <c r="G671" i="1"/>
  <c r="G632" i="1"/>
  <c r="G631" i="1"/>
  <c r="G628" i="1"/>
  <c r="G627" i="1"/>
  <c r="J623" i="1"/>
  <c r="K710" i="1" l="1"/>
  <c r="L685" i="1"/>
  <c r="K712" i="1"/>
  <c r="M712" i="1" s="1"/>
  <c r="L659" i="1"/>
  <c r="K711" i="1"/>
  <c r="K713" i="1"/>
  <c r="K680" i="1"/>
  <c r="L680" i="1" s="1"/>
  <c r="P680" i="1" s="1"/>
  <c r="L695" i="1"/>
  <c r="N696" i="1" s="1"/>
  <c r="O696" i="1" s="1"/>
  <c r="I862" i="1"/>
  <c r="L672" i="1"/>
  <c r="N672" i="1" s="1"/>
  <c r="I818" i="1"/>
  <c r="I853" i="1"/>
  <c r="P679" i="1"/>
  <c r="J691" i="1"/>
  <c r="L691" i="1" s="1"/>
  <c r="M671" i="1"/>
  <c r="O671" i="1" s="1"/>
  <c r="P671" i="1" s="1"/>
  <c r="R671" i="1" s="1"/>
  <c r="L673" i="1"/>
  <c r="J828" i="1"/>
  <c r="P686" i="1"/>
  <c r="K687" i="1"/>
  <c r="L687" i="1" s="1"/>
  <c r="P687" i="1" s="1"/>
  <c r="M677" i="1"/>
  <c r="O677" i="1" s="1"/>
  <c r="P677" i="1" s="1"/>
  <c r="L678" i="1"/>
  <c r="K642" i="1"/>
  <c r="L642" i="1" s="1"/>
  <c r="P642" i="1" s="1"/>
  <c r="J842" i="1"/>
  <c r="M684" i="1"/>
  <c r="O684" i="1" s="1"/>
  <c r="P684" i="1" s="1"/>
  <c r="I835" i="1"/>
  <c r="K652" i="1"/>
  <c r="L652" i="1" s="1"/>
  <c r="P652" i="1" s="1"/>
  <c r="L631" i="1"/>
  <c r="N631" i="1" s="1"/>
  <c r="L640" i="1"/>
  <c r="L650" i="1"/>
  <c r="L632" i="1"/>
  <c r="J809" i="1"/>
  <c r="I584" i="1"/>
  <c r="G586" i="1"/>
  <c r="G585" i="1"/>
  <c r="I579" i="1"/>
  <c r="G584" i="1"/>
  <c r="G583" i="1"/>
  <c r="G582" i="1"/>
  <c r="I536" i="1"/>
  <c r="I300" i="1"/>
  <c r="G536" i="1"/>
  <c r="I532" i="1"/>
  <c r="G532" i="1"/>
  <c r="I531" i="1"/>
  <c r="G531" i="1"/>
  <c r="I529" i="1"/>
  <c r="G529" i="1"/>
  <c r="I528" i="1"/>
  <c r="G528" i="1"/>
  <c r="I526" i="1"/>
  <c r="G526" i="1"/>
  <c r="I525" i="1"/>
  <c r="G525" i="1"/>
  <c r="I523" i="1"/>
  <c r="G523" i="1"/>
  <c r="I522" i="1"/>
  <c r="G522" i="1"/>
  <c r="I521" i="1"/>
  <c r="G521" i="1"/>
  <c r="G519" i="1"/>
  <c r="I459" i="1"/>
  <c r="G459" i="1"/>
  <c r="I455" i="1"/>
  <c r="G455" i="1"/>
  <c r="I454" i="1"/>
  <c r="G454" i="1"/>
  <c r="I452" i="1"/>
  <c r="G452" i="1"/>
  <c r="I451" i="1"/>
  <c r="G451" i="1"/>
  <c r="I449" i="1"/>
  <c r="G449" i="1"/>
  <c r="I448" i="1"/>
  <c r="G448" i="1"/>
  <c r="I446" i="1"/>
  <c r="G446" i="1"/>
  <c r="I445" i="1"/>
  <c r="G445" i="1"/>
  <c r="I444" i="1"/>
  <c r="G444" i="1"/>
  <c r="G442" i="1"/>
  <c r="I383" i="1"/>
  <c r="I379" i="1"/>
  <c r="I378" i="1"/>
  <c r="I375" i="1"/>
  <c r="I376" i="1"/>
  <c r="I373" i="1"/>
  <c r="I372" i="1"/>
  <c r="I370" i="1"/>
  <c r="I369" i="1"/>
  <c r="I368" i="1"/>
  <c r="G440" i="1"/>
  <c r="G383" i="1"/>
  <c r="G379" i="1"/>
  <c r="G378" i="1"/>
  <c r="G376" i="1"/>
  <c r="G375" i="1"/>
  <c r="G366" i="1"/>
  <c r="G373" i="1"/>
  <c r="G372" i="1"/>
  <c r="G370" i="1"/>
  <c r="G369" i="1"/>
  <c r="G368" i="1"/>
  <c r="I364" i="1"/>
  <c r="J364" i="1" s="1"/>
  <c r="K364" i="1"/>
  <c r="L364" i="1" s="1"/>
  <c r="I295" i="1"/>
  <c r="G300" i="1"/>
  <c r="G299" i="1"/>
  <c r="I298" i="1"/>
  <c r="G298" i="1"/>
  <c r="I297" i="1"/>
  <c r="G297" i="1"/>
  <c r="I296" i="1"/>
  <c r="G296" i="1"/>
  <c r="G295" i="1"/>
  <c r="G294" i="1"/>
  <c r="I272" i="1"/>
  <c r="G272" i="1"/>
  <c r="G271" i="1"/>
  <c r="I270" i="1"/>
  <c r="G270" i="1"/>
  <c r="I269" i="1"/>
  <c r="G269" i="1"/>
  <c r="I268" i="1"/>
  <c r="G268" i="1"/>
  <c r="I267" i="1"/>
  <c r="G267" i="1"/>
  <c r="G266" i="1"/>
  <c r="I284" i="1"/>
  <c r="J284" i="1" s="1"/>
  <c r="G284" i="1"/>
  <c r="I283" i="1"/>
  <c r="J283" i="1" s="1"/>
  <c r="G283" i="1"/>
  <c r="I282" i="1"/>
  <c r="J282" i="1" s="1"/>
  <c r="G282" i="1"/>
  <c r="I281" i="1"/>
  <c r="J281" i="1" s="1"/>
  <c r="G281" i="1"/>
  <c r="I280" i="1"/>
  <c r="J280" i="1" s="1"/>
  <c r="G280" i="1"/>
  <c r="I279" i="1"/>
  <c r="J279" i="1" s="1"/>
  <c r="G279" i="1"/>
  <c r="I278" i="1"/>
  <c r="J278" i="1" s="1"/>
  <c r="G278" i="1"/>
  <c r="K277" i="1"/>
  <c r="I277" i="1"/>
  <c r="J277" i="1" s="1"/>
  <c r="G277" i="1"/>
  <c r="K276" i="1"/>
  <c r="J276" i="1"/>
  <c r="I276" i="1"/>
  <c r="G276" i="1"/>
  <c r="I255" i="1"/>
  <c r="J255" i="1" s="1"/>
  <c r="I252" i="1"/>
  <c r="J252" i="1" s="1"/>
  <c r="K250" i="1"/>
  <c r="I250" i="1"/>
  <c r="J250" i="1" s="1"/>
  <c r="K249" i="1"/>
  <c r="J249" i="1"/>
  <c r="I257" i="1"/>
  <c r="J257" i="1" s="1"/>
  <c r="I256" i="1"/>
  <c r="J256" i="1" s="1"/>
  <c r="I254" i="1"/>
  <c r="J254" i="1" s="1"/>
  <c r="I253" i="1"/>
  <c r="J253" i="1" s="1"/>
  <c r="I251" i="1"/>
  <c r="J251" i="1" s="1"/>
  <c r="I249" i="1"/>
  <c r="I192" i="1"/>
  <c r="I245" i="1"/>
  <c r="I165" i="1"/>
  <c r="I243" i="1"/>
  <c r="I242" i="1"/>
  <c r="I240" i="1"/>
  <c r="I241" i="1"/>
  <c r="G245" i="1"/>
  <c r="G239" i="1"/>
  <c r="G240" i="1"/>
  <c r="G241" i="1"/>
  <c r="G242" i="1"/>
  <c r="G243" i="1"/>
  <c r="G244" i="1"/>
  <c r="I138" i="1"/>
  <c r="I152" i="1"/>
  <c r="I177" i="1"/>
  <c r="J177" i="1" s="1"/>
  <c r="G177" i="1"/>
  <c r="I176" i="1"/>
  <c r="J176" i="1" s="1"/>
  <c r="G176" i="1"/>
  <c r="I175" i="1"/>
  <c r="J175" i="1" s="1"/>
  <c r="G175" i="1"/>
  <c r="I174" i="1"/>
  <c r="J174" i="1" s="1"/>
  <c r="L174" i="1" s="1"/>
  <c r="G174" i="1"/>
  <c r="J173" i="1"/>
  <c r="I173" i="1"/>
  <c r="G173" i="1"/>
  <c r="I172" i="1"/>
  <c r="J172" i="1" s="1"/>
  <c r="G172" i="1"/>
  <c r="I171" i="1"/>
  <c r="J171" i="1" s="1"/>
  <c r="G171" i="1"/>
  <c r="I170" i="1"/>
  <c r="J170" i="1" s="1"/>
  <c r="L170" i="1" s="1"/>
  <c r="G170" i="1"/>
  <c r="I169" i="1"/>
  <c r="J169" i="1" s="1"/>
  <c r="G169" i="1"/>
  <c r="I149" i="1"/>
  <c r="J149" i="1" s="1"/>
  <c r="I150" i="1"/>
  <c r="J150" i="1" s="1"/>
  <c r="I148" i="1"/>
  <c r="J148" i="1" s="1"/>
  <c r="I147" i="1"/>
  <c r="J147" i="1" s="1"/>
  <c r="L147" i="1" s="1"/>
  <c r="I146" i="1"/>
  <c r="I145" i="1"/>
  <c r="J145" i="1" s="1"/>
  <c r="I144" i="1"/>
  <c r="J144" i="1" s="1"/>
  <c r="I143" i="1"/>
  <c r="J143" i="1" s="1"/>
  <c r="L143" i="1" s="1"/>
  <c r="I142" i="1"/>
  <c r="J142" i="1" s="1"/>
  <c r="J146" i="1"/>
  <c r="G150" i="1"/>
  <c r="G149" i="1"/>
  <c r="G148" i="1"/>
  <c r="G147" i="1"/>
  <c r="G146" i="1"/>
  <c r="G145" i="1"/>
  <c r="G144" i="1"/>
  <c r="G143" i="1"/>
  <c r="G142" i="1"/>
  <c r="G253" i="1"/>
  <c r="I238" i="1"/>
  <c r="I131" i="1"/>
  <c r="J192" i="1"/>
  <c r="G192" i="1"/>
  <c r="I190" i="1"/>
  <c r="G190" i="1"/>
  <c r="J189" i="1"/>
  <c r="I189" i="1"/>
  <c r="G189" i="1"/>
  <c r="I188" i="1"/>
  <c r="G188" i="1"/>
  <c r="I187" i="1"/>
  <c r="G187" i="1"/>
  <c r="G165" i="1"/>
  <c r="I163" i="1"/>
  <c r="G163" i="1"/>
  <c r="J162" i="1"/>
  <c r="I162" i="1"/>
  <c r="G162" i="1"/>
  <c r="I161" i="1"/>
  <c r="G161" i="1"/>
  <c r="I160" i="1"/>
  <c r="G160" i="1"/>
  <c r="I136" i="1"/>
  <c r="I135" i="1"/>
  <c r="I134" i="1"/>
  <c r="I133" i="1"/>
  <c r="G138" i="1"/>
  <c r="G136" i="1"/>
  <c r="J135" i="1"/>
  <c r="G135" i="1"/>
  <c r="G134" i="1"/>
  <c r="G133" i="1"/>
  <c r="D81" i="1"/>
  <c r="I542" i="1"/>
  <c r="I541" i="1"/>
  <c r="I304" i="1"/>
  <c r="I196" i="1"/>
  <c r="Q687" i="1" l="1"/>
  <c r="R687" i="1" s="1"/>
  <c r="J674" i="1"/>
  <c r="K674" i="1" s="1"/>
  <c r="N673" i="1"/>
  <c r="Q680" i="1"/>
  <c r="R680" i="1" s="1"/>
  <c r="L249" i="1"/>
  <c r="L277" i="1"/>
  <c r="L250" i="1"/>
  <c r="L276" i="1"/>
  <c r="K162" i="1"/>
  <c r="K135" i="1"/>
  <c r="G1276" i="1"/>
  <c r="G1274" i="1"/>
  <c r="G1272" i="1"/>
  <c r="G1270" i="1"/>
  <c r="G1269" i="1"/>
  <c r="G1268" i="1"/>
  <c r="G1267" i="1"/>
  <c r="G1266" i="1"/>
  <c r="G1265" i="1"/>
  <c r="G1262" i="1"/>
  <c r="G1261" i="1"/>
  <c r="G1257" i="1"/>
  <c r="D1256" i="1"/>
  <c r="G1256" i="1" s="1"/>
  <c r="D1255" i="1"/>
  <c r="G1255" i="1" s="1"/>
  <c r="D1254" i="1"/>
  <c r="G1254" i="1" s="1"/>
  <c r="G1252" i="1"/>
  <c r="G1250" i="1"/>
  <c r="D1248" i="1"/>
  <c r="G1247" i="1"/>
  <c r="G1245" i="1"/>
  <c r="G1241" i="1"/>
  <c r="G1240" i="1"/>
  <c r="G1239" i="1"/>
  <c r="G1238" i="1"/>
  <c r="G1237" i="1"/>
  <c r="G1233" i="1"/>
  <c r="G1232" i="1"/>
  <c r="G1231" i="1"/>
  <c r="G1224" i="1"/>
  <c r="D1223" i="1"/>
  <c r="G1223" i="1" s="1"/>
  <c r="D1222" i="1"/>
  <c r="G1222" i="1" s="1"/>
  <c r="D1221" i="1"/>
  <c r="G1221" i="1" s="1"/>
  <c r="G1214" i="1"/>
  <c r="D1211" i="1"/>
  <c r="G1210" i="1"/>
  <c r="G1205" i="1"/>
  <c r="G1204" i="1"/>
  <c r="G1203" i="1"/>
  <c r="G1202" i="1"/>
  <c r="G1201" i="1"/>
  <c r="G1196" i="1"/>
  <c r="G1195" i="1"/>
  <c r="G1194" i="1"/>
  <c r="G1190" i="1"/>
  <c r="G1188" i="1"/>
  <c r="G1187" i="1"/>
  <c r="D1186" i="1"/>
  <c r="G1186" i="1" s="1"/>
  <c r="D1185" i="1"/>
  <c r="G1185" i="1" s="1"/>
  <c r="D1184" i="1"/>
  <c r="G1184" i="1" s="1"/>
  <c r="G1177" i="1"/>
  <c r="D1175" i="1"/>
  <c r="G1174" i="1"/>
  <c r="G1171" i="1"/>
  <c r="G1170" i="1"/>
  <c r="G1169" i="1"/>
  <c r="G1168" i="1"/>
  <c r="G1166" i="1"/>
  <c r="G1165" i="1"/>
  <c r="G1161" i="1"/>
  <c r="G1160" i="1"/>
  <c r="G1159" i="1"/>
  <c r="G1158" i="1"/>
  <c r="G1154" i="1"/>
  <c r="G1153" i="1"/>
  <c r="D1152" i="1"/>
  <c r="G1152" i="1" s="1"/>
  <c r="G1151" i="1"/>
  <c r="D1150" i="1"/>
  <c r="G1150" i="1" s="1"/>
  <c r="G1144" i="1"/>
  <c r="G1141" i="1"/>
  <c r="G1140" i="1"/>
  <c r="G1123" i="1"/>
  <c r="G1122" i="1"/>
  <c r="G1121" i="1"/>
  <c r="G1119" i="1"/>
  <c r="G1118" i="1"/>
  <c r="G1117" i="1"/>
  <c r="G1115" i="1"/>
  <c r="G1114" i="1"/>
  <c r="G1113" i="1"/>
  <c r="G1111" i="1"/>
  <c r="G1110" i="1"/>
  <c r="D1109" i="1"/>
  <c r="G1109" i="1" s="1"/>
  <c r="G1108" i="1"/>
  <c r="D1107" i="1"/>
  <c r="G1107" i="1" s="1"/>
  <c r="G1106" i="1"/>
  <c r="G1105" i="1"/>
  <c r="G1104" i="1"/>
  <c r="G1103" i="1"/>
  <c r="F1101" i="1"/>
  <c r="G1101" i="1" s="1"/>
  <c r="F1100" i="1"/>
  <c r="G1100" i="1" s="1"/>
  <c r="G1098" i="1"/>
  <c r="G1096" i="1"/>
  <c r="G1095" i="1"/>
  <c r="G1094" i="1"/>
  <c r="G1091" i="1"/>
  <c r="G1088" i="1"/>
  <c r="D1087" i="1"/>
  <c r="G1087" i="1" s="1"/>
  <c r="G1086" i="1"/>
  <c r="D1085" i="1"/>
  <c r="G1085" i="1" s="1"/>
  <c r="G1084" i="1"/>
  <c r="G1083" i="1"/>
  <c r="G1082" i="1"/>
  <c r="G1081" i="1"/>
  <c r="F1080" i="1"/>
  <c r="G1080" i="1" s="1"/>
  <c r="F1079" i="1"/>
  <c r="G1079" i="1" s="1"/>
  <c r="G1077" i="1"/>
  <c r="G1076" i="1"/>
  <c r="G1075" i="1"/>
  <c r="G1074" i="1"/>
  <c r="G1065" i="1"/>
  <c r="F1064" i="1"/>
  <c r="G1064" i="1" s="1"/>
  <c r="F1063" i="1"/>
  <c r="G1063" i="1" s="1"/>
  <c r="G1061" i="1"/>
  <c r="G899" i="1"/>
  <c r="G897" i="1"/>
  <c r="G895" i="1"/>
  <c r="G892" i="1"/>
  <c r="G890" i="1"/>
  <c r="G888" i="1"/>
  <c r="G887" i="1"/>
  <c r="G885" i="1"/>
  <c r="G1300" i="1" l="1"/>
  <c r="G1129" i="1"/>
  <c r="G906" i="1"/>
  <c r="G858" i="1" l="1"/>
  <c r="G818" i="1"/>
  <c r="G1343" i="1" l="1"/>
  <c r="G1342" i="1"/>
  <c r="G1341" i="1"/>
  <c r="G1340" i="1"/>
  <c r="G1339" i="1"/>
  <c r="G1337" i="1"/>
  <c r="G1336" i="1"/>
  <c r="G1335" i="1"/>
  <c r="G1334" i="1"/>
  <c r="G1333" i="1"/>
  <c r="G1332" i="1"/>
  <c r="G1331" i="1"/>
  <c r="G1329" i="1"/>
  <c r="G1328" i="1"/>
  <c r="G1327" i="1"/>
  <c r="G1326" i="1"/>
  <c r="G1325" i="1"/>
  <c r="G1324" i="1"/>
  <c r="G1323" i="1"/>
  <c r="G1321" i="1"/>
  <c r="G1320" i="1"/>
  <c r="G1319" i="1"/>
  <c r="G1318" i="1"/>
  <c r="G1317" i="1"/>
  <c r="G1316" i="1"/>
  <c r="G1315" i="1"/>
  <c r="G1314" i="1"/>
  <c r="G1313" i="1"/>
  <c r="G1312" i="1"/>
  <c r="G1311" i="1"/>
  <c r="D749" i="1"/>
  <c r="D741" i="1"/>
  <c r="D737" i="1"/>
  <c r="G737" i="1" s="1"/>
  <c r="D736" i="1"/>
  <c r="G736" i="1" s="1"/>
  <c r="D735" i="1"/>
  <c r="G735" i="1" s="1"/>
  <c r="G712" i="1"/>
  <c r="G750" i="1"/>
  <c r="G751" i="1"/>
  <c r="G752" i="1"/>
  <c r="G753" i="1"/>
  <c r="G744" i="1"/>
  <c r="G745" i="1"/>
  <c r="G746" i="1"/>
  <c r="G738" i="1"/>
  <c r="G739" i="1"/>
  <c r="G724" i="1"/>
  <c r="G725" i="1"/>
  <c r="G726" i="1"/>
  <c r="G727" i="1"/>
  <c r="G719" i="1"/>
  <c r="G720" i="1"/>
  <c r="G721" i="1"/>
  <c r="G711" i="1"/>
  <c r="G713" i="1"/>
  <c r="G714" i="1"/>
  <c r="I356" i="1"/>
  <c r="I436" i="1"/>
  <c r="G436" i="1"/>
  <c r="I435" i="1"/>
  <c r="G435" i="1"/>
  <c r="I513" i="1"/>
  <c r="G513" i="1"/>
  <c r="I512" i="1"/>
  <c r="G512" i="1"/>
  <c r="I264" i="1"/>
  <c r="I235" i="1"/>
  <c r="I128" i="1"/>
  <c r="I184" i="1"/>
  <c r="I205" i="1"/>
  <c r="I157" i="1"/>
  <c r="G1001" i="1" l="1"/>
  <c r="G994" i="1"/>
  <c r="G993" i="1"/>
  <c r="G989" i="1"/>
  <c r="H989" i="1" s="1"/>
  <c r="G1006" i="1"/>
  <c r="G922" i="1" l="1"/>
  <c r="J921" i="1"/>
  <c r="K921" i="1" s="1"/>
  <c r="I572" i="1"/>
  <c r="J572" i="1" s="1"/>
  <c r="I320" i="1"/>
  <c r="J320" i="1" s="1"/>
  <c r="G105" i="1"/>
  <c r="N568" i="1"/>
  <c r="O568" i="1"/>
  <c r="J568" i="1"/>
  <c r="K568" i="1" s="1"/>
  <c r="L568" i="1" s="1"/>
  <c r="I568" i="1"/>
  <c r="I570" i="1"/>
  <c r="G570" i="1"/>
  <c r="I317" i="1"/>
  <c r="J317" i="1"/>
  <c r="J209" i="1"/>
  <c r="K209" i="1" s="1"/>
  <c r="I209" i="1"/>
  <c r="I210" i="1"/>
  <c r="G210" i="1"/>
  <c r="I213" i="1"/>
  <c r="J213" i="1" s="1"/>
  <c r="K317" i="1" l="1"/>
  <c r="P568" i="1"/>
  <c r="L209" i="1"/>
  <c r="G318" i="1"/>
  <c r="G576" i="1"/>
  <c r="G931" i="1"/>
  <c r="G816" i="1"/>
  <c r="G853" i="1"/>
  <c r="G1349" i="1" l="1"/>
  <c r="G974" i="1" l="1"/>
  <c r="G966" i="1"/>
  <c r="G960" i="1"/>
  <c r="G954" i="1"/>
  <c r="G973" i="1"/>
  <c r="G971" i="1"/>
  <c r="G970" i="1"/>
  <c r="G969" i="1"/>
  <c r="G965" i="1"/>
  <c r="G963" i="1"/>
  <c r="G959" i="1"/>
  <c r="G957" i="1"/>
  <c r="G953" i="1"/>
  <c r="G951" i="1"/>
  <c r="G950" i="1"/>
  <c r="G918" i="1"/>
  <c r="G917" i="1"/>
  <c r="G915" i="1"/>
  <c r="G926" i="1"/>
  <c r="K896" i="1"/>
  <c r="J896" i="1"/>
  <c r="I896" i="1"/>
  <c r="I894" i="1"/>
  <c r="G861" i="1"/>
  <c r="G857" i="1"/>
  <c r="G852" i="1"/>
  <c r="G851" i="1"/>
  <c r="G850" i="1"/>
  <c r="G849" i="1"/>
  <c r="G848" i="1"/>
  <c r="G841" i="1"/>
  <c r="G840" i="1"/>
  <c r="G839" i="1"/>
  <c r="G817" i="1"/>
  <c r="G756" i="1"/>
  <c r="G749" i="1"/>
  <c r="D743" i="1"/>
  <c r="G743" i="1" s="1"/>
  <c r="D742" i="1"/>
  <c r="G742" i="1" s="1"/>
  <c r="G741" i="1"/>
  <c r="G759" i="1"/>
  <c r="G761" i="1"/>
  <c r="G730" i="1"/>
  <c r="G731" i="1"/>
  <c r="G693" i="1"/>
  <c r="G692" i="1"/>
  <c r="M729" i="1"/>
  <c r="N729" i="1" s="1"/>
  <c r="G729" i="1"/>
  <c r="K726" i="1"/>
  <c r="J726" i="1"/>
  <c r="I726" i="1"/>
  <c r="G723" i="1"/>
  <c r="K720" i="1"/>
  <c r="J720" i="1"/>
  <c r="I720" i="1"/>
  <c r="D718" i="1"/>
  <c r="G718" i="1" s="1"/>
  <c r="D717" i="1"/>
  <c r="G717" i="1" s="1"/>
  <c r="G716" i="1"/>
  <c r="G517" i="1"/>
  <c r="G516" i="1"/>
  <c r="I440" i="1"/>
  <c r="I439" i="1"/>
  <c r="I361" i="1"/>
  <c r="I360" i="1"/>
  <c r="G293" i="1"/>
  <c r="I236" i="1"/>
  <c r="J236" i="1"/>
  <c r="K236" i="1"/>
  <c r="L236" i="1"/>
  <c r="G185" i="1"/>
  <c r="L130" i="1"/>
  <c r="J129" i="1"/>
  <c r="L129" i="1"/>
  <c r="K129" i="1"/>
  <c r="I129" i="1"/>
  <c r="G695" i="1"/>
  <c r="G691" i="1"/>
  <c r="G687" i="1"/>
  <c r="G684" i="1"/>
  <c r="G680" i="1"/>
  <c r="G677" i="1"/>
  <c r="G668" i="1"/>
  <c r="I499" i="1"/>
  <c r="G499" i="1"/>
  <c r="I497" i="1"/>
  <c r="G497" i="1"/>
  <c r="I421" i="1"/>
  <c r="G421" i="1"/>
  <c r="G572" i="1"/>
  <c r="G568" i="1"/>
  <c r="I548" i="1"/>
  <c r="I545" i="1"/>
  <c r="I565" i="1"/>
  <c r="I564" i="1"/>
  <c r="G565" i="1"/>
  <c r="G564" i="1"/>
  <c r="I563" i="1"/>
  <c r="J563" i="1" s="1"/>
  <c r="I561" i="1"/>
  <c r="I558" i="1"/>
  <c r="I555" i="1"/>
  <c r="I554" i="1"/>
  <c r="I557" i="1"/>
  <c r="I560" i="1"/>
  <c r="I551" i="1"/>
  <c r="G551" i="1"/>
  <c r="G561" i="1"/>
  <c r="G560" i="1"/>
  <c r="G558" i="1"/>
  <c r="G557" i="1"/>
  <c r="G555" i="1"/>
  <c r="G554" i="1"/>
  <c r="G553" i="1"/>
  <c r="K306" i="1"/>
  <c r="J306" i="1"/>
  <c r="I306" i="1"/>
  <c r="I305" i="1"/>
  <c r="J309" i="1"/>
  <c r="I309" i="1"/>
  <c r="I547" i="1"/>
  <c r="G547" i="1"/>
  <c r="I544" i="1"/>
  <c r="G542" i="1"/>
  <c r="G541" i="1"/>
  <c r="I433" i="1"/>
  <c r="I509" i="1"/>
  <c r="I403" i="1"/>
  <c r="I354" i="1"/>
  <c r="I510" i="1"/>
  <c r="I506" i="1"/>
  <c r="G510" i="1"/>
  <c r="G509" i="1"/>
  <c r="I507" i="1"/>
  <c r="G507" i="1"/>
  <c r="G506" i="1"/>
  <c r="I504" i="1"/>
  <c r="G504" i="1"/>
  <c r="I503" i="1"/>
  <c r="G503" i="1"/>
  <c r="G502" i="1"/>
  <c r="I432" i="1"/>
  <c r="I431" i="1"/>
  <c r="I428" i="1"/>
  <c r="I429" i="1"/>
  <c r="I426" i="1"/>
  <c r="I425" i="1"/>
  <c r="I346" i="1"/>
  <c r="I347" i="1"/>
  <c r="G432" i="1"/>
  <c r="G439" i="1"/>
  <c r="G433" i="1"/>
  <c r="G431" i="1"/>
  <c r="G429" i="1"/>
  <c r="G428" i="1"/>
  <c r="G426" i="1"/>
  <c r="G425" i="1"/>
  <c r="G424" i="1"/>
  <c r="I493" i="1"/>
  <c r="G493" i="1"/>
  <c r="I492" i="1"/>
  <c r="G492" i="1"/>
  <c r="I490" i="1"/>
  <c r="G490" i="1"/>
  <c r="I489" i="1"/>
  <c r="G489" i="1"/>
  <c r="I487" i="1"/>
  <c r="G487" i="1"/>
  <c r="I486" i="1"/>
  <c r="G486" i="1"/>
  <c r="I485" i="1"/>
  <c r="G485" i="1"/>
  <c r="I483" i="1"/>
  <c r="G483" i="1"/>
  <c r="I482" i="1"/>
  <c r="G482" i="1"/>
  <c r="I480" i="1"/>
  <c r="G480" i="1"/>
  <c r="I479" i="1"/>
  <c r="G479" i="1"/>
  <c r="I477" i="1"/>
  <c r="G477" i="1"/>
  <c r="I476" i="1"/>
  <c r="G476" i="1"/>
  <c r="I474" i="1"/>
  <c r="G474" i="1"/>
  <c r="I473" i="1"/>
  <c r="G473" i="1"/>
  <c r="I472" i="1"/>
  <c r="G472" i="1"/>
  <c r="I470" i="1"/>
  <c r="G470" i="1"/>
  <c r="I469" i="1"/>
  <c r="G469" i="1"/>
  <c r="I468" i="1"/>
  <c r="G468" i="1"/>
  <c r="I466" i="1"/>
  <c r="G466" i="1"/>
  <c r="I465" i="1"/>
  <c r="G465" i="1"/>
  <c r="I464" i="1"/>
  <c r="G464" i="1"/>
  <c r="I416" i="1"/>
  <c r="I411" i="1"/>
  <c r="I407" i="1"/>
  <c r="I417" i="1"/>
  <c r="I414" i="1"/>
  <c r="I413" i="1"/>
  <c r="I410" i="1"/>
  <c r="I409" i="1"/>
  <c r="I406" i="1"/>
  <c r="I404" i="1"/>
  <c r="I401" i="1"/>
  <c r="I400" i="1"/>
  <c r="I398" i="1"/>
  <c r="I397" i="1"/>
  <c r="I396" i="1"/>
  <c r="I394" i="1"/>
  <c r="I393" i="1"/>
  <c r="I392" i="1"/>
  <c r="I390" i="1"/>
  <c r="I388" i="1"/>
  <c r="I389" i="1"/>
  <c r="G410" i="1"/>
  <c r="G417" i="1"/>
  <c r="G416" i="1"/>
  <c r="G414" i="1"/>
  <c r="G413" i="1"/>
  <c r="G411" i="1"/>
  <c r="G409" i="1"/>
  <c r="G407" i="1"/>
  <c r="G406" i="1"/>
  <c r="G404" i="1"/>
  <c r="G403" i="1"/>
  <c r="G401" i="1"/>
  <c r="G400" i="1"/>
  <c r="G398" i="1"/>
  <c r="G397" i="1"/>
  <c r="G396" i="1"/>
  <c r="G392" i="1"/>
  <c r="G389" i="1"/>
  <c r="G361" i="1"/>
  <c r="G360" i="1"/>
  <c r="I357" i="1"/>
  <c r="I353" i="1"/>
  <c r="G357" i="1"/>
  <c r="G356" i="1"/>
  <c r="G354" i="1"/>
  <c r="G353" i="1"/>
  <c r="I351" i="1"/>
  <c r="I350" i="1"/>
  <c r="I349" i="1"/>
  <c r="G349" i="1"/>
  <c r="I341" i="1"/>
  <c r="I340" i="1"/>
  <c r="I330" i="1"/>
  <c r="I336" i="1"/>
  <c r="I332" i="1"/>
  <c r="I334" i="1"/>
  <c r="G332" i="1"/>
  <c r="I223" i="1"/>
  <c r="G257" i="1"/>
  <c r="G256" i="1"/>
  <c r="G255" i="1"/>
  <c r="G254" i="1"/>
  <c r="G252" i="1"/>
  <c r="G251" i="1"/>
  <c r="G250" i="1"/>
  <c r="G249" i="1"/>
  <c r="J308" i="1"/>
  <c r="I308" i="1"/>
  <c r="N309" i="1"/>
  <c r="M309" i="1"/>
  <c r="L309" i="1"/>
  <c r="K309" i="1"/>
  <c r="I313" i="1"/>
  <c r="L896" i="1" l="1"/>
  <c r="M896" i="1" s="1"/>
  <c r="L726" i="1"/>
  <c r="L720" i="1"/>
  <c r="M236" i="1"/>
  <c r="M129" i="1"/>
  <c r="I315" i="1"/>
  <c r="J315" i="1" s="1"/>
  <c r="I312" i="1"/>
  <c r="I311" i="1"/>
  <c r="I291" i="1"/>
  <c r="G291" i="1"/>
  <c r="J290" i="1"/>
  <c r="I290" i="1"/>
  <c r="G290" i="1"/>
  <c r="I289" i="1"/>
  <c r="G289" i="1"/>
  <c r="K287" i="1"/>
  <c r="I287" i="1"/>
  <c r="I263" i="1"/>
  <c r="I262" i="1"/>
  <c r="I261" i="1"/>
  <c r="G263" i="1"/>
  <c r="G262" i="1"/>
  <c r="G261" i="1"/>
  <c r="I286" i="1"/>
  <c r="J287" i="1" s="1"/>
  <c r="X637" i="1" l="1"/>
  <c r="L287" i="1"/>
  <c r="M287" i="1" s="1"/>
  <c r="K290" i="1"/>
  <c r="I234" i="1"/>
  <c r="I233" i="1"/>
  <c r="I232" i="1"/>
  <c r="I226" i="1"/>
  <c r="I225" i="1"/>
  <c r="I224" i="1"/>
  <c r="G320" i="1"/>
  <c r="G317" i="1"/>
  <c r="G315" i="1"/>
  <c r="G313" i="1"/>
  <c r="J312" i="1"/>
  <c r="K312" i="1" s="1"/>
  <c r="G312" i="1"/>
  <c r="G311" i="1"/>
  <c r="G309" i="1"/>
  <c r="G308" i="1"/>
  <c r="G306" i="1"/>
  <c r="J305" i="1"/>
  <c r="K305" i="1" s="1"/>
  <c r="G305" i="1"/>
  <c r="G304" i="1"/>
  <c r="G286" i="1"/>
  <c r="G265" i="1"/>
  <c r="G238" i="1"/>
  <c r="G237" i="1"/>
  <c r="G236" i="1"/>
  <c r="G234" i="1"/>
  <c r="J233" i="1"/>
  <c r="G233" i="1"/>
  <c r="G232" i="1"/>
  <c r="G229" i="1"/>
  <c r="L228" i="1"/>
  <c r="K228" i="1"/>
  <c r="J228" i="1"/>
  <c r="I228" i="1"/>
  <c r="G228" i="1"/>
  <c r="G227" i="1"/>
  <c r="G330" i="1"/>
  <c r="G334" i="1"/>
  <c r="G336" i="1"/>
  <c r="G338" i="1"/>
  <c r="M339" i="1"/>
  <c r="G340" i="1"/>
  <c r="G226" i="1"/>
  <c r="G225" i="1"/>
  <c r="G224" i="1"/>
  <c r="G223" i="1"/>
  <c r="K233" i="1" l="1"/>
  <c r="M228" i="1"/>
  <c r="N228" i="1" s="1"/>
  <c r="M306" i="1"/>
  <c r="O309" i="1"/>
  <c r="K308" i="1"/>
  <c r="K201" i="1"/>
  <c r="L201" i="1"/>
  <c r="I201" i="1"/>
  <c r="J201" i="1"/>
  <c r="N201" i="1"/>
  <c r="M201" i="1"/>
  <c r="J200" i="1"/>
  <c r="I200" i="1"/>
  <c r="I207" i="1"/>
  <c r="J207" i="1" s="1"/>
  <c r="G213" i="1"/>
  <c r="G209" i="1"/>
  <c r="G207" i="1"/>
  <c r="I204" i="1"/>
  <c r="I203" i="1"/>
  <c r="G205" i="1"/>
  <c r="J204" i="1"/>
  <c r="G204" i="1"/>
  <c r="G203" i="1"/>
  <c r="L198" i="1"/>
  <c r="J198" i="1"/>
  <c r="K198" i="1"/>
  <c r="I198" i="1"/>
  <c r="J197" i="1"/>
  <c r="I197" i="1"/>
  <c r="G201" i="1"/>
  <c r="G200" i="1"/>
  <c r="I183" i="1"/>
  <c r="G183" i="1"/>
  <c r="J182" i="1"/>
  <c r="I182" i="1"/>
  <c r="G182" i="1"/>
  <c r="I181" i="1"/>
  <c r="G181" i="1"/>
  <c r="K179" i="1"/>
  <c r="I179" i="1"/>
  <c r="J179" i="1"/>
  <c r="I154" i="1"/>
  <c r="I156" i="1"/>
  <c r="I155" i="1"/>
  <c r="G156" i="1"/>
  <c r="J155" i="1"/>
  <c r="G155" i="1"/>
  <c r="G154" i="1"/>
  <c r="K204" i="1" l="1"/>
  <c r="K200" i="1"/>
  <c r="K197" i="1"/>
  <c r="M198" i="1"/>
  <c r="K155" i="1"/>
  <c r="K182" i="1"/>
  <c r="O201" i="1"/>
  <c r="L179" i="1"/>
  <c r="M179" i="1" s="1"/>
  <c r="I127" i="1"/>
  <c r="I126" i="1"/>
  <c r="I125" i="1"/>
  <c r="L121" i="1"/>
  <c r="K121" i="1"/>
  <c r="J121" i="1"/>
  <c r="I121" i="1"/>
  <c r="I119" i="1"/>
  <c r="I118" i="1"/>
  <c r="I117" i="1"/>
  <c r="I116" i="1"/>
  <c r="G119" i="1"/>
  <c r="G118" i="1"/>
  <c r="G117" i="1"/>
  <c r="G116" i="1"/>
  <c r="I109" i="1"/>
  <c r="I108" i="1"/>
  <c r="I107" i="1"/>
  <c r="I106" i="1"/>
  <c r="O111" i="1"/>
  <c r="N111" i="1"/>
  <c r="M111" i="1"/>
  <c r="L111" i="1"/>
  <c r="K111" i="1"/>
  <c r="J111" i="1"/>
  <c r="I111" i="1"/>
  <c r="G111" i="1"/>
  <c r="G110" i="1"/>
  <c r="G109" i="1"/>
  <c r="G108" i="1"/>
  <c r="G107" i="1"/>
  <c r="G106" i="1"/>
  <c r="O112" i="1"/>
  <c r="N112" i="1"/>
  <c r="M112" i="1"/>
  <c r="L112" i="1"/>
  <c r="K112" i="1"/>
  <c r="J112" i="1"/>
  <c r="I112" i="1"/>
  <c r="I104" i="1"/>
  <c r="I103" i="1"/>
  <c r="I102" i="1"/>
  <c r="J77" i="1"/>
  <c r="I77" i="1"/>
  <c r="G77" i="1"/>
  <c r="O71" i="1"/>
  <c r="N71" i="1"/>
  <c r="M71" i="1"/>
  <c r="L71" i="1"/>
  <c r="K71" i="1"/>
  <c r="J71" i="1"/>
  <c r="I71" i="1"/>
  <c r="G71" i="1"/>
  <c r="G70" i="1"/>
  <c r="I68" i="1"/>
  <c r="I67" i="1"/>
  <c r="I66" i="1"/>
  <c r="I65" i="1"/>
  <c r="G66" i="1"/>
  <c r="G67" i="1"/>
  <c r="G68" i="1"/>
  <c r="M121" i="1" l="1"/>
  <c r="N121" i="1" s="1"/>
  <c r="P71" i="1"/>
  <c r="Q71" i="1" s="1"/>
  <c r="P112" i="1"/>
  <c r="Q112" i="1" s="1"/>
  <c r="K77" i="1"/>
  <c r="P111" i="1"/>
  <c r="Q111" i="1" s="1"/>
  <c r="F25" i="1"/>
  <c r="I81" i="1" l="1"/>
  <c r="I745" i="1"/>
  <c r="G815" i="1"/>
  <c r="G814" i="1"/>
  <c r="J126" i="1"/>
  <c r="J60" i="1"/>
  <c r="K60" i="1" s="1"/>
  <c r="J474" i="1" l="1"/>
  <c r="D495" i="1"/>
  <c r="J497" i="1"/>
  <c r="K126" i="1"/>
  <c r="G997" i="1"/>
  <c r="G591" i="1"/>
  <c r="G590" i="1"/>
  <c r="G589" i="1"/>
  <c r="G575" i="1"/>
  <c r="G577" i="1"/>
  <c r="G578" i="1"/>
  <c r="G579" i="1"/>
  <c r="G580" i="1"/>
  <c r="G581" i="1"/>
  <c r="G131" i="1"/>
  <c r="G130" i="1"/>
  <c r="G129" i="1"/>
  <c r="G127" i="1"/>
  <c r="G126" i="1"/>
  <c r="G125" i="1"/>
  <c r="G121" i="1"/>
  <c r="G120" i="1"/>
  <c r="G916" i="1"/>
  <c r="G920" i="1"/>
  <c r="G921" i="1"/>
  <c r="G924" i="1"/>
  <c r="G925" i="1"/>
  <c r="G929" i="1"/>
  <c r="G930" i="1"/>
  <c r="G914" i="1"/>
  <c r="J470" i="1" l="1"/>
  <c r="J466" i="1"/>
  <c r="G495" i="1"/>
  <c r="G939" i="1" l="1"/>
  <c r="C13" i="2" s="1"/>
  <c r="G987" i="1" l="1"/>
  <c r="G1051" i="1" s="1"/>
  <c r="I754" i="1"/>
  <c r="C17" i="2" l="1"/>
  <c r="C15" i="2"/>
  <c r="G809" i="1"/>
  <c r="G807" i="1"/>
  <c r="G875" i="1" l="1"/>
  <c r="G710" i="1"/>
  <c r="G796" i="1" s="1"/>
  <c r="G681" i="1"/>
  <c r="G623" i="1"/>
  <c r="G548" i="1"/>
  <c r="G545" i="1"/>
  <c r="G544" i="1"/>
  <c r="G198" i="1" l="1"/>
  <c r="G197" i="1"/>
  <c r="G196" i="1"/>
  <c r="G501" i="1"/>
  <c r="G423" i="1"/>
  <c r="K425" i="1"/>
  <c r="G364" i="1"/>
  <c r="G393" i="1"/>
  <c r="G350" i="1"/>
  <c r="J508" i="1" l="1"/>
  <c r="G158" i="1"/>
  <c r="G122" i="1"/>
  <c r="G394" i="1" l="1"/>
  <c r="G390" i="1"/>
  <c r="G388" i="1"/>
  <c r="G351" i="1"/>
  <c r="G347" i="1"/>
  <c r="G346" i="1"/>
  <c r="G344" i="1"/>
  <c r="G343" i="1"/>
  <c r="G341" i="1"/>
  <c r="G82" i="1"/>
  <c r="G81" i="1"/>
  <c r="G80" i="1"/>
  <c r="G79" i="1"/>
  <c r="G78" i="1"/>
  <c r="G76" i="1"/>
  <c r="G65" i="1"/>
  <c r="G64" i="1"/>
  <c r="G63" i="1"/>
  <c r="G62" i="1"/>
  <c r="G61" i="1"/>
  <c r="G60" i="1"/>
  <c r="G59" i="1"/>
  <c r="G23" i="1"/>
  <c r="G24" i="1"/>
  <c r="G25" i="1"/>
  <c r="G26" i="1"/>
  <c r="G27" i="1"/>
  <c r="G96" i="1" l="1"/>
  <c r="F22" i="1" l="1"/>
  <c r="G22" i="1" s="1"/>
  <c r="G977" i="1" l="1"/>
  <c r="C14" i="2" s="1"/>
  <c r="I82" i="1"/>
  <c r="G345" i="1" l="1"/>
  <c r="F31" i="1" l="1"/>
  <c r="G31" i="1" s="1"/>
  <c r="F29" i="1"/>
  <c r="G29" i="1" s="1"/>
  <c r="F30" i="1"/>
  <c r="G30" i="1" s="1"/>
  <c r="F28" i="1"/>
  <c r="G28" i="1" s="1"/>
  <c r="G52" i="1" l="1"/>
  <c r="C6" i="2" s="1"/>
  <c r="M723" i="1" l="1"/>
  <c r="P839" i="1"/>
  <c r="P836" i="1"/>
  <c r="P830" i="1"/>
  <c r="N723" i="1" l="1"/>
  <c r="M725" i="1"/>
  <c r="P842" i="1"/>
  <c r="P833" i="1"/>
  <c r="G699" i="1" l="1"/>
  <c r="G1407" i="1"/>
  <c r="G1465" i="1" s="1"/>
  <c r="C7" i="2" l="1"/>
  <c r="C11" i="2" l="1"/>
  <c r="G612" i="1" l="1"/>
  <c r="C9" i="2" l="1"/>
  <c r="C10" i="2" l="1"/>
  <c r="C16" i="2" l="1"/>
  <c r="C8" i="2" l="1"/>
  <c r="F23" i="2" s="1"/>
  <c r="F22" i="2" l="1"/>
</calcChain>
</file>

<file path=xl/sharedStrings.xml><?xml version="1.0" encoding="utf-8"?>
<sst xmlns="http://schemas.openxmlformats.org/spreadsheetml/2006/main" count="2319" uniqueCount="632">
  <si>
    <t>Item</t>
  </si>
  <si>
    <t>Description</t>
  </si>
  <si>
    <t>Unit</t>
  </si>
  <si>
    <t>Qty</t>
  </si>
  <si>
    <t>Material
Rate</t>
  </si>
  <si>
    <t>Labour
Rate</t>
  </si>
  <si>
    <t>Total</t>
  </si>
  <si>
    <t>(1)</t>
  </si>
  <si>
    <t>nos</t>
  </si>
  <si>
    <t>2.2</t>
  </si>
  <si>
    <t>REINFORCEMENT WORK</t>
  </si>
  <si>
    <t>FORM WORK</t>
  </si>
  <si>
    <t>REINFORCED CONCRETE</t>
  </si>
  <si>
    <t>16mm dia deformed bars</t>
  </si>
  <si>
    <t>12mm dia deformed bars</t>
  </si>
  <si>
    <t>6mm dia MS round bars</t>
  </si>
  <si>
    <t>10mm dia deformed bars</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</si>
  <si>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</si>
  <si>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</si>
  <si>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</si>
  <si>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</si>
  <si>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</si>
  <si>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</si>
  <si>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</si>
  <si>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</si>
  <si>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</si>
  <si>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</si>
  <si>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</si>
  <si>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</si>
  <si>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</si>
  <si>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</si>
  <si>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</si>
  <si>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</si>
  <si>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</si>
  <si>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and similar items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</si>
  <si>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</si>
  <si>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</si>
  <si>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</si>
  <si>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</si>
  <si>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</si>
  <si>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</si>
  <si>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</si>
  <si>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</si>
  <si>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</si>
  <si>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</si>
  <si>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m²</t>
  </si>
  <si>
    <t>m³</t>
  </si>
  <si>
    <t>2.4</t>
  </si>
  <si>
    <t>Back filling</t>
  </si>
  <si>
    <t>(a) Rates shall include for: leveling, grading, trimming and compacting.</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</si>
  <si>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</si>
  <si>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</si>
  <si>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</si>
  <si>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</si>
  <si>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</si>
  <si>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</si>
  <si>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</si>
  <si>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</si>
  <si>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</si>
  <si>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Rate shall include for all cast in situ concrete as per drawing and  500 gauge polythene sheet or asphalt sheet shall be laid below  Foundations, Tie beams &amp; Wall Beams as  damp proof membrane.</t>
  </si>
  <si>
    <t>Site clearance</t>
  </si>
  <si>
    <t>Clearing site - Demolition of Existing building and dispatch all debris, clearing and dispose all unwanted materials away from site and prepare site ready for proposed construction.</t>
  </si>
  <si>
    <t>(b) Ground need to be compacted to the density required  by the consultant</t>
  </si>
  <si>
    <t>3.1.1</t>
  </si>
  <si>
    <t>LEAN CONCRETE</t>
  </si>
  <si>
    <t>FOUNDATIONS</t>
  </si>
  <si>
    <t>GROUND FLOOR</t>
  </si>
  <si>
    <t>3.2</t>
  </si>
  <si>
    <t>FIRST FLOOR</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</si>
  <si>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</si>
  <si>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</si>
  <si>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</si>
  <si>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</si>
  <si>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</si>
  <si>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</si>
  <si>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</si>
  <si>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</si>
  <si>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</si>
  <si>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</si>
  <si>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</si>
  <si>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</si>
  <si>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</si>
  <si>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</si>
  <si>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</si>
  <si>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</si>
  <si>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</si>
  <si>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</si>
  <si>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</si>
  <si>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</si>
  <si>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</si>
  <si>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</si>
  <si>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</si>
  <si>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</si>
  <si>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</si>
  <si>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</si>
  <si>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</si>
  <si>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</si>
  <si>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</si>
  <si>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</si>
  <si>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</si>
  <si>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</si>
  <si>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</si>
  <si>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</si>
  <si>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</si>
  <si>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</si>
  <si>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(a)Rates shall include for cleaning out cavities, forming rebated reveals and pointing and cleaning down to  reveals where necessary; fractional size blocks, all necessary machine cutting, cutting or forming chases or edges of  floor slabs.</t>
  </si>
  <si>
    <t xml:space="preserve"> PLASTERING</t>
  </si>
  <si>
    <t>BILL N0: 05</t>
  </si>
  <si>
    <t>FLOORING &amp; TILING</t>
  </si>
  <si>
    <t>5.1</t>
  </si>
  <si>
    <t>DOORS AND WINDOWS</t>
  </si>
  <si>
    <t>7.1</t>
  </si>
  <si>
    <t>(c) All Timber door frames shall be treated timber.</t>
  </si>
  <si>
    <t>GROUND  FLOOR</t>
  </si>
  <si>
    <t>no</t>
  </si>
  <si>
    <t>FIRST  FLOOR</t>
  </si>
  <si>
    <t>TOTAL OF BILL No: 07 - Carried over to summary</t>
  </si>
  <si>
    <t>8.1</t>
  </si>
  <si>
    <t>(b) Rates shall include for applying approved quality wood preservators as per manufactures instructions for all Timber  structures.</t>
  </si>
  <si>
    <t>(c) Rates shall include for 9mm thick gypsum board fixed on 35 x 50mm Timber frame,trimming, nails, screws,hooks, hangers,  clips and similar.</t>
  </si>
  <si>
    <t>TOTAL OF BILL No: 08 - Carried over to summary</t>
  </si>
  <si>
    <t>BILL No: 09</t>
  </si>
  <si>
    <t>9.1</t>
  </si>
  <si>
    <t>(b) All painting work shall be carried in accordance with the Specifications</t>
  </si>
  <si>
    <t>TOTAL OF BILL No: 09 - Carried over to summary</t>
  </si>
  <si>
    <t>BILL No: 10</t>
  </si>
  <si>
    <t>10.1</t>
  </si>
  <si>
    <t>RAILING</t>
  </si>
  <si>
    <t>m</t>
  </si>
  <si>
    <t>TOTAL OF BILL No: 10 - Carried over to summary</t>
  </si>
  <si>
    <t>BILL No: 11</t>
  </si>
  <si>
    <t>HYDRAULICS &amp; DRAINAGE</t>
  </si>
  <si>
    <t>11.1</t>
  </si>
  <si>
    <t>(c) Ground water connection shall be made as specified in the drawings.</t>
  </si>
  <si>
    <t>(e) All pipes shall be High Pressure  uPVC "Mutha" or equivalent brand.</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</si>
  <si>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</si>
  <si>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</si>
  <si>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</si>
  <si>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</si>
  <si>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</si>
  <si>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</si>
  <si>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</si>
  <si>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</si>
  <si>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FLOOR SLAB</t>
  </si>
  <si>
    <t>(a) Exposed surface shall have fair finish while remaining may have rough finish.</t>
  </si>
  <si>
    <t>t</t>
  </si>
  <si>
    <t>4.2</t>
  </si>
  <si>
    <t>4.3</t>
  </si>
  <si>
    <t>4.4</t>
  </si>
  <si>
    <t>4.5</t>
  </si>
  <si>
    <t>MASONRY</t>
  </si>
  <si>
    <t>(b) Rates shall include for: Fixing, bedding, grouting, and pointing materials, making good around pipes, sanitary fixtures, and similar; cleaning &amp; Polishing.</t>
  </si>
  <si>
    <t>(a) Rates shall include for laying 50mm thick cement mortar in 1 : 5 mix ratio,cleaning down to reveals where necessary and water proofing of Toilet and Balcony floors &amp; Terrace.</t>
  </si>
  <si>
    <t>(c) All Tiling work in accordance with specifications and finishes schedule.Toilet wall  tiling shall be at 2.6m height from the floor level. Toilet wall tiles shall be 300 x 200 mm size  ceramic Polished tiles and Toilet Floor Tiles shall  be 200 x 200mm Non- Slip ceramicTiles.</t>
  </si>
  <si>
    <t>(a) Rates shall include for ; all labour in framing,  cutting, welding, cleats, baseplates, flanges,screws, nails, bends, and similar complete with  grinding, surface smoothening and polish finishes.</t>
  </si>
  <si>
    <t>(a) Rates shall include for: leveling, grading, trimming, compacting to faces of excavation, keep sides plumb, 
backfilling, consolidating, additional working space and disposing surplus soil.</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</si>
  <si>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</si>
  <si>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</si>
  <si>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</si>
  <si>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Door units</t>
  </si>
  <si>
    <t>Window units</t>
  </si>
  <si>
    <t>5.2</t>
  </si>
  <si>
    <t>50mm thick floor screeding</t>
  </si>
  <si>
    <t>5.3</t>
  </si>
  <si>
    <t>TILING</t>
  </si>
  <si>
    <t>BILL No: 05 -FLOORING AND TILING</t>
  </si>
  <si>
    <t>TOTAL OF BILL No: 05 - Carried over to summary</t>
  </si>
  <si>
    <t>BILL No: 04 - MASONRY AND PLASTERING</t>
  </si>
  <si>
    <t>BILL No: 03 - CONCRETE WORKS</t>
  </si>
  <si>
    <t>1.0</t>
  </si>
  <si>
    <t>1.1</t>
  </si>
  <si>
    <t>2.0</t>
  </si>
  <si>
    <t>4.0</t>
  </si>
  <si>
    <t>5.0</t>
  </si>
  <si>
    <t>2.1</t>
  </si>
  <si>
    <t>1.2</t>
  </si>
  <si>
    <t>3.1</t>
  </si>
  <si>
    <t>(c Rates shall include for; distribution steel, cleaning,  fabrication, placing, the provision for all necessary temporary fixings, and supports including chairs and tie wire , laps and wastage.</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</si>
  <si>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</si>
  <si>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</si>
  <si>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</si>
  <si>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</si>
  <si>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(b)Cutting or leaving holes and openings as recesses for and building in pipes, conduits , sleeves and similar as required for all trades; leaving surfaces rough or raking out joints for  plastering and flashings, bedding frames or plates, building in joints.</t>
  </si>
  <si>
    <t>FOR</t>
  </si>
  <si>
    <t>1.4</t>
  </si>
  <si>
    <t>SAFETY</t>
  </si>
  <si>
    <t>6mm dia M.S. Round bars</t>
  </si>
  <si>
    <t>WOOD WORK &amp;  CEILING</t>
  </si>
  <si>
    <t>1 )</t>
  </si>
  <si>
    <t>2 )</t>
  </si>
  <si>
    <t>PREPARED BY</t>
  </si>
  <si>
    <t>3.5</t>
  </si>
  <si>
    <t>1.3</t>
  </si>
  <si>
    <t>5.4</t>
  </si>
  <si>
    <t>6.1</t>
  </si>
  <si>
    <t>7.2</t>
  </si>
  <si>
    <t>COLUMNS</t>
  </si>
  <si>
    <t>SECOND  FLOOR</t>
  </si>
  <si>
    <t>TOTAL OF BILL No: 03 - Carried over to summary</t>
  </si>
  <si>
    <t>1.5</t>
  </si>
  <si>
    <t>V1</t>
  </si>
  <si>
    <t>D1</t>
  </si>
  <si>
    <t>3 )</t>
  </si>
  <si>
    <t>4 )</t>
  </si>
  <si>
    <t>5 )</t>
  </si>
  <si>
    <t>6 )</t>
  </si>
  <si>
    <t>7 )</t>
  </si>
  <si>
    <t>8 )</t>
  </si>
  <si>
    <t>9 )</t>
  </si>
  <si>
    <t>Balcony Railing</t>
  </si>
  <si>
    <t>(e) Rates shall include for supply and complete installation of fittings and fixtures.</t>
  </si>
  <si>
    <t>MAIN CONNECTION</t>
  </si>
  <si>
    <t>ELECTRICAL BOARDS</t>
  </si>
  <si>
    <t>ELECTRICAL WIRING</t>
  </si>
  <si>
    <t>SOCKETS</t>
  </si>
  <si>
    <t>1.6</t>
  </si>
  <si>
    <t>SWITCHES</t>
  </si>
  <si>
    <t>FANS</t>
  </si>
  <si>
    <t>1.7</t>
  </si>
  <si>
    <t>1.8</t>
  </si>
  <si>
    <t>AIR - CONDITIONING</t>
  </si>
  <si>
    <r>
      <t>2.5mm</t>
    </r>
    <r>
      <rPr>
        <vertAlign val="superscript"/>
        <sz val="9"/>
        <rFont val="Times New Roman"/>
        <family val="1"/>
      </rPr>
      <t>2</t>
    </r>
    <r>
      <rPr>
        <sz val="9"/>
        <rFont val="Times New Roman"/>
        <family val="1"/>
      </rPr>
      <t xml:space="preserve"> Wiring to Light points</t>
    </r>
  </si>
  <si>
    <r>
      <t>2.5mm</t>
    </r>
    <r>
      <rPr>
        <vertAlign val="superscript"/>
        <sz val="9"/>
        <rFont val="Times New Roman"/>
        <family val="1"/>
      </rPr>
      <t>2</t>
    </r>
    <r>
      <rPr>
        <sz val="9"/>
        <rFont val="Times New Roman"/>
        <family val="1"/>
      </rPr>
      <t xml:space="preserve"> Wiring to Power points</t>
    </r>
  </si>
  <si>
    <r>
      <t>4.0mm</t>
    </r>
    <r>
      <rPr>
        <vertAlign val="superscript"/>
        <sz val="9"/>
        <rFont val="Times New Roman"/>
        <family val="1"/>
      </rPr>
      <t>2</t>
    </r>
    <r>
      <rPr>
        <sz val="9"/>
        <rFont val="Times New Roman"/>
        <family val="1"/>
      </rPr>
      <t xml:space="preserve"> Wiring to Power points</t>
    </r>
  </si>
  <si>
    <t>a )</t>
  </si>
  <si>
    <t>b )</t>
  </si>
  <si>
    <t>d )</t>
  </si>
  <si>
    <t>c )</t>
  </si>
  <si>
    <t>e )</t>
  </si>
  <si>
    <t>mtr</t>
  </si>
  <si>
    <t>BILL N0: 06</t>
  </si>
  <si>
    <t>BILL N0: 06 -  DOORS AND WINDOWS</t>
  </si>
  <si>
    <t>TOTAL OF BILL No: 06 - Carried over to summary</t>
  </si>
  <si>
    <t>BILL No: 07</t>
  </si>
  <si>
    <t xml:space="preserve">BILL No: 07 -  WOOD WORK   &amp;  CEILING </t>
  </si>
  <si>
    <t>50mm thick sand blinding layer (1:10 - Cement &amp; Sand mix) to receive damp proof membrane below ground floor slab</t>
  </si>
  <si>
    <t>2.5</t>
  </si>
  <si>
    <t>2.6</t>
  </si>
  <si>
    <t>3.6</t>
  </si>
  <si>
    <t>3.7</t>
  </si>
  <si>
    <t>f )</t>
  </si>
  <si>
    <t>12</t>
  </si>
  <si>
    <t>6mm dia. deformed bars</t>
  </si>
  <si>
    <t>S.S. Railing  (Main 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</si>
  <si>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</si>
  <si>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</si>
  <si>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</si>
  <si>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50mm thick lean concrete</t>
  </si>
  <si>
    <t>6mm dia deformed bars</t>
  </si>
  <si>
    <t>STAIRCASE</t>
  </si>
  <si>
    <t>FLOOR BEAMS</t>
  </si>
  <si>
    <t>GROUND FLOOR SLAB</t>
  </si>
  <si>
    <t>SLAB BEAMS</t>
  </si>
  <si>
    <t>ROOF LEVEL</t>
  </si>
  <si>
    <t>ROOF BEAMS</t>
  </si>
  <si>
    <t>(d) All louvres, windows and sliding doors shall be  30 micron powder coated aluminium as per details given in Door/Window schedule.</t>
  </si>
  <si>
    <t>1)</t>
  </si>
  <si>
    <t>FLOORING</t>
  </si>
  <si>
    <t>OTHER CONCRETE WORKS</t>
  </si>
  <si>
    <t xml:space="preserve">a ) </t>
  </si>
  <si>
    <t>Ground Floor</t>
  </si>
  <si>
    <t xml:space="preserve">First Floor </t>
  </si>
  <si>
    <t>Second Floor</t>
  </si>
  <si>
    <t>WATER PROOFING</t>
  </si>
  <si>
    <t>S.S. Railing  (Staircase)</t>
  </si>
  <si>
    <t>BILL N0: 08</t>
  </si>
  <si>
    <t>ROOFING</t>
  </si>
  <si>
    <t>(a) Rates shall include for: all labour in framing, notching and fitting around projections, pipes, light fittings, hatches, grilles and similar and complete with cleats, packers, wedges and similar and all nails, bolts &amp; screws.</t>
  </si>
  <si>
    <t>ROOF COVERING</t>
  </si>
  <si>
    <t>CAPPING &amp; FLASHING</t>
  </si>
  <si>
    <t>DOWN PIPE</t>
  </si>
  <si>
    <t>BILL No: 08 -ROOFING</t>
  </si>
  <si>
    <t>Water taps</t>
  </si>
  <si>
    <t>DRAINAGE</t>
  </si>
  <si>
    <t>Pipe work</t>
  </si>
  <si>
    <t>Charges for piping for all discharge pipes, sewerage and drainage pipes including connection Main junctions from the Fixtures.</t>
  </si>
  <si>
    <t>Charges for construction and Pipe connection of Inspection chambers as per drawing</t>
  </si>
  <si>
    <t>Charges for Installation of Main Junctions and Supply and fixing Pipe net work connection as per drawing</t>
  </si>
  <si>
    <r>
      <t>Charges for Supply &amp; Installation of Ground Water Pump,</t>
    </r>
    <r>
      <rPr>
        <b/>
        <sz val="9"/>
        <rFont val="Times New Roman"/>
        <family val="1"/>
      </rPr>
      <t xml:space="preserve"> Davey Water pump </t>
    </r>
    <r>
      <rPr>
        <sz val="9"/>
        <rFont val="Times New Roman"/>
        <family val="1"/>
      </rPr>
      <t>complete including Pipe work and Connection to fixtures.</t>
    </r>
  </si>
  <si>
    <r>
      <t>16mm</t>
    </r>
    <r>
      <rPr>
        <vertAlign val="superscript"/>
        <sz val="9"/>
        <rFont val="Times New Roman"/>
        <family val="1"/>
      </rPr>
      <t>2</t>
    </r>
    <r>
      <rPr>
        <sz val="9"/>
        <rFont val="Times New Roman"/>
        <family val="1"/>
      </rPr>
      <t xml:space="preserve"> Cable from DB to panel boards</t>
    </r>
  </si>
  <si>
    <t>BILL No: 09 - PAINTING</t>
  </si>
  <si>
    <t>10.2</t>
  </si>
  <si>
    <t>BILL No: 10  -  METAL WORK</t>
  </si>
  <si>
    <t>BILL No: 11 - HYDRAULICS  AND  DRAINAGE</t>
  </si>
  <si>
    <t>BILL No: 12</t>
  </si>
  <si>
    <t>12.1</t>
  </si>
  <si>
    <t>BILL No: 12 - ELECTRICAL INSTALLATIONS</t>
  </si>
  <si>
    <t>FOOTINGS</t>
  </si>
  <si>
    <t>ROOF SLAB</t>
  </si>
  <si>
    <t>Bill of Quantities</t>
  </si>
  <si>
    <t>FOUNDATION FOOTINGS</t>
  </si>
  <si>
    <t>F1 - 2200 x 2200 x 1300mm depth</t>
  </si>
  <si>
    <t>F2 - 2000 x 2000 x 1300mm depth</t>
  </si>
  <si>
    <t>F3 - 1600 x 1600 x 1250mm depth</t>
  </si>
  <si>
    <t>F4 - 1400 x 1400 x 1200mm depth</t>
  </si>
  <si>
    <t>EXCAVATION:</t>
  </si>
  <si>
    <t>FOUNDATION BEAM (WF1)</t>
  </si>
  <si>
    <t xml:space="preserve">(a) Excavation quantities are measured to the faces of concrete members. Rates shall include for all additional excavation required to place the formwork , back filling up to ground level, dewatering and others </t>
  </si>
  <si>
    <t>F1 - 2200 x 2200 x 350mm</t>
  </si>
  <si>
    <t>F2 - 2000 x 2000 x 350mm</t>
  </si>
  <si>
    <t>F3 - 1600 x 1600 x 300mm</t>
  </si>
  <si>
    <t>F4 - 1400 x 1400 x 300mm</t>
  </si>
  <si>
    <t>WF1 - 300 x 300mm</t>
  </si>
  <si>
    <t>WF1 - 300 x 300mm (Excavation depth 950mm)</t>
  </si>
  <si>
    <t>FOUNDATION BEAM</t>
  </si>
  <si>
    <t>F1 - 2200 x 2200 x 350mm x 10nos</t>
  </si>
  <si>
    <t>F2 - 2000 x 2000 x 350mm x  05nos</t>
  </si>
  <si>
    <t>F3 - 1600 x 1600 x 300mm x 01no:</t>
  </si>
  <si>
    <t>F4 - 1400 x 1400 x 300mm x 07nos</t>
  </si>
  <si>
    <t>C1 - 300 x 300mm x  13 nos:</t>
  </si>
  <si>
    <t>C2 - 300 x 300mm x  02 nos</t>
  </si>
  <si>
    <t>C3 - 400 x 200mm x  01 nos</t>
  </si>
  <si>
    <t>B1 - 300 x 700mm</t>
  </si>
  <si>
    <t>B2 - 300 x 400mm</t>
  </si>
  <si>
    <t>B3 - 300 x 400mm</t>
  </si>
  <si>
    <t>B4 - 200 x 400mm</t>
  </si>
  <si>
    <t>B5 - 300 x 400mm</t>
  </si>
  <si>
    <t>B6 - 200 x 400mm</t>
  </si>
  <si>
    <t>B8 - 200 x 400mm</t>
  </si>
  <si>
    <t>B7 - 200 x 400mm</t>
  </si>
  <si>
    <t>135mm thick Slab @ Floor beam level</t>
  </si>
  <si>
    <t>135mm thick Slab @ Toilet Floor level</t>
  </si>
  <si>
    <t>100mm thick R.C. slab</t>
  </si>
  <si>
    <t>RB1 - 200 x 400mm</t>
  </si>
  <si>
    <t>RB2 - 200 x 400mm</t>
  </si>
  <si>
    <t>GUTTER SLAB</t>
  </si>
  <si>
    <t>C1 - 300 x 300mm x  3 nos:</t>
  </si>
  <si>
    <t>ROOF SLAB BEAM</t>
  </si>
  <si>
    <t>PARAPET WALL</t>
  </si>
  <si>
    <t>5.5</t>
  </si>
  <si>
    <t>5.6</t>
  </si>
  <si>
    <t>135thick R.c.c. Gutter Slab</t>
  </si>
  <si>
    <t xml:space="preserve">100thick R.c.c. Wall (Gutter side) </t>
  </si>
  <si>
    <t>B9 - 300 x 400mm</t>
  </si>
  <si>
    <t>COLUMNS - 3500mm height</t>
  </si>
  <si>
    <t>COLUMNS - 4475mm height</t>
  </si>
  <si>
    <t>COLUMNS - 1660mm height</t>
  </si>
  <si>
    <t>F1, 2200 x 2200 x 350mm x 10nos</t>
  </si>
  <si>
    <t>F2, 2000 x 2000 x 350mm x 05nos</t>
  </si>
  <si>
    <t>F3, 1600 x 1600 x 300mm x 01no:</t>
  </si>
  <si>
    <t>F4, 1400 x 1400 x 300mm x 07nos</t>
  </si>
  <si>
    <t>WF1</t>
  </si>
  <si>
    <t>FOUNDATION BEAMS</t>
  </si>
  <si>
    <t>20mm dia deformed bars</t>
  </si>
  <si>
    <t>C3 - 400 x 200mm x 01 no</t>
  </si>
  <si>
    <t>C2 - 300 x 200mm x 02 nos</t>
  </si>
  <si>
    <t>B1, 300 x 700mm</t>
  </si>
  <si>
    <t>B2, 300 x 400mm</t>
  </si>
  <si>
    <t>25mm dia deformed bars</t>
  </si>
  <si>
    <t>g )</t>
  </si>
  <si>
    <t>h )</t>
  </si>
  <si>
    <t>i )</t>
  </si>
  <si>
    <t>B3, 200 x 400mm</t>
  </si>
  <si>
    <t>B4, 200 x 400mm</t>
  </si>
  <si>
    <t>B5, 300 x 400mm</t>
  </si>
  <si>
    <t>B6, 200 x 400mm</t>
  </si>
  <si>
    <t>B7, 200 x 400mm</t>
  </si>
  <si>
    <t>B8, 200 x 400mm</t>
  </si>
  <si>
    <t>B9, 300 x 400mm</t>
  </si>
  <si>
    <t>C1 - 300 x 300 x 13nos</t>
  </si>
  <si>
    <t>RB1, 200 x 400mm</t>
  </si>
  <si>
    <t>RB2, 200 x 400mm</t>
  </si>
  <si>
    <t>GUTTER SLAB &amp; WALL</t>
  </si>
  <si>
    <t>C1 - 300 x 300 x 03nos</t>
  </si>
  <si>
    <t>Floor slab @ Toilet Level</t>
  </si>
  <si>
    <t>Floor slab @ Floor beam level</t>
  </si>
  <si>
    <t>EXTERNAL WALLS</t>
  </si>
  <si>
    <t>INTERIOR WALLS</t>
  </si>
  <si>
    <t>ABOVE SECOND FLOOR LEVEL</t>
  </si>
  <si>
    <r>
      <t xml:space="preserve">(b) </t>
    </r>
    <r>
      <rPr>
        <b/>
        <sz val="9"/>
        <rFont val="Times New Roman"/>
        <family val="1"/>
      </rPr>
      <t>Thickness of plastering Interior and Exterior plastering shall be 25mm thick.</t>
    </r>
  </si>
  <si>
    <t>EXTERNAL PLASTERING</t>
  </si>
  <si>
    <t>Plastering on Exterior wall surfaces including 
Columns &amp; Beams.</t>
  </si>
  <si>
    <t>INTERIOR  PLASTERING</t>
  </si>
  <si>
    <t>Internal surface of external walls and both surface of Interior walls including concrete surfaces.</t>
  </si>
  <si>
    <t>Decorative Plastering to the Columns C4 as per 
details given in the drawing.</t>
  </si>
  <si>
    <t>ABOVE SECOND FLOOR FFL</t>
  </si>
  <si>
    <t>CORRIDOR</t>
  </si>
  <si>
    <t>LABORATORY 1 &amp; 2</t>
  </si>
  <si>
    <t>PREPARATION ROOM / STORE</t>
  </si>
  <si>
    <t>TOILET</t>
  </si>
  <si>
    <t>W/C</t>
  </si>
  <si>
    <t>EXAMINATION &amp; ASSEMBLY HALL</t>
  </si>
  <si>
    <t xml:space="preserve">ABOVE SECOND FLOOR </t>
  </si>
  <si>
    <t>INVERTOR/NETWORK/SERVER ROOM</t>
  </si>
  <si>
    <t>ROOF GUTTER</t>
  </si>
  <si>
    <t>Plastering on both surfaces of Gutter wall</t>
  </si>
  <si>
    <t>Plastering on both surfaces of Parapet wall</t>
  </si>
  <si>
    <t>FLOOR TILING - CORRIDOR</t>
  </si>
  <si>
    <t>FLOOR TILING - STORE</t>
  </si>
  <si>
    <t>TILING - STAIRCASE</t>
  </si>
  <si>
    <t>FLOOR TILING - LABORATORY 1 &amp; 2</t>
  </si>
  <si>
    <t>FLOOR TILING - PREPARATION ROOM / STORE</t>
  </si>
  <si>
    <t>FLOOR TILING - TOILET &amp; W/C</t>
  </si>
  <si>
    <t>WALL TILING - TOILET &amp; W/C</t>
  </si>
  <si>
    <t>FLOOR TILING - EXAMINATION &amp; ASSEMBLY HALL</t>
  </si>
  <si>
    <t>FLOOR TILING -INVERTOR /NETWORK / SERVER ROOM</t>
  </si>
  <si>
    <r>
      <t xml:space="preserve">Charges for special Tile adhesive for placing HOMOGENEOUS  / PORCELAIN  type tiles, </t>
    </r>
    <r>
      <rPr>
        <b/>
        <sz val="9"/>
        <rFont val="Times New Roman"/>
        <family val="1"/>
      </rPr>
      <t>Conmix C 500</t>
    </r>
    <r>
      <rPr>
        <sz val="9"/>
        <rFont val="Times New Roman"/>
        <family val="1"/>
      </rPr>
      <t>, to  the tiling General areas and Toilets and Balconies.</t>
    </r>
  </si>
  <si>
    <r>
      <t xml:space="preserve">Apply Water proofing Compound, </t>
    </r>
    <r>
      <rPr>
        <b/>
        <sz val="9"/>
        <rFont val="Times New Roman"/>
        <family val="1"/>
      </rPr>
      <t>Conmix Moyaproof HF</t>
    </r>
    <r>
      <rPr>
        <sz val="9"/>
        <rFont val="Times New Roman"/>
        <family val="1"/>
      </rPr>
      <t>, to all wet areas - Balconies, Toilets and Open Terrace AS PER MANUFACTURER'S SPECIFICATIONS.</t>
    </r>
  </si>
  <si>
    <t>D1- Timber Door - 120mm thick Timber Frame &amp; 40mm thick Solid Timber Panel with View Glass panel &amp; 4mm thick double Glazed Fix glass Panel at top, 950 x 2830mm</t>
  </si>
  <si>
    <t>D2 - Timber Door - 120mm thick Timber Frame &amp; 40mm thick Solid Timber Panel with Fixed Timber Louvers &amp; 4mm thick double Glazed Fix glass Panel at top, 950 x 2830mm</t>
  </si>
  <si>
    <t>W2 - 80 micron white powder coated Aluminium framed window with 6mm thick Blue tinted Glass Sliding panels and Fixed panels, 1150 x 1850mm</t>
  </si>
  <si>
    <t>D4 - Timber Door - 120mm thick Timber Frame &amp; 40mm thick Solid Timber Panel , 700 x 2000mm</t>
  </si>
  <si>
    <t>W3 - 80 micron white powder coated Aluminium framed window with 6mm thick Blue tinted Glass Top hung openable panels, 1150 x 600mm</t>
  </si>
  <si>
    <t>ABOVE SECOND FLOOR</t>
  </si>
  <si>
    <t>(b) Rates shall include for: Welding, Apply primer and enamel paint coat to Roof trusses, Purlins, Base plates etc.</t>
  </si>
  <si>
    <t>Supply Fabrication &amp; Installation of 9mm thick Plaster board ceiling fixed on 50 x 50mm Treated Timber frame  to Toilets.</t>
  </si>
  <si>
    <t>Supply &amp; Fixing Trim deck - Lysaght Roofing Sheets</t>
  </si>
  <si>
    <t xml:space="preserve">ROOF FRAMING </t>
  </si>
  <si>
    <t>Supply &amp; Fixing bolts and screws to fix Roof Trusses &amp; Purlins.</t>
  </si>
  <si>
    <t>Supply &amp; Fixing  screws to fix Roofing sheet to the Roof structures.</t>
  </si>
  <si>
    <t>Supply and Fixing 75mm dia. pvc down pipes including pipe work upto water tanks, bends, junctions, straps, joints brackets, clips and all fixings.</t>
  </si>
  <si>
    <t>Supply and Fixing Trim deck - Lysaght Flashing (400mm wide)</t>
  </si>
  <si>
    <t>Supply and Fixing Trim deck - Lysaght Capping (400mm wide)</t>
  </si>
  <si>
    <t>ROOF TRUSSES</t>
  </si>
  <si>
    <t>EXTERNAL PAINTING</t>
  </si>
  <si>
    <t>PAINTING on Exterior wall surfaces Retaining walls above Ground Level</t>
  </si>
  <si>
    <t>PAINTING on Exterior wall surfaces including 
Columns &amp; Beams.</t>
  </si>
  <si>
    <t>INTERIOR  PAINTING</t>
  </si>
  <si>
    <t>PAINTING on both surfaces of Gutter wall</t>
  </si>
  <si>
    <t>PAINTING on both surfaces of Parapet wall</t>
  </si>
  <si>
    <t>PAINTING on Internal surface of external walls and both surface of Interior walls including concrete surfaces.</t>
  </si>
  <si>
    <t>PAINTING - Internal surface of external walls and both surface of Interior walls including concrete surfaces.</t>
  </si>
  <si>
    <t>PAINTING - Soffit of Slab /  Ceiling</t>
  </si>
  <si>
    <t>Charges for Piping for  Ground water  supply connection to the fixtures. Rate shall include for Pipe work and its fittings.</t>
  </si>
  <si>
    <t>Charges for supply &amp; installation of FRESH water Piping  &amp; Connection to the Fixtures including water meters.</t>
  </si>
  <si>
    <t>LABORATORY SINK</t>
  </si>
  <si>
    <t>Charges for supply and Installation of Laboratory Sink with Sink taps and Wasting Plug complete including Fixtures.</t>
  </si>
  <si>
    <t>To be checked with the client</t>
  </si>
  <si>
    <r>
      <t>Charges for Supply, Laying 50mm</t>
    </r>
    <r>
      <rPr>
        <vertAlign val="superscript"/>
        <sz val="8"/>
        <rFont val="Arial"/>
        <family val="2"/>
      </rPr>
      <t xml:space="preserve">2  </t>
    </r>
    <r>
      <rPr>
        <sz val="8"/>
        <rFont val="Arial"/>
        <family val="2"/>
      </rPr>
      <t>Main cables and  connection to electrical Main panel board.</t>
    </r>
  </si>
  <si>
    <t>Supply and Installation of Main Panel board as per 
Client/Consultant's requirement.</t>
  </si>
  <si>
    <t>V01 - 1500mm dia. KDK  brand Fan</t>
  </si>
  <si>
    <t>Fan dimmers</t>
  </si>
  <si>
    <t>BILL No: 13</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</si>
  <si>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</si>
  <si>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</si>
  <si>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</si>
  <si>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</si>
  <si>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</si>
  <si>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</si>
  <si>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</si>
  <si>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</si>
  <si>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13 - FIRE FIGHTING SYSTEM</t>
  </si>
  <si>
    <t>TOTAL OF BILL No: 13 - Carried over to summary</t>
  </si>
  <si>
    <t>TOTAL OF BILL No: 14 - Carried over to summary</t>
  </si>
  <si>
    <t>BILL No: 15</t>
  </si>
  <si>
    <t>ADDITIONS</t>
  </si>
  <si>
    <t>OMISSIONS</t>
  </si>
  <si>
    <t>BILL No: 15 - OMISSIONS</t>
  </si>
  <si>
    <t>TOTAL OF BILL No: 15 - Carried over to summary</t>
  </si>
  <si>
    <t>TOTAL OF BILL No: 12 - Carried over to summary</t>
  </si>
  <si>
    <t>Provision  to include quantities as per the drawing which is missed in the bill of quantities.</t>
  </si>
  <si>
    <t>Provision to remove excess quantity given in the bill quantities than the drawing details</t>
  </si>
  <si>
    <t>EXIT SIGN LIGHT</t>
  </si>
  <si>
    <t>CONVENTIONAL FIRE ALARM PANEL</t>
  </si>
  <si>
    <t>JUNCTION BOX</t>
  </si>
  <si>
    <t>RESETABLE BREAK GLASS MANUAL CALL POINT</t>
  </si>
  <si>
    <t>FIRE ALARM BELL</t>
  </si>
  <si>
    <t>SMOKE DETECTOR</t>
  </si>
  <si>
    <t>PORTABLE EXTINGUISHER (H2O)</t>
  </si>
  <si>
    <t>PORTABLE EXTINGUISHER (CO2)</t>
  </si>
  <si>
    <t>13</t>
  </si>
  <si>
    <t>14</t>
  </si>
  <si>
    <t>15</t>
  </si>
  <si>
    <t>OMMISSIONS</t>
  </si>
  <si>
    <t>Charges for supply and Installation of Ready made Laboratory bench system with under bench cabinet units. (Refer drawing or Clients/Consultants specification at the time of tendering)</t>
  </si>
  <si>
    <t>W1 - 80 micron white powder coated Aluminium framed window with 6mm thick Blue tinted Glass Openable and Fixed Window panels, 2325 x 1745mm</t>
  </si>
  <si>
    <t>R.C.C. GROUND WATER WELL</t>
  </si>
  <si>
    <t>Charges for Supply and Construction  of 1200mm dia. R.C.C. Ground water well complete including 6mm dia. mesh @ 150c/c for 100mm thick walls and T10 dia. bars 150 spacing B/W one layer for 100mm thick R.C.C. base slab and Top slab. Depth of the well shall be considered with 3' deep water in the well during low tide.</t>
  </si>
  <si>
    <r>
      <t xml:space="preserve">Add Water proofing admixture, </t>
    </r>
    <r>
      <rPr>
        <b/>
        <sz val="9"/>
        <color theme="1"/>
        <rFont val="Times New Roman"/>
        <family val="1"/>
      </rPr>
      <t>CONMIX MEGA ADD WL1</t>
    </r>
    <r>
      <rPr>
        <sz val="9"/>
        <color theme="1"/>
        <rFont val="Times New Roman"/>
        <family val="1"/>
      </rPr>
      <t xml:space="preserve"> to below ground concrete work.</t>
    </r>
  </si>
  <si>
    <r>
      <t xml:space="preserve">Apply Rubberised Bitumen Paint as Water proofing , </t>
    </r>
    <r>
      <rPr>
        <b/>
        <sz val="9"/>
        <color theme="1"/>
        <rFont val="Times New Roman"/>
        <family val="1"/>
      </rPr>
      <t>CONMIX Moya proof RBE,</t>
    </r>
    <r>
      <rPr>
        <sz val="9"/>
        <color theme="1"/>
        <rFont val="Times New Roman"/>
        <family val="1"/>
      </rPr>
      <t xml:space="preserve">  to exposed surface of below ground Concrete and Masonry structures.</t>
    </r>
  </si>
  <si>
    <r>
      <t xml:space="preserve">Add Concrete Plasticizer, </t>
    </r>
    <r>
      <rPr>
        <b/>
        <sz val="9"/>
        <color theme="1"/>
        <rFont val="Times New Roman"/>
        <family val="1"/>
      </rPr>
      <t>CONMIX MEGA FLOW P</t>
    </r>
    <r>
      <rPr>
        <sz val="9"/>
        <color theme="1"/>
        <rFont val="Times New Roman"/>
        <family val="1"/>
      </rPr>
      <t xml:space="preserve"> to ALL CONCRETE WORK ABOVE GROUND LEVEL.</t>
    </r>
  </si>
  <si>
    <t>135mm thick R.c.c. Slab &amp; 150mm thick R.c.c. wall @ 400mm above Roof beam</t>
  </si>
  <si>
    <t>135mm thick R.c.c. Slab @ 1513mm above Roof beam</t>
  </si>
  <si>
    <t>100 x 600mm High R.c.c. Parapet wall</t>
  </si>
  <si>
    <t>135mm thick R.c.c. Slab @ 1513mm above Roof beam level.</t>
  </si>
  <si>
    <t>135mm thick R.c.c. Slab &amp; 150mm thick R.c.c. wall at 400mm above Roof beam Level.</t>
  </si>
  <si>
    <t>135mm thick slab and 150mm thick wall at 400mm above roof beam Level</t>
  </si>
  <si>
    <t>135mm thick slab at 1513mm above roof beam Level</t>
  </si>
  <si>
    <t>TR1  - Supply Fabrication &amp; Fixing         75 x 75 x 6mm  and 50 x 50 x 6mm Equal angles Welded to form 5.60m long Trusses complete including Expoxy / Rust proof Protection Paint Finishes.</t>
  </si>
  <si>
    <t>TR2  - Supply Fabrication &amp; Fixing 75 x 75 x 6mm  and 50 x 50 x 6mm Equal angles Welded to form 3.20m long Trusses complete including Expoxy / Rust proof Protection Paint Finishes.</t>
  </si>
  <si>
    <t>Supply &amp; Fixing C 100 20 Purlins @ 900mm spacing as per consultant's specification.</t>
  </si>
  <si>
    <t>Supply &amp; Fixing 75 x 75 x 6mm EQUAL ANGLE Connecting member to be welded between TR1 at the middle of roof structure. (Refer drawing Roof Structure Layout Plan)</t>
  </si>
  <si>
    <t>S.S. Capping with drainage holes to be fixed at all the drain holes on Gutter slab</t>
  </si>
  <si>
    <r>
      <t xml:space="preserve">Charges for Supply, Fabrication and Installation of  Staircase railing - </t>
    </r>
    <r>
      <rPr>
        <b/>
        <sz val="9"/>
        <rFont val="Times New Roman"/>
        <family val="1"/>
      </rPr>
      <t>40mm dia</t>
    </r>
    <r>
      <rPr>
        <sz val="9"/>
        <rFont val="Times New Roman"/>
        <family val="1"/>
      </rPr>
      <t xml:space="preserve">. S.S.PIPE AS HORIZONTAL TOP RAIL, BOTTOM RAIL &amp; VERTICAL POST; </t>
    </r>
    <r>
      <rPr>
        <b/>
        <sz val="9"/>
        <rFont val="Times New Roman"/>
        <family val="1"/>
      </rPr>
      <t>25mm dia</t>
    </r>
    <r>
      <rPr>
        <sz val="9"/>
        <rFont val="Times New Roman"/>
        <family val="1"/>
      </rPr>
      <t>. S.S. PIPE - HORIZONTAL MIDDLE RAILS &amp; VERTICAL RAILS. Refer details in the Section Detail -  YY (1).</t>
    </r>
  </si>
  <si>
    <r>
      <t>Charges for Supply, Fabrication and Installation of  Staircase railing -</t>
    </r>
    <r>
      <rPr>
        <b/>
        <sz val="9"/>
        <rFont val="Times New Roman"/>
        <family val="1"/>
      </rPr>
      <t xml:space="preserve"> 40mm dia.</t>
    </r>
    <r>
      <rPr>
        <sz val="9"/>
        <rFont val="Times New Roman"/>
        <family val="1"/>
      </rPr>
      <t xml:space="preserve"> S.S.PIPE AS HORIZONTAL RAILING Fixed on the wall at Internal Staircase side. (Refer drawing - Stair / Toilet Typical Detail )</t>
    </r>
  </si>
  <si>
    <t>Wash basin with trap including R.c.c. counter slab</t>
  </si>
  <si>
    <t>L13 - Wall mount Weather Proof Luminaire.</t>
  </si>
  <si>
    <t>L07 -Ceiling Down, 2 x 18W LED Tube Light Surface mount.</t>
  </si>
  <si>
    <t>L15 - Surface mount Energy Saving Light.</t>
  </si>
  <si>
    <t>P05 - 1 x 13A Socket outlet at 900mm above FFL</t>
  </si>
  <si>
    <t>P06 - 2 x 13A Socket outlet at 300mm above FFL</t>
  </si>
  <si>
    <t>P10 - 2 x 13A Socket outlet at 1200mm above FFL</t>
  </si>
  <si>
    <t>P13 - 2 x 13A Socket outlet - Floor Concealed.</t>
  </si>
  <si>
    <t>P15 - 1 x 15A Socket outlet at Ceiling Level</t>
  </si>
  <si>
    <t>P17 - 1 x 15A Socket outlet at 1200mm above FFL</t>
  </si>
  <si>
    <t>L 09 - Wall mount Energy Saving Light.</t>
  </si>
  <si>
    <t>L 15 - Surface mount Energy Saving Light.</t>
  </si>
  <si>
    <t>10 )</t>
  </si>
  <si>
    <t>11 )</t>
  </si>
  <si>
    <t>S01 - Security Camera Point</t>
  </si>
  <si>
    <t>FIXTURES</t>
  </si>
  <si>
    <t>S01 - SECURITY CAMERA OUT LET</t>
  </si>
  <si>
    <t>4.6</t>
  </si>
  <si>
    <t>13000 BTU Air-Conditioning units - Wall mounted type inside Server room</t>
  </si>
  <si>
    <t>T07 - Server unit</t>
  </si>
  <si>
    <t>CAT 06 Cabling  - Security Camera System  from Server room</t>
  </si>
  <si>
    <t>BILL No: 14</t>
  </si>
  <si>
    <t>BILL No: 14 - ADDITIONS</t>
  </si>
  <si>
    <t>Safety - Providing and fixing scaffolding with G.I. pipes and clamps and pvc netting alaround building during construction</t>
  </si>
  <si>
    <t>250mm thick highly compacted hard core below ground floor slab - General Floor</t>
  </si>
  <si>
    <t>200mm thick highly compacted hard core below ground floor slab - Corridors</t>
  </si>
  <si>
    <t>C4 - 300 x 300mm x  07 nos</t>
  </si>
  <si>
    <r>
      <t>C4 - 300 x 300mm</t>
    </r>
    <r>
      <rPr>
        <sz val="9"/>
        <color theme="1"/>
        <rFont val="Times New Roman"/>
        <family val="1"/>
      </rPr>
      <t xml:space="preserve"> x  07 nos</t>
    </r>
  </si>
  <si>
    <t>C4 - 300 x 300mm x 07 nos</t>
  </si>
  <si>
    <r>
      <t>C4 - 300 x 300mm</t>
    </r>
    <r>
      <rPr>
        <u/>
        <sz val="9"/>
        <color theme="1"/>
        <rFont val="Times New Roman"/>
        <family val="1"/>
      </rPr>
      <t xml:space="preserve"> x 07 nos</t>
    </r>
  </si>
  <si>
    <t>CANTEEN</t>
  </si>
  <si>
    <t>KITCHEN</t>
  </si>
  <si>
    <t>FLOOR TILING - KITCHEN</t>
  </si>
  <si>
    <t>FLOOR TILING - CANTEEN</t>
  </si>
  <si>
    <r>
      <t xml:space="preserve">Charges for supply, fabrication and Installation of Balcony railing - </t>
    </r>
    <r>
      <rPr>
        <b/>
        <sz val="9"/>
        <rFont val="Times New Roman"/>
        <family val="1"/>
      </rPr>
      <t xml:space="preserve">50mm dia. </t>
    </r>
    <r>
      <rPr>
        <sz val="9"/>
        <rFont val="Times New Roman"/>
        <family val="1"/>
      </rPr>
      <t xml:space="preserve">G.I..PIPE AS HORIZONTAL TOP &amp; BOTTOM RAIL ; </t>
    </r>
    <r>
      <rPr>
        <b/>
        <sz val="9"/>
        <rFont val="Times New Roman"/>
        <family val="1"/>
      </rPr>
      <t>25mm dia</t>
    </r>
    <r>
      <rPr>
        <sz val="9"/>
        <rFont val="Times New Roman"/>
        <family val="1"/>
      </rPr>
      <t xml:space="preserve">. G.I.. PIPE - HORIZONTAL MIDLE RAIL &amp; VERTICAL POST and </t>
    </r>
    <r>
      <rPr>
        <b/>
        <sz val="9"/>
        <rFont val="Times New Roman"/>
        <family val="1"/>
      </rPr>
      <t>12mm</t>
    </r>
    <r>
      <rPr>
        <sz val="9"/>
        <rFont val="Times New Roman"/>
        <family val="1"/>
      </rPr>
      <t xml:space="preserve"> dia. G.I. PIPE -  DESIGNED DIAGONAL MIDDLE RAIL. Refer Balconry Railing Details from the Drawing  A - 19</t>
    </r>
  </si>
  <si>
    <t>HEAT DETECTOR</t>
  </si>
  <si>
    <t>FIRE BLANKET</t>
  </si>
  <si>
    <t>W4 - 80 micron white powder coated Aluminium framed window with 6mm thick Blue tinted Glass Fixed panel and Fixed Louvered panel 600 x 950mm including  300 x 150 Louvered Ventilation Grill at Floor Level. (Refer W4 detail in D/w schedule)</t>
  </si>
  <si>
    <t>SHADING DEVICE  - 80 Micron Powder coated Aluminium framed Fixed Louvers, 2325 x 600mm (Fixed above window W1, Refer drawing A-20)</t>
  </si>
  <si>
    <t>80 Micron Powder coated Aluminium framed Fixed Louvers, 1400 x 700mm (Hide A/c out door unit - Refer drawing A -20)</t>
  </si>
  <si>
    <t>W6  - 80 micron white powder coated Aluminium framed window with 6mm thick Blue tinted Glass Top hung Openable Window panels,1150 x 600mm (Refer drawing A - 20)</t>
  </si>
  <si>
    <r>
      <t xml:space="preserve">Supply and  Installation of 600 x 600 x 12mm thick Acoustic Ceiling boards on Aluminium frame in the </t>
    </r>
    <r>
      <rPr>
        <b/>
        <sz val="9"/>
        <rFont val="Times New Roman"/>
        <family val="1"/>
      </rPr>
      <t>Labaoratories &amp; Preparation Room</t>
    </r>
    <r>
      <rPr>
        <sz val="9"/>
        <rFont val="Times New Roman"/>
        <family val="1"/>
      </rPr>
      <t xml:space="preserve"> as per specifications.</t>
    </r>
  </si>
  <si>
    <r>
      <t xml:space="preserve">Supply and  Installation of 600 x 600 x 12mm thick Acoustic Ceiling boards on Aluminium frame in </t>
    </r>
    <r>
      <rPr>
        <b/>
        <sz val="9"/>
        <rFont val="Times New Roman"/>
        <family val="1"/>
      </rPr>
      <t>Examination &amp; Assembly Hall</t>
    </r>
    <r>
      <rPr>
        <sz val="9"/>
        <rFont val="Times New Roman"/>
        <family val="1"/>
      </rPr>
      <t xml:space="preserve"> as per specifications. </t>
    </r>
    <r>
      <rPr>
        <b/>
        <sz val="9"/>
        <rFont val="Times New Roman"/>
        <family val="1"/>
      </rPr>
      <t>Rate shall include for, Supply and Fixing 50mm thick glass wool insulation with aluminium foil on both sides laid as heat proof just above the ceiling.</t>
    </r>
  </si>
  <si>
    <r>
      <t xml:space="preserve">Supply Fabrication &amp; Installation of 10mm thick Cement Plaster board ceiling fixed on 50 x 50mm Treated Timber frame  to </t>
    </r>
    <r>
      <rPr>
        <b/>
        <sz val="9"/>
        <rFont val="Times New Roman"/>
        <family val="1"/>
      </rPr>
      <t>Corridors</t>
    </r>
    <r>
      <rPr>
        <sz val="9"/>
        <rFont val="Times New Roman"/>
        <family val="1"/>
      </rPr>
      <t xml:space="preserve">.  </t>
    </r>
    <r>
      <rPr>
        <b/>
        <sz val="9"/>
        <rFont val="Times New Roman"/>
        <family val="1"/>
      </rPr>
      <t>Rate shall include for, Supply and Fixing 50mm thick glass wool insulation with aluminium foil on both sides laid as heat proof just above the ceiling.</t>
    </r>
  </si>
  <si>
    <r>
      <t xml:space="preserve">Supply Fabrication &amp; Installation of 10mm thick Cement Plaster board ceiling fixed on 50 x 50mm Treated Timber frame  to </t>
    </r>
    <r>
      <rPr>
        <b/>
        <sz val="9"/>
        <rFont val="Times New Roman"/>
        <family val="1"/>
      </rPr>
      <t>Toilets</t>
    </r>
    <r>
      <rPr>
        <sz val="9"/>
        <rFont val="Times New Roman"/>
        <family val="1"/>
      </rPr>
      <t xml:space="preserve">.  </t>
    </r>
  </si>
  <si>
    <t>S.S. Floor drain with trap on Gutter slab</t>
  </si>
  <si>
    <t>Charges for piping for all  drainage pipes &amp; Rain water Down Pipes including connection Main junctions from the Fixtures.</t>
  </si>
  <si>
    <t>1 Gang 1 way Switches</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</si>
  <si>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</si>
  <si>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</si>
  <si>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</si>
  <si>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c) Rates shall include for approved brand water proofing compound shall be mixed with cement mortar for external wall plastering as per manufacturers specifications.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</si>
  <si>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</si>
  <si>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</si>
  <si>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PROJECT : THREE STOREY CLASS ROOM BLOCK AT HDH. KULHUDHUFUSHI</t>
  </si>
  <si>
    <t>TOILET FLOOR SLAB BEAM</t>
  </si>
  <si>
    <t>TOILET FLOOR SLAB FLOOR SLAB</t>
  </si>
  <si>
    <t>SERVER ROOM SLAB BEAM</t>
  </si>
  <si>
    <t>SERVER ROOM FLOOR SLAB FLOOR SLAB</t>
  </si>
  <si>
    <t>135mm thick Slab @ Server room level</t>
  </si>
  <si>
    <t>4.7</t>
  </si>
  <si>
    <t>TOILET FLOOR SLAB</t>
  </si>
  <si>
    <t>SERVER ROOM -  SLAB BEAM</t>
  </si>
  <si>
    <t>SERVER ROOM -  FLOOR SLAB</t>
  </si>
  <si>
    <t>R.C.C. Lintel Slab</t>
  </si>
  <si>
    <t>R.C.C. SILL BEAM</t>
  </si>
  <si>
    <t>Charges for R.c.c.Sill beam  - 150 x 150mm size with 2nos T10 steel bars. Sill beams shall be placed horizontally below all the windows through out the walls.</t>
  </si>
  <si>
    <t xml:space="preserve">Charges for R.c.c. Lintel beams - 450mm  x 100 to 150mm thick x 20.3mtr length with 4nos - T12mm. dia Steel bars and Stirrups with R6mm bars @ 150mm spacing. </t>
  </si>
  <si>
    <t xml:space="preserve">Double wall - 2 x 100mm thick Solid Block wall </t>
  </si>
  <si>
    <t>(c) All external wall and all inetrenal walls shall be as per drawing details and  MORTAR for masonry mix ratio shall be 1:5 (cement and river sand)</t>
  </si>
  <si>
    <t>BELOW GROUND</t>
  </si>
  <si>
    <t>Double wall - 2 x 100mm thick Solid Block wall</t>
  </si>
  <si>
    <t xml:space="preserve">150mm thick Solid Block wall </t>
  </si>
  <si>
    <t>D1- Timber Door - 120mm thick Timber Frame &amp; 40mm thick Solid Timber Panel with View Glass panel &amp; 4mm thick double Glazed Fix glass Panel at top, 950 x 2945mm</t>
  </si>
  <si>
    <t>D2 - Timber Door - 120mm thick Timber Frame &amp; 40mm thick Solid Timber Panel with Fixed Timber Louvers &amp; 4mm thick double Glazed Fix glass Panel at top, 950 x 2945mm</t>
  </si>
  <si>
    <t>D1A - Double Swing Timber Door - 120mm thick Timber Frame &amp; 40mm thick Solid Timber Panel with View Glass panel &amp; 4mm thick double Glazed Fix glass Panel at top, 950 x 2945mm</t>
  </si>
  <si>
    <t>W4a - 300 x 150 Louvered Ventilation S.S. Grill at Floor Level. (Refer Rear side Elevation for the location and W4a detail in D/w schedule)</t>
  </si>
  <si>
    <t>W5 - 80 micron white powder coated Aluminium framed Fixed Aluminium Louvered Window, 600 x 600mm.</t>
  </si>
  <si>
    <t>W2 - 80 micron white powder coated Aluminium framed window with 5mm thick Blue tinted Glass Sliding panels and Fixed panels, 1150 x 1850mm</t>
  </si>
  <si>
    <t>D4 - Timber Door - 120mm thick Timber Frame &amp; 40mm thick Solid Timber Panel, 700 x 2000mm</t>
  </si>
  <si>
    <t>150mm thick Solid Block wall</t>
  </si>
  <si>
    <t>W1 - 80 micron white powder coated Aluminium framed window with 5mm thick Blue tinted Glass Openable and Fixed Window panels, 2325 x 1945mm</t>
  </si>
  <si>
    <t>W4 - 80 micron white powder coated Aluminium framed Fixed Aluminium Louvered &amp; Fixeds Glass Window, 600 x 950mm.</t>
  </si>
  <si>
    <t>100mm thick Solid Block wall (Toilet &amp; Ductwalls)</t>
  </si>
  <si>
    <t>W4 - 300 x 150 Louvered Ventilation S.S. Grill at Floor Level. (Refer Rear side Elevation for the location and W4a detail in D/w schedule)</t>
  </si>
  <si>
    <t>W3 - 80 micron white powder coated Aluminium framed window with 5mm thick top hung openable Blue tinted Glass , 1150 x 600mm</t>
  </si>
  <si>
    <t>D3 - Timber Door - 120mm thick Timber Frame &amp; 40mm thick Solid Timber Panel with View Glass panel &amp; 4mm thick double Glazed Fix glass Panel at top, 950 x 2945mm</t>
  </si>
  <si>
    <t>D5 - 80 micron Aluminium framed door with 5mm thick blue tinted glass panelled service door, 1000 x 960mm ( Refer drawing A -14)</t>
  </si>
  <si>
    <t>Both surface of masonry wall and concrete structures at below ground level.</t>
  </si>
  <si>
    <t>STORE &amp; ELECTRICAL ROOM</t>
  </si>
  <si>
    <t>CORRIDOR &amp; PASSAGE</t>
  </si>
  <si>
    <r>
      <t xml:space="preserve">Supply and  Installation of 600 x 600 x 12mm thick Acoustic Ceiling boards on Aluminium frame in the </t>
    </r>
    <r>
      <rPr>
        <sz val="9"/>
        <rFont val="Times New Roman"/>
        <family val="1"/>
      </rPr>
      <t xml:space="preserve"> as per specifications.</t>
    </r>
  </si>
  <si>
    <t>Supply Fabrication &amp; Installation of 6mm thick Cement board ceiling fixed on 50 x 50mm Treated Timber frame  to Toilets.</t>
  </si>
  <si>
    <t>Supply and Fixing Trim deck - Lysaght Covering externally inside  Fascia board inside gutter.</t>
  </si>
  <si>
    <r>
      <t>Charges for Supply, Fabrication and Installation of  Staircase railing -</t>
    </r>
    <r>
      <rPr>
        <b/>
        <sz val="9"/>
        <rFont val="Times New Roman"/>
        <family val="1"/>
      </rPr>
      <t xml:space="preserve"> 50mm dia.</t>
    </r>
    <r>
      <rPr>
        <sz val="9"/>
        <rFont val="Times New Roman"/>
        <family val="1"/>
      </rPr>
      <t xml:space="preserve"> S.S.PIPE AS HORIZONTAL RAILING Fixed on the wall at Internal Staircase side. (Refer drawing - Stair / Toilet Typical Detail )</t>
    </r>
  </si>
  <si>
    <r>
      <t xml:space="preserve">Charges for Supply, Fabrication and Installation of  Staircase railing - </t>
    </r>
    <r>
      <rPr>
        <b/>
        <sz val="9"/>
        <rFont val="Times New Roman"/>
        <family val="1"/>
      </rPr>
      <t>50mm dia</t>
    </r>
    <r>
      <rPr>
        <sz val="9"/>
        <rFont val="Times New Roman"/>
        <family val="1"/>
      </rPr>
      <t xml:space="preserve">. S.S.PIPE AS HORIZONTAL TOP RAIL, BOTTOM RAIL &amp; VERTICAL POST; </t>
    </r>
    <r>
      <rPr>
        <b/>
        <sz val="9"/>
        <rFont val="Times New Roman"/>
        <family val="1"/>
      </rPr>
      <t>25mm dia</t>
    </r>
    <r>
      <rPr>
        <sz val="9"/>
        <rFont val="Times New Roman"/>
        <family val="1"/>
      </rPr>
      <t>. S.S. PIPE - HORIZONTAL MIDDLE RAILS &amp; VERTICAL RAILS. Refer details in the Section Detail -  YY (1).</t>
    </r>
  </si>
  <si>
    <t>10.3</t>
  </si>
  <si>
    <t>KITCHEN HOOD</t>
  </si>
  <si>
    <t>Charges for Supply and Installation of Commercial  Kitchen hood as per client's requirement.</t>
  </si>
  <si>
    <t>Charges for Supply and Installation of Hood Exhaust made with 0.48mm thick Lysaght Sheet to be fixed at external rear side of the building Ground floor to Third floor  as per client's requirement.</t>
  </si>
  <si>
    <t>(a) Rates shall include for: the provision, erection and removal of scaffolding, preparation, rubbing down between coats and similar work, the protection and/or masking floors, fittings and similar work, removing and replacing door and window furniture.</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</si>
  <si>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</si>
  <si>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all labour in framing, notching and fitting around projections, pipes, light fittings, hatches, grilles and similar and complete with cleats, packers, wedges and similar and all nails,bolts &amp; screws.</t>
  </si>
  <si>
    <t>3 Compartment Kitchen Sink with Drain board</t>
  </si>
  <si>
    <t>Dish washer</t>
  </si>
  <si>
    <t>Hand Wash Basin</t>
  </si>
  <si>
    <t>Food preparation board with Sink</t>
  </si>
  <si>
    <t>Commercial Floor Drain (Stainless Steel)</t>
  </si>
  <si>
    <t>Charges for piping for all discharge pipes, sewerage and drainage pipes including connecting to Main junctions from the Fixtures.</t>
  </si>
  <si>
    <t>S.S.Floor drain with trap (Toilets )</t>
  </si>
  <si>
    <t>Service duct door - 450 x 900mm high timber framed openable panel.</t>
  </si>
  <si>
    <t>(d) Each Light/ light fixture and its switch is measured as one one point; similarly each fan or each socket outlet is measured as one point;</t>
  </si>
  <si>
    <t>(c) Rates shall include for electrical conduits, fittings, equipment and similar all fixings to various building surfaces and also all elecetrical work  shall be carried out according to STELCO standards and specifications.</t>
  </si>
  <si>
    <t>(b) Rates for work in trench shall include for: excavation, maintaining faces of excavations, backfilling, compaction, appropriate cable covers, warning tape and disposal of surplus spoil</t>
  </si>
  <si>
    <t>(a) Rates shall include for: screws, nails, bolts, nuts, standard cable fixing or supporting clips, brackets, straps, rivets, plugs and all incidental accessories</t>
  </si>
  <si>
    <t>P04 - 1 x 13A Socket outlet (weather proof) at 300mm above FFL</t>
  </si>
  <si>
    <t>12 )</t>
  </si>
  <si>
    <t>P18 - 1 x 15A Socket outlet @ 300mm above FFL</t>
  </si>
  <si>
    <t>P05 - 1 x 13A Socket outlet @ 900mm above FFL</t>
  </si>
  <si>
    <t>P06 - 2 x 13A Socket outlet @ 300mm above FFL</t>
  </si>
  <si>
    <t>P16 - 1 x 13A Socket outlet @ Ceiling level</t>
  </si>
  <si>
    <t>P15 - 1 x 15A Socket outlet @ Ceiling level</t>
  </si>
  <si>
    <t>1 way Switches</t>
  </si>
  <si>
    <t>VGA 01 - SOCKET OUTLET</t>
  </si>
  <si>
    <t>VGA 02 - SOCKET OUTLET</t>
  </si>
  <si>
    <t>Distribution board for Light points</t>
  </si>
  <si>
    <t>Distribution board for Power points</t>
  </si>
  <si>
    <t>Distribution board for Kitchen - 3phase</t>
  </si>
  <si>
    <t>40" - TV monitor to CCTV System</t>
  </si>
  <si>
    <t>S01 - SECURITY CAMERA (IP night vision camera)</t>
  </si>
  <si>
    <t>VGA cabling from Server room to the Fixtures</t>
  </si>
  <si>
    <t>P33 - Supply and Installation of Main distribution board (Hager / Legrand brand)</t>
  </si>
  <si>
    <t>CAT 06 Cabling  - Data sockets  from Server room</t>
  </si>
  <si>
    <t>Distribution board for Data points</t>
  </si>
  <si>
    <t>T02 - Data Network Socketoutlet</t>
  </si>
  <si>
    <t>Multimedia Projector including stand</t>
  </si>
  <si>
    <t xml:space="preserve">CAT 06 Cabling  - Security Camera System </t>
  </si>
  <si>
    <t>T02 - Data Scoket outlet</t>
  </si>
  <si>
    <t>V04  - 24000 btu Air-Conditioning Indoor units Ceiling fixed Cassette Type including out door units.</t>
  </si>
  <si>
    <t xml:space="preserve">EXIT SIGN LIGHT </t>
  </si>
  <si>
    <t>(d) Both sides of Stair wall to be constructed, flushed or same as the width of the floor beam to avoid offset inside the stair well.</t>
  </si>
  <si>
    <t xml:space="preserve">PROJECT: HDh. Kulhudhfushi 03 Storey Class room block </t>
  </si>
  <si>
    <t>ArchEng Studio Pvt. Ltd.                                                                                                                May, 2015</t>
  </si>
  <si>
    <t>TOTAL           Mvr</t>
  </si>
  <si>
    <t>GST 6%         Mvr</t>
  </si>
  <si>
    <t>GRAND TOTAL           Mvr</t>
  </si>
  <si>
    <t>three storey CLASS ROOM BLOCK
HDH. KULHUDHUFUSHI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</si>
</sst>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00_-;\-* #,##0.00_-;_-* &quot;-&quot;??_-;_-@_-"/>
    <numFmt numFmtId="165" formatCode="_(* #,##0.0_);_(* \(#,##0.0\);_(* &quot;-&quot;??_);_(@_)"/>
    <numFmt numFmtId="166" formatCode="_(* #,##0.000_);_(* \(#,##0.000\);_(* &quot;-&quot;???_);_(@_)"/>
    <numFmt numFmtId="167" formatCode="0.0"/>
    <numFmt numFmtId="168" formatCode="\(0\)"/>
  </numFmts>
  <fonts count="36"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sz val="9"/>
      <color indexed="9"/>
      <name val="Times New Roman"/>
      <family val="1"/>
    </font>
    <font>
      <b/>
      <sz val="16"/>
      <color rgb="FF00B0F0"/>
      <name val="Times New Roman"/>
      <family val="1"/>
    </font>
    <font>
      <b/>
      <sz val="11"/>
      <color theme="1"/>
      <name val="Calibri"/>
      <family val="2"/>
      <scheme val="minor"/>
    </font>
    <font>
      <b/>
      <u/>
      <sz val="12"/>
      <color theme="1"/>
      <name val="Times New Roman"/>
      <family val="1"/>
    </font>
    <font>
      <b/>
      <sz val="22"/>
      <color rgb="FFFF0000"/>
      <name val="Charlemagne Std"/>
      <family val="3"/>
    </font>
    <font>
      <b/>
      <sz val="22"/>
      <color theme="5"/>
      <name val="Charlemagne Std"/>
      <family val="3"/>
    </font>
    <font>
      <b/>
      <u/>
      <sz val="11"/>
      <color theme="1"/>
      <name val="Calibri"/>
      <family val="2"/>
      <scheme val="minor"/>
    </font>
    <font>
      <b/>
      <sz val="9"/>
      <color rgb="FFFF0000"/>
      <name val="Times New Roman"/>
      <family val="1"/>
    </font>
    <font>
      <sz val="9"/>
      <color rgb="FFFF0000"/>
      <name val="Times New Roman"/>
      <family val="1"/>
    </font>
    <font>
      <sz val="8"/>
      <name val="Arial"/>
      <family val="2"/>
    </font>
    <font>
      <b/>
      <sz val="9"/>
      <color indexed="9"/>
      <name val="Times New Roman"/>
      <family val="1"/>
    </font>
    <font>
      <sz val="10"/>
      <color theme="1"/>
      <name val="Times New Roman"/>
      <family val="1"/>
    </font>
    <font>
      <b/>
      <sz val="10"/>
      <name val="Times New Roman"/>
      <family val="1"/>
    </font>
    <font>
      <b/>
      <u/>
      <sz val="10"/>
      <name val="Times New Roman"/>
      <family val="1"/>
    </font>
    <font>
      <b/>
      <sz val="10"/>
      <color theme="1"/>
      <name val="Times New Roman"/>
      <family val="1"/>
    </font>
    <font>
      <vertAlign val="superscript"/>
      <sz val="8"/>
      <name val="Arial"/>
      <family val="2"/>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theme="2" tint="-0.249977111117893"/>
        <bgColor indexed="64"/>
      </patternFill>
    </fill>
  </fills>
  <borders count="6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right/>
      <top style="hair">
        <color auto="1"/>
      </top>
      <bottom style="hair">
        <color auto="1"/>
      </bottom>
      <diagonal/>
    </border>
    <border>
      <left style="hair">
        <color auto="1"/>
      </left>
      <right/>
      <top style="hair">
        <color auto="1"/>
      </top>
      <bottom style="hair">
        <color auto="1"/>
      </bottom>
      <diagonal/>
    </border>
    <border>
      <left style="thin">
        <color auto="1"/>
      </left>
      <right/>
      <top/>
      <bottom/>
      <diagonal/>
    </border>
    <border>
      <left style="thin">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thin">
        <color auto="1"/>
      </right>
      <top style="medium">
        <color auto="1"/>
      </top>
      <bottom style="hair">
        <color auto="1"/>
      </bottom>
      <diagonal/>
    </border>
    <border>
      <left style="thin">
        <color auto="1"/>
      </left>
      <right style="hair">
        <color auto="1"/>
      </right>
      <top style="hair">
        <color indexed="64"/>
      </top>
      <bottom style="medium">
        <color auto="1"/>
      </bottom>
      <diagonal/>
    </border>
    <border>
      <left style="hair">
        <color indexed="64"/>
      </left>
      <right style="hair">
        <color indexed="64"/>
      </right>
      <top style="hair">
        <color indexed="64"/>
      </top>
      <bottom style="medium">
        <color auto="1"/>
      </bottom>
      <diagonal/>
    </border>
    <border>
      <left style="hair">
        <color auto="1"/>
      </left>
      <right style="thin">
        <color auto="1"/>
      </right>
      <top style="hair">
        <color indexed="64"/>
      </top>
      <bottom style="medium">
        <color auto="1"/>
      </bottom>
      <diagonal/>
    </border>
    <border>
      <left/>
      <right style="hair">
        <color auto="1"/>
      </right>
      <top style="hair">
        <color auto="1"/>
      </top>
      <bottom style="hair">
        <color auto="1"/>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auto="1"/>
      </right>
      <top style="thin">
        <color indexed="64"/>
      </top>
      <bottom/>
      <diagonal/>
    </border>
    <border>
      <left/>
      <right style="thin">
        <color auto="1"/>
      </right>
      <top/>
      <bottom/>
      <diagonal/>
    </border>
    <border>
      <left style="thin">
        <color indexed="64"/>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auto="1"/>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auto="1"/>
      </right>
      <top/>
      <bottom style="thin">
        <color auto="1"/>
      </bottom>
      <diagonal/>
    </border>
    <border>
      <left/>
      <right style="hair">
        <color auto="1"/>
      </right>
      <top style="thin">
        <color indexed="64"/>
      </top>
      <bottom/>
      <diagonal/>
    </border>
    <border>
      <left style="hair">
        <color auto="1"/>
      </left>
      <right/>
      <top/>
      <bottom/>
      <diagonal/>
    </border>
    <border>
      <left/>
      <right style="hair">
        <color auto="1"/>
      </right>
      <top/>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672">
    <xf numFmtId="0" fontId="0" fillId="0" borderId="0" xfId="0"/>
    <xf numFmtId="49" fontId="3" fillId="2" borderId="16" xfId="0" applyNumberFormat="1" applyFont="1" applyFill="1" applyBorder="1"/>
    <xf numFmtId="0" fontId="3" fillId="2" borderId="16" xfId="0" applyFont="1" applyFill="1" applyBorder="1"/>
    <xf numFmtId="43" fontId="3" fillId="2" borderId="16" xfId="1" applyFont="1" applyFill="1" applyBorder="1"/>
    <xf numFmtId="49" fontId="6" fillId="2" borderId="17" xfId="0" applyNumberFormat="1" applyFont="1" applyFill="1" applyBorder="1"/>
    <xf numFmtId="0" fontId="6" fillId="2" borderId="18" xfId="0" applyFont="1" applyFill="1" applyBorder="1" applyAlignment="1">
      <alignment horizontal="center"/>
    </xf>
    <xf numFmtId="0" fontId="6" fillId="2" borderId="19" xfId="0" applyFont="1" applyFill="1" applyBorder="1" applyAlignment="1">
      <alignment horizontal="center"/>
    </xf>
    <xf numFmtId="49" fontId="7" fillId="2" borderId="20" xfId="0" applyNumberFormat="1" applyFont="1" applyFill="1" applyBorder="1" applyAlignment="1">
      <alignment horizontal="center"/>
    </xf>
    <xf numFmtId="0" fontId="7" fillId="2" borderId="21" xfId="0" applyFont="1" applyFill="1" applyBorder="1" applyAlignment="1">
      <alignment horizontal="left"/>
    </xf>
    <xf numFmtId="43" fontId="7" fillId="2" borderId="22" xfId="1" applyFont="1" applyFill="1" applyBorder="1" applyAlignment="1">
      <alignment horizontal="center"/>
    </xf>
    <xf numFmtId="49" fontId="7" fillId="2" borderId="23" xfId="0" applyNumberFormat="1" applyFont="1" applyFill="1" applyBorder="1" applyAlignment="1">
      <alignment horizontal="center"/>
    </xf>
    <xf numFmtId="0" fontId="7" fillId="2" borderId="24" xfId="0" applyFont="1" applyFill="1" applyBorder="1" applyAlignment="1">
      <alignment horizontal="left"/>
    </xf>
    <xf numFmtId="43" fontId="7" fillId="2" borderId="25" xfId="1" applyFont="1" applyFill="1" applyBorder="1" applyAlignment="1">
      <alignment horizontal="center"/>
    </xf>
    <xf numFmtId="49" fontId="8" fillId="2" borderId="23" xfId="0" applyNumberFormat="1" applyFont="1" applyFill="1" applyBorder="1"/>
    <xf numFmtId="0" fontId="8" fillId="2" borderId="24" xfId="0" applyFont="1" applyFill="1" applyBorder="1"/>
    <xf numFmtId="0" fontId="9" fillId="2" borderId="25" xfId="0" applyFont="1" applyFill="1" applyBorder="1" applyAlignment="1">
      <alignment horizontal="center"/>
    </xf>
    <xf numFmtId="49" fontId="8" fillId="2" borderId="26" xfId="0" applyNumberFormat="1" applyFont="1" applyFill="1" applyBorder="1"/>
    <xf numFmtId="0" fontId="8" fillId="2" borderId="27" xfId="0" applyFont="1" applyFill="1" applyBorder="1"/>
    <xf numFmtId="0" fontId="9" fillId="2" borderId="28" xfId="0"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0" fontId="13" fillId="2" borderId="5" xfId="2" applyNumberFormat="1" applyFont="1" applyFill="1" applyBorder="1" applyAlignment="1">
      <alignment horizontal="center"/>
    </xf>
    <xf numFmtId="43" fontId="12" fillId="2" borderId="5" xfId="2" applyFont="1" applyFill="1" applyBorder="1" applyAlignment="1">
      <alignment horizontal="center"/>
    </xf>
    <xf numFmtId="43" fontId="12" fillId="3" borderId="5" xfId="1" applyNumberFormat="1" applyFont="1" applyFill="1" applyBorder="1" applyAlignment="1">
      <alignment horizontal="center"/>
    </xf>
    <xf numFmtId="49" fontId="12" fillId="2" borderId="1" xfId="2" applyNumberFormat="1" applyFont="1" applyFill="1" applyBorder="1" applyAlignment="1">
      <alignment horizontal="center" vertical="justify"/>
    </xf>
    <xf numFmtId="0" fontId="14" fillId="2" borderId="2" xfId="2" quotePrefix="1" applyNumberFormat="1" applyFont="1" applyFill="1" applyBorder="1" applyAlignment="1">
      <alignment horizontal="left"/>
    </xf>
    <xf numFmtId="43" fontId="12" fillId="3" borderId="2" xfId="1" applyNumberFormat="1" applyFont="1" applyFill="1" applyBorder="1" applyAlignment="1">
      <alignment horizontal="center"/>
    </xf>
    <xf numFmtId="49" fontId="12" fillId="2" borderId="13" xfId="2" applyNumberFormat="1" applyFont="1" applyFill="1" applyBorder="1" applyAlignment="1">
      <alignment horizontal="center" vertical="justify"/>
    </xf>
    <xf numFmtId="0" fontId="14" fillId="2" borderId="14" xfId="2" quotePrefix="1" applyNumberFormat="1" applyFont="1" applyFill="1" applyBorder="1" applyAlignment="1">
      <alignment horizontal="left"/>
    </xf>
    <xf numFmtId="43" fontId="12" fillId="3" borderId="14" xfId="1" applyNumberFormat="1" applyFont="1" applyFill="1" applyBorder="1" applyAlignment="1">
      <alignment horizontal="center"/>
    </xf>
    <xf numFmtId="43" fontId="11" fillId="0" borderId="0" xfId="0" applyNumberFormat="1" applyFont="1" applyAlignment="1">
      <alignment horizontal="center" vertical="center"/>
    </xf>
    <xf numFmtId="43" fontId="11" fillId="0" borderId="8" xfId="1" applyFont="1" applyBorder="1" applyAlignment="1">
      <alignment horizontal="center" vertical="center" wrapText="1"/>
    </xf>
    <xf numFmtId="43" fontId="11" fillId="0" borderId="9" xfId="1" applyFont="1" applyBorder="1" applyAlignment="1">
      <alignment horizontal="center" vertical="center" wrapText="1"/>
    </xf>
    <xf numFmtId="43" fontId="12" fillId="2" borderId="2" xfId="2" applyFont="1" applyFill="1" applyBorder="1" applyAlignment="1">
      <alignment horizontal="center"/>
    </xf>
    <xf numFmtId="43" fontId="12" fillId="2" borderId="14" xfId="2" applyFont="1" applyFill="1" applyBorder="1" applyAlignment="1">
      <alignment horizontal="center"/>
    </xf>
    <xf numFmtId="49" fontId="12" fillId="2" borderId="7" xfId="2" applyNumberFormat="1" applyFont="1" applyFill="1" applyBorder="1" applyAlignment="1">
      <alignment horizontal="center" vertical="justify"/>
    </xf>
    <xf numFmtId="43" fontId="12" fillId="2" borderId="8" xfId="2" applyFont="1" applyFill="1" applyBorder="1" applyAlignment="1">
      <alignment horizontal="center"/>
    </xf>
    <xf numFmtId="43" fontId="12" fillId="3" borderId="8" xfId="1" applyNumberFormat="1" applyFont="1" applyFill="1" applyBorder="1" applyAlignment="1">
      <alignment horizontal="center"/>
    </xf>
    <xf numFmtId="0" fontId="11" fillId="0" borderId="0" xfId="0" applyFont="1" applyAlignment="1">
      <alignment horizontal="center" vertical="center" wrapText="1"/>
    </xf>
    <xf numFmtId="0" fontId="11" fillId="0" borderId="5" xfId="0" applyFont="1" applyBorder="1" applyAlignment="1">
      <alignment horizontal="center"/>
    </xf>
    <xf numFmtId="43" fontId="11" fillId="0" borderId="5" xfId="1" applyFont="1" applyBorder="1"/>
    <xf numFmtId="43" fontId="11" fillId="0" borderId="6" xfId="1" applyFont="1" applyBorder="1"/>
    <xf numFmtId="43" fontId="11" fillId="0" borderId="0" xfId="0" applyNumberFormat="1" applyFont="1"/>
    <xf numFmtId="0" fontId="17" fillId="0" borderId="0" xfId="0" applyFont="1"/>
    <xf numFmtId="43" fontId="11" fillId="0" borderId="2" xfId="1" applyFont="1" applyBorder="1"/>
    <xf numFmtId="43" fontId="11" fillId="0" borderId="3" xfId="1" applyFont="1" applyBorder="1"/>
    <xf numFmtId="166" fontId="11" fillId="0" borderId="0" xfId="0" applyNumberFormat="1" applyFont="1"/>
    <xf numFmtId="0" fontId="12" fillId="0" borderId="5" xfId="3" applyFont="1" applyBorder="1" applyAlignment="1">
      <alignment horizontal="left" wrapText="1"/>
    </xf>
    <xf numFmtId="0" fontId="13" fillId="5" borderId="5" xfId="2" applyNumberFormat="1" applyFont="1" applyFill="1" applyBorder="1" applyAlignment="1">
      <alignment horizontal="left"/>
    </xf>
    <xf numFmtId="0" fontId="12" fillId="3" borderId="5" xfId="3" applyFont="1" applyFill="1" applyBorder="1" applyAlignment="1">
      <alignment horizontal="center"/>
    </xf>
    <xf numFmtId="0" fontId="11" fillId="0" borderId="0" xfId="0" applyFont="1" applyAlignment="1">
      <alignment vertical="top"/>
    </xf>
    <xf numFmtId="0" fontId="12" fillId="0" borderId="5" xfId="3" applyFont="1" applyBorder="1" applyAlignment="1">
      <alignment horizontal="center"/>
    </xf>
    <xf numFmtId="43" fontId="11" fillId="0" borderId="14" xfId="1" applyFont="1" applyBorder="1"/>
    <xf numFmtId="49" fontId="11" fillId="0" borderId="0" xfId="0" applyNumberFormat="1" applyFont="1"/>
    <xf numFmtId="165" fontId="11" fillId="0" borderId="5" xfId="1" applyNumberFormat="1" applyFont="1" applyBorder="1"/>
    <xf numFmtId="43" fontId="11" fillId="3" borderId="5" xfId="1" applyFont="1" applyFill="1" applyBorder="1"/>
    <xf numFmtId="43" fontId="11" fillId="3" borderId="6" xfId="1" applyFont="1" applyFill="1" applyBorder="1"/>
    <xf numFmtId="0" fontId="11" fillId="3" borderId="0" xfId="0" applyFont="1" applyFill="1"/>
    <xf numFmtId="43" fontId="11" fillId="0" borderId="11" xfId="1" applyFont="1" applyBorder="1"/>
    <xf numFmtId="43" fontId="11" fillId="0" borderId="12" xfId="1" applyFont="1" applyBorder="1"/>
    <xf numFmtId="43" fontId="11" fillId="5" borderId="5" xfId="1" applyFont="1" applyFill="1" applyBorder="1"/>
    <xf numFmtId="43" fontId="11" fillId="5" borderId="6" xfId="1" applyFont="1" applyFill="1" applyBorder="1"/>
    <xf numFmtId="0" fontId="11" fillId="0" borderId="7" xfId="0" applyFont="1" applyBorder="1" applyAlignment="1">
      <alignment horizontal="center" vertical="center"/>
    </xf>
    <xf numFmtId="0" fontId="11" fillId="0" borderId="8" xfId="0" applyFont="1" applyBorder="1" applyAlignment="1">
      <alignment horizontal="center" vertical="center"/>
    </xf>
    <xf numFmtId="43" fontId="11" fillId="0" borderId="8" xfId="0" applyNumberFormat="1" applyFont="1" applyBorder="1" applyAlignment="1">
      <alignment horizontal="center" vertical="center"/>
    </xf>
    <xf numFmtId="0" fontId="11" fillId="0" borderId="9" xfId="0" applyFont="1" applyBorder="1" applyAlignment="1">
      <alignment horizontal="center" vertical="center"/>
    </xf>
    <xf numFmtId="0" fontId="0" fillId="0" borderId="0" xfId="0" applyAlignment="1">
      <alignment vertical="center"/>
    </xf>
    <xf numFmtId="0" fontId="22" fillId="0" borderId="0" xfId="0" applyFont="1"/>
    <xf numFmtId="0" fontId="26" fillId="0" borderId="0" xfId="0" applyFont="1"/>
    <xf numFmtId="43" fontId="17" fillId="0" borderId="5" xfId="1" applyFont="1" applyBorder="1"/>
    <xf numFmtId="43" fontId="17" fillId="0" borderId="6" xfId="1" applyFont="1" applyBorder="1"/>
    <xf numFmtId="0" fontId="17" fillId="0" borderId="0" xfId="0" applyFont="1" applyAlignment="1">
      <alignment horizontal="center" vertical="center"/>
    </xf>
    <xf numFmtId="0" fontId="27" fillId="0" borderId="0" xfId="0" applyFont="1" applyAlignment="1">
      <alignment horizontal="center" vertical="center"/>
    </xf>
    <xf numFmtId="43" fontId="11" fillId="3" borderId="0" xfId="0" applyNumberFormat="1" applyFont="1" applyFill="1"/>
    <xf numFmtId="0" fontId="27" fillId="0" borderId="0" xfId="0" applyFont="1"/>
    <xf numFmtId="0" fontId="12" fillId="5" borderId="5" xfId="3" applyFont="1" applyFill="1" applyBorder="1" applyAlignment="1">
      <alignment horizontal="center"/>
    </xf>
    <xf numFmtId="43" fontId="17" fillId="0" borderId="15" xfId="1" applyFont="1" applyBorder="1"/>
    <xf numFmtId="0" fontId="25" fillId="0" borderId="0" xfId="0" applyFont="1" applyAlignment="1">
      <alignment horizontal="center"/>
    </xf>
    <xf numFmtId="0" fontId="21" fillId="0" borderId="0" xfId="0" applyFont="1" applyAlignment="1">
      <alignment horizontal="center"/>
    </xf>
    <xf numFmtId="166" fontId="11" fillId="3" borderId="0" xfId="0" applyNumberFormat="1" applyFont="1" applyFill="1"/>
    <xf numFmtId="0" fontId="12" fillId="2" borderId="5" xfId="2" applyNumberFormat="1" applyFont="1" applyFill="1" applyBorder="1" applyAlignment="1">
      <alignment horizontal="left" wrapText="1"/>
    </xf>
    <xf numFmtId="164" fontId="11" fillId="0" borderId="0" xfId="0" applyNumberFormat="1" applyFont="1"/>
    <xf numFmtId="0" fontId="11" fillId="0" borderId="0" xfId="0" applyFont="1" applyAlignment="1"/>
    <xf numFmtId="164" fontId="0" fillId="0" borderId="0" xfId="0" applyNumberFormat="1"/>
    <xf numFmtId="164" fontId="11" fillId="3" borderId="0" xfId="0" applyNumberFormat="1" applyFont="1" applyFill="1"/>
    <xf numFmtId="0" fontId="0" fillId="0" borderId="6" xfId="0" applyBorder="1" applyAlignment="1"/>
    <xf numFmtId="0" fontId="12" fillId="2" borderId="5" xfId="2" applyNumberFormat="1" applyFont="1" applyFill="1" applyBorder="1" applyAlignment="1">
      <alignment horizontal="left" wrapText="1"/>
    </xf>
    <xf numFmtId="0" fontId="11" fillId="3" borderId="0" xfId="0" applyFont="1" applyFill="1" applyBorder="1"/>
    <xf numFmtId="49" fontId="14" fillId="3" borderId="0" xfId="2" applyNumberFormat="1" applyFont="1" applyFill="1" applyBorder="1" applyAlignment="1">
      <alignment horizontal="center"/>
    </xf>
    <xf numFmtId="0" fontId="13" fillId="3" borderId="0" xfId="2" applyNumberFormat="1" applyFont="1" applyFill="1" applyBorder="1" applyAlignment="1">
      <alignment horizontal="left" wrapText="1"/>
    </xf>
    <xf numFmtId="0" fontId="11" fillId="3" borderId="0" xfId="0" applyFont="1" applyFill="1" applyBorder="1" applyAlignment="1">
      <alignment horizontal="center"/>
    </xf>
    <xf numFmtId="43" fontId="14" fillId="3" borderId="0" xfId="1" applyNumberFormat="1" applyFont="1" applyFill="1" applyBorder="1" applyAlignment="1">
      <alignment horizontal="center"/>
    </xf>
    <xf numFmtId="0" fontId="12" fillId="3" borderId="0" xfId="2" applyNumberFormat="1" applyFont="1" applyFill="1" applyBorder="1" applyAlignment="1">
      <alignment horizontal="left" wrapText="1"/>
    </xf>
    <xf numFmtId="43" fontId="12" fillId="3" borderId="0" xfId="1" applyNumberFormat="1" applyFont="1" applyFill="1" applyBorder="1" applyAlignment="1">
      <alignment horizontal="center"/>
    </xf>
    <xf numFmtId="43" fontId="12" fillId="3" borderId="0" xfId="2" applyFont="1" applyFill="1" applyBorder="1" applyAlignment="1">
      <alignment horizontal="center"/>
    </xf>
    <xf numFmtId="43" fontId="14" fillId="3" borderId="5" xfId="1" applyFont="1" applyFill="1" applyBorder="1" applyAlignment="1">
      <alignment horizontal="center"/>
    </xf>
    <xf numFmtId="0" fontId="13" fillId="3" borderId="5" xfId="2" applyNumberFormat="1" applyFont="1" applyFill="1" applyBorder="1" applyAlignment="1">
      <alignment horizontal="left"/>
    </xf>
    <xf numFmtId="43" fontId="12" fillId="3" borderId="5" xfId="1" applyFont="1" applyFill="1" applyBorder="1" applyAlignment="1">
      <alignment horizontal="center"/>
    </xf>
    <xf numFmtId="43" fontId="12" fillId="5" borderId="5" xfId="1" applyFont="1" applyFill="1" applyBorder="1" applyAlignment="1">
      <alignment horizontal="center"/>
    </xf>
    <xf numFmtId="43" fontId="12" fillId="2" borderId="2" xfId="1" applyFont="1" applyFill="1" applyBorder="1" applyAlignment="1">
      <alignment horizontal="center"/>
    </xf>
    <xf numFmtId="43" fontId="12" fillId="2" borderId="14" xfId="1" applyFont="1" applyFill="1" applyBorder="1" applyAlignment="1">
      <alignment horizontal="center"/>
    </xf>
    <xf numFmtId="43" fontId="11" fillId="0" borderId="8" xfId="1" applyFont="1" applyBorder="1" applyAlignment="1">
      <alignment horizontal="center" vertical="center"/>
    </xf>
    <xf numFmtId="43" fontId="12" fillId="2" borderId="8" xfId="1" applyFont="1" applyFill="1" applyBorder="1" applyAlignment="1">
      <alignment horizontal="center"/>
    </xf>
    <xf numFmtId="43" fontId="14" fillId="13" borderId="5" xfId="1" applyFont="1" applyFill="1" applyBorder="1" applyAlignment="1">
      <alignment horizontal="center"/>
    </xf>
    <xf numFmtId="0" fontId="12" fillId="2" borderId="5" xfId="2" applyNumberFormat="1" applyFont="1" applyFill="1" applyBorder="1" applyAlignment="1">
      <alignment horizontal="left" wrapText="1"/>
    </xf>
    <xf numFmtId="49" fontId="4" fillId="2" borderId="0" xfId="0" applyNumberFormat="1" applyFont="1" applyFill="1" applyBorder="1" applyAlignment="1">
      <alignment horizontal="center"/>
    </xf>
    <xf numFmtId="0" fontId="12" fillId="0" borderId="0" xfId="0" applyFont="1"/>
    <xf numFmtId="0" fontId="12" fillId="0" borderId="11" xfId="3" applyFont="1" applyBorder="1" applyAlignment="1">
      <alignment horizontal="left" wrapText="1"/>
    </xf>
    <xf numFmtId="0" fontId="12" fillId="0" borderId="11" xfId="3" applyFont="1" applyBorder="1" applyAlignment="1">
      <alignment horizontal="center"/>
    </xf>
    <xf numFmtId="0" fontId="24" fillId="0" borderId="0" xfId="0" applyFont="1" applyAlignment="1">
      <alignment horizontal="center" vertical="center" wrapText="1"/>
    </xf>
    <xf numFmtId="165" fontId="12" fillId="2" borderId="32" xfId="1" applyNumberFormat="1" applyFont="1" applyFill="1" applyBorder="1" applyAlignment="1">
      <alignment horizontal="left" vertical="justify"/>
    </xf>
    <xf numFmtId="0" fontId="13" fillId="2" borderId="33" xfId="2" quotePrefix="1" applyNumberFormat="1" applyFont="1" applyFill="1" applyBorder="1" applyAlignment="1">
      <alignment horizontal="center"/>
    </xf>
    <xf numFmtId="43" fontId="12" fillId="2" borderId="33" xfId="2" applyFont="1" applyFill="1" applyBorder="1" applyAlignment="1">
      <alignment horizontal="center"/>
    </xf>
    <xf numFmtId="43" fontId="12" fillId="3" borderId="33" xfId="1" applyFont="1" applyFill="1" applyBorder="1" applyAlignment="1">
      <alignment horizontal="center"/>
    </xf>
    <xf numFmtId="165" fontId="12" fillId="2" borderId="33" xfId="1" applyNumberFormat="1" applyFont="1" applyFill="1" applyBorder="1" applyAlignment="1">
      <alignment horizontal="center"/>
    </xf>
    <xf numFmtId="43" fontId="11" fillId="0" borderId="33" xfId="1" applyFont="1" applyBorder="1"/>
    <xf numFmtId="43" fontId="11" fillId="0" borderId="34" xfId="1" applyFont="1" applyBorder="1"/>
    <xf numFmtId="165" fontId="12" fillId="2" borderId="4" xfId="1" applyNumberFormat="1" applyFont="1" applyFill="1" applyBorder="1" applyAlignment="1">
      <alignment horizontal="left" vertical="justify"/>
    </xf>
    <xf numFmtId="165" fontId="12" fillId="2" borderId="5" xfId="1" applyNumberFormat="1" applyFont="1" applyFill="1" applyBorder="1" applyAlignment="1">
      <alignment horizontal="center"/>
    </xf>
    <xf numFmtId="165" fontId="14" fillId="5" borderId="4" xfId="1" applyNumberFormat="1" applyFont="1" applyFill="1" applyBorder="1" applyAlignment="1">
      <alignment horizontal="left" vertical="justify"/>
    </xf>
    <xf numFmtId="165" fontId="12" fillId="5" borderId="5" xfId="1" applyNumberFormat="1" applyFont="1" applyFill="1" applyBorder="1" applyAlignment="1">
      <alignment horizontal="center"/>
    </xf>
    <xf numFmtId="165" fontId="14" fillId="2" borderId="4" xfId="1" applyNumberFormat="1" applyFont="1" applyFill="1" applyBorder="1" applyAlignment="1">
      <alignment horizontal="left" vertical="justify"/>
    </xf>
    <xf numFmtId="0" fontId="14" fillId="0" borderId="5" xfId="3" applyFont="1" applyBorder="1" applyAlignment="1">
      <alignment horizontal="left" wrapText="1"/>
    </xf>
    <xf numFmtId="0" fontId="14" fillId="0" borderId="5" xfId="3" applyFont="1" applyBorder="1" applyAlignment="1">
      <alignment horizontal="center"/>
    </xf>
    <xf numFmtId="165" fontId="14" fillId="2" borderId="5" xfId="1" applyNumberFormat="1" applyFont="1" applyFill="1" applyBorder="1" applyAlignment="1">
      <alignment horizontal="center"/>
    </xf>
    <xf numFmtId="165" fontId="14" fillId="13" borderId="4" xfId="1" applyNumberFormat="1" applyFont="1" applyFill="1" applyBorder="1" applyAlignment="1">
      <alignment horizontal="left" vertical="justify"/>
    </xf>
    <xf numFmtId="0" fontId="14" fillId="13" borderId="5" xfId="3" applyFont="1" applyFill="1" applyBorder="1" applyAlignment="1">
      <alignment horizontal="left" wrapText="1"/>
    </xf>
    <xf numFmtId="0" fontId="14" fillId="13" borderId="5" xfId="3" applyFont="1" applyFill="1" applyBorder="1" applyAlignment="1">
      <alignment horizontal="center"/>
    </xf>
    <xf numFmtId="165" fontId="14" fillId="13" borderId="5" xfId="1" applyNumberFormat="1" applyFont="1" applyFill="1" applyBorder="1" applyAlignment="1">
      <alignment horizontal="center"/>
    </xf>
    <xf numFmtId="43" fontId="17" fillId="13" borderId="5" xfId="1" applyFont="1" applyFill="1" applyBorder="1"/>
    <xf numFmtId="43" fontId="17" fillId="13" borderId="6" xfId="1" applyFont="1" applyFill="1" applyBorder="1"/>
    <xf numFmtId="165" fontId="14" fillId="2" borderId="4" xfId="1" applyNumberFormat="1" applyFont="1" applyFill="1" applyBorder="1" applyAlignment="1">
      <alignment horizontal="left"/>
    </xf>
    <xf numFmtId="0" fontId="13" fillId="0" borderId="5" xfId="3" applyNumberFormat="1" applyFont="1" applyBorder="1" applyAlignment="1">
      <alignment horizontal="left"/>
    </xf>
    <xf numFmtId="43" fontId="17" fillId="0" borderId="5" xfId="1" applyFont="1" applyBorder="1" applyAlignment="1"/>
    <xf numFmtId="165" fontId="12" fillId="2" borderId="1" xfId="1" applyNumberFormat="1" applyFont="1" applyFill="1" applyBorder="1" applyAlignment="1">
      <alignment horizontal="left" vertical="justify"/>
    </xf>
    <xf numFmtId="0" fontId="11" fillId="0" borderId="2" xfId="0" applyFont="1" applyBorder="1" applyAlignment="1">
      <alignment horizontal="center"/>
    </xf>
    <xf numFmtId="165" fontId="11" fillId="0" borderId="2" xfId="1" applyNumberFormat="1" applyFont="1" applyBorder="1"/>
    <xf numFmtId="165" fontId="12" fillId="2" borderId="35" xfId="1" applyNumberFormat="1" applyFont="1" applyFill="1" applyBorder="1" applyAlignment="1">
      <alignment horizontal="left" vertical="justify"/>
    </xf>
    <xf numFmtId="0" fontId="14" fillId="2" borderId="36" xfId="2" quotePrefix="1" applyNumberFormat="1" applyFont="1" applyFill="1" applyBorder="1" applyAlignment="1">
      <alignment horizontal="left"/>
    </xf>
    <xf numFmtId="0" fontId="11" fillId="0" borderId="36" xfId="0" applyFont="1" applyBorder="1" applyAlignment="1">
      <alignment horizontal="center"/>
    </xf>
    <xf numFmtId="43" fontId="11" fillId="0" borderId="36" xfId="1" applyFont="1" applyBorder="1"/>
    <xf numFmtId="165" fontId="11" fillId="0" borderId="36" xfId="1" applyNumberFormat="1" applyFont="1" applyBorder="1"/>
    <xf numFmtId="43" fontId="17" fillId="0" borderId="37" xfId="1" applyFont="1" applyBorder="1"/>
    <xf numFmtId="165" fontId="12" fillId="3" borderId="4" xfId="1" applyNumberFormat="1" applyFont="1" applyFill="1" applyBorder="1" applyAlignment="1">
      <alignment horizontal="left" vertical="justify"/>
    </xf>
    <xf numFmtId="165" fontId="12" fillId="3" borderId="5" xfId="1" applyNumberFormat="1" applyFont="1" applyFill="1" applyBorder="1" applyAlignment="1">
      <alignment horizontal="center"/>
    </xf>
    <xf numFmtId="43" fontId="12" fillId="3" borderId="11" xfId="1" applyFont="1" applyFill="1" applyBorder="1" applyAlignment="1">
      <alignment horizontal="center"/>
    </xf>
    <xf numFmtId="165" fontId="12" fillId="2" borderId="10" xfId="1" applyNumberFormat="1" applyFont="1" applyFill="1" applyBorder="1" applyAlignment="1">
      <alignment horizontal="left" vertical="justify"/>
    </xf>
    <xf numFmtId="165" fontId="12" fillId="2" borderId="11" xfId="1" applyNumberFormat="1" applyFont="1" applyFill="1" applyBorder="1" applyAlignment="1">
      <alignment horizontal="center"/>
    </xf>
    <xf numFmtId="165" fontId="12" fillId="5" borderId="4" xfId="1" applyNumberFormat="1" applyFont="1" applyFill="1" applyBorder="1" applyAlignment="1">
      <alignment horizontal="left" vertical="justify"/>
    </xf>
    <xf numFmtId="43" fontId="11" fillId="0" borderId="0" xfId="1" applyFont="1" applyBorder="1"/>
    <xf numFmtId="0" fontId="12" fillId="2" borderId="5" xfId="2" applyNumberFormat="1" applyFont="1" applyFill="1" applyBorder="1" applyAlignment="1">
      <alignment horizontal="left" wrapText="1"/>
    </xf>
    <xf numFmtId="43" fontId="11" fillId="0" borderId="40" xfId="1" applyFont="1" applyBorder="1" applyAlignment="1">
      <alignment horizontal="center" vertical="center" wrapText="1"/>
    </xf>
    <xf numFmtId="43" fontId="11" fillId="0" borderId="41" xfId="1" applyFont="1" applyBorder="1" applyAlignment="1">
      <alignment horizontal="center" vertical="center" wrapText="1"/>
    </xf>
    <xf numFmtId="0" fontId="13" fillId="2" borderId="8" xfId="2" applyNumberFormat="1" applyFont="1" applyFill="1" applyBorder="1" applyAlignment="1">
      <alignment horizontal="center"/>
    </xf>
    <xf numFmtId="49" fontId="14" fillId="5" borderId="7" xfId="2" applyNumberFormat="1" applyFont="1" applyFill="1" applyBorder="1" applyAlignment="1">
      <alignment horizontal="center" vertical="justify"/>
    </xf>
    <xf numFmtId="0" fontId="13" fillId="5" borderId="8" xfId="2" applyNumberFormat="1" applyFont="1" applyFill="1" applyBorder="1" applyAlignment="1">
      <alignment horizontal="justify" vertical="top"/>
    </xf>
    <xf numFmtId="43" fontId="12" fillId="5" borderId="8" xfId="2" applyNumberFormat="1" applyFont="1" applyFill="1" applyBorder="1" applyAlignment="1">
      <alignment horizontal="center"/>
    </xf>
    <xf numFmtId="43" fontId="12" fillId="5" borderId="8" xfId="1" applyNumberFormat="1" applyFont="1" applyFill="1" applyBorder="1" applyAlignment="1">
      <alignment horizontal="center"/>
    </xf>
    <xf numFmtId="43" fontId="12" fillId="5" borderId="8" xfId="1" applyFont="1" applyFill="1" applyBorder="1" applyAlignment="1">
      <alignment horizontal="center"/>
    </xf>
    <xf numFmtId="43" fontId="11" fillId="5" borderId="8" xfId="1" applyFont="1" applyFill="1" applyBorder="1" applyAlignment="1">
      <alignment horizontal="center" vertical="center" wrapText="1"/>
    </xf>
    <xf numFmtId="43" fontId="11" fillId="5" borderId="9" xfId="1" applyFont="1" applyFill="1" applyBorder="1" applyAlignment="1">
      <alignment horizontal="center" vertical="center" wrapText="1"/>
    </xf>
    <xf numFmtId="0" fontId="13" fillId="2" borderId="8" xfId="2" applyNumberFormat="1" applyFont="1" applyFill="1" applyBorder="1" applyAlignment="1">
      <alignment horizontal="justify" vertical="top"/>
    </xf>
    <xf numFmtId="0" fontId="12" fillId="2" borderId="8" xfId="2" applyNumberFormat="1" applyFont="1" applyFill="1" applyBorder="1" applyAlignment="1">
      <alignment horizontal="left" vertical="top" wrapText="1"/>
    </xf>
    <xf numFmtId="43" fontId="11" fillId="0" borderId="9" xfId="1" applyFont="1" applyBorder="1"/>
    <xf numFmtId="0" fontId="13" fillId="5" borderId="8" xfId="2" applyNumberFormat="1" applyFont="1" applyFill="1" applyBorder="1" applyAlignment="1">
      <alignment horizontal="left" vertical="top"/>
    </xf>
    <xf numFmtId="43" fontId="12" fillId="5" borderId="8" xfId="2" applyFont="1" applyFill="1" applyBorder="1" applyAlignment="1">
      <alignment horizontal="center"/>
    </xf>
    <xf numFmtId="0" fontId="12" fillId="2" borderId="8" xfId="2" applyNumberFormat="1" applyFont="1" applyFill="1" applyBorder="1" applyAlignment="1">
      <alignment wrapText="1"/>
    </xf>
    <xf numFmtId="49" fontId="17" fillId="6" borderId="7" xfId="0" applyNumberFormat="1" applyFont="1" applyFill="1" applyBorder="1"/>
    <xf numFmtId="0" fontId="18" fillId="6" borderId="8" xfId="0" applyFont="1" applyFill="1" applyBorder="1" applyAlignment="1">
      <alignment wrapText="1"/>
    </xf>
    <xf numFmtId="0" fontId="17" fillId="6" borderId="8" xfId="0" applyFont="1" applyFill="1" applyBorder="1" applyAlignment="1">
      <alignment horizontal="center"/>
    </xf>
    <xf numFmtId="43" fontId="17" fillId="6" borderId="8" xfId="1" applyNumberFormat="1" applyFont="1" applyFill="1" applyBorder="1"/>
    <xf numFmtId="43" fontId="17" fillId="6" borderId="8" xfId="1" applyFont="1" applyFill="1" applyBorder="1"/>
    <xf numFmtId="43" fontId="17" fillId="6" borderId="9" xfId="1" applyFont="1" applyFill="1" applyBorder="1"/>
    <xf numFmtId="49" fontId="11" fillId="0" borderId="7" xfId="0" applyNumberFormat="1" applyFont="1" applyBorder="1"/>
    <xf numFmtId="0" fontId="11" fillId="0" borderId="8" xfId="0" applyFont="1" applyBorder="1" applyAlignment="1">
      <alignment wrapText="1"/>
    </xf>
    <xf numFmtId="0" fontId="11" fillId="0" borderId="8" xfId="0" applyFont="1" applyBorder="1" applyAlignment="1">
      <alignment horizontal="center"/>
    </xf>
    <xf numFmtId="43" fontId="11" fillId="0" borderId="8" xfId="1" applyNumberFormat="1" applyFont="1" applyBorder="1"/>
    <xf numFmtId="43" fontId="11" fillId="0" borderId="8" xfId="1" applyFont="1" applyBorder="1"/>
    <xf numFmtId="49" fontId="11" fillId="0" borderId="7" xfId="0" applyNumberFormat="1" applyFont="1" applyBorder="1" applyAlignment="1">
      <alignment vertical="top"/>
    </xf>
    <xf numFmtId="0" fontId="11" fillId="6" borderId="8" xfId="0" applyFont="1" applyFill="1" applyBorder="1" applyAlignment="1">
      <alignment horizontal="center"/>
    </xf>
    <xf numFmtId="43" fontId="11" fillId="6" borderId="8" xfId="1" applyNumberFormat="1" applyFont="1" applyFill="1" applyBorder="1"/>
    <xf numFmtId="43" fontId="11" fillId="6" borderId="8" xfId="1" applyFont="1" applyFill="1" applyBorder="1"/>
    <xf numFmtId="43" fontId="11" fillId="6" borderId="9" xfId="1" applyFont="1" applyFill="1" applyBorder="1"/>
    <xf numFmtId="49" fontId="17" fillId="0" borderId="7" xfId="0" applyNumberFormat="1" applyFont="1" applyBorder="1"/>
    <xf numFmtId="0" fontId="17" fillId="0" borderId="8" xfId="0" applyFont="1" applyBorder="1" applyAlignment="1">
      <alignment wrapText="1"/>
    </xf>
    <xf numFmtId="0" fontId="17" fillId="0" borderId="8" xfId="0" applyFont="1" applyBorder="1" applyAlignment="1">
      <alignment horizontal="center"/>
    </xf>
    <xf numFmtId="43" fontId="17" fillId="0" borderId="8" xfId="1" applyNumberFormat="1" applyFont="1" applyBorder="1"/>
    <xf numFmtId="43" fontId="14" fillId="2" borderId="8" xfId="1" applyFont="1" applyFill="1" applyBorder="1" applyAlignment="1">
      <alignment horizontal="center"/>
    </xf>
    <xf numFmtId="0" fontId="13" fillId="5" borderId="8" xfId="2" applyNumberFormat="1" applyFont="1" applyFill="1" applyBorder="1" applyAlignment="1">
      <alignment horizontal="center" vertical="top"/>
    </xf>
    <xf numFmtId="43" fontId="14" fillId="5" borderId="9" xfId="1" applyNumberFormat="1" applyFont="1" applyFill="1" applyBorder="1"/>
    <xf numFmtId="49" fontId="12" fillId="2" borderId="7" xfId="2" applyNumberFormat="1" applyFont="1" applyFill="1" applyBorder="1" applyAlignment="1">
      <alignment horizontal="center"/>
    </xf>
    <xf numFmtId="49" fontId="12" fillId="2" borderId="7" xfId="2" applyNumberFormat="1" applyFont="1" applyFill="1" applyBorder="1" applyAlignment="1">
      <alignment horizontal="center" vertical="top"/>
    </xf>
    <xf numFmtId="49" fontId="11" fillId="3" borderId="7" xfId="0" applyNumberFormat="1" applyFont="1" applyFill="1" applyBorder="1"/>
    <xf numFmtId="0" fontId="11" fillId="3" borderId="8" xfId="0" applyFont="1" applyFill="1" applyBorder="1" applyAlignment="1">
      <alignment wrapText="1"/>
    </xf>
    <xf numFmtId="0" fontId="11" fillId="3" borderId="8" xfId="0" applyFont="1" applyFill="1" applyBorder="1" applyAlignment="1">
      <alignment horizontal="center"/>
    </xf>
    <xf numFmtId="43" fontId="11" fillId="3" borderId="8" xfId="1" applyNumberFormat="1" applyFont="1" applyFill="1" applyBorder="1"/>
    <xf numFmtId="43" fontId="11" fillId="3" borderId="8" xfId="1" applyFont="1" applyFill="1" applyBorder="1"/>
    <xf numFmtId="43" fontId="11" fillId="3" borderId="9" xfId="1" applyFont="1" applyFill="1" applyBorder="1"/>
    <xf numFmtId="0" fontId="10" fillId="3" borderId="8" xfId="0" applyFont="1" applyFill="1" applyBorder="1" applyAlignment="1">
      <alignment wrapText="1"/>
    </xf>
    <xf numFmtId="49" fontId="11" fillId="6" borderId="7" xfId="0" applyNumberFormat="1" applyFont="1" applyFill="1" applyBorder="1"/>
    <xf numFmtId="0" fontId="10" fillId="6" borderId="8" xfId="0" applyFont="1" applyFill="1" applyBorder="1" applyAlignment="1">
      <alignment wrapText="1"/>
    </xf>
    <xf numFmtId="0" fontId="11" fillId="0" borderId="44" xfId="0" applyFont="1" applyBorder="1" applyAlignment="1">
      <alignment wrapText="1"/>
    </xf>
    <xf numFmtId="0" fontId="11" fillId="0" borderId="44" xfId="0" applyFont="1" applyBorder="1" applyAlignment="1">
      <alignment horizontal="center"/>
    </xf>
    <xf numFmtId="43" fontId="11" fillId="0" borderId="44" xfId="1" applyNumberFormat="1" applyFont="1" applyBorder="1"/>
    <xf numFmtId="43" fontId="11" fillId="0" borderId="44" xfId="1" applyFont="1" applyBorder="1"/>
    <xf numFmtId="43" fontId="11" fillId="0" borderId="45" xfId="1" applyFont="1" applyBorder="1"/>
    <xf numFmtId="43" fontId="12" fillId="3" borderId="8" xfId="1" applyFont="1" applyFill="1" applyBorder="1" applyAlignment="1">
      <alignment horizontal="center"/>
    </xf>
    <xf numFmtId="49" fontId="11" fillId="3" borderId="7" xfId="0" applyNumberFormat="1" applyFont="1" applyFill="1" applyBorder="1" applyAlignment="1">
      <alignment vertical="top"/>
    </xf>
    <xf numFmtId="49" fontId="17" fillId="3" borderId="7" xfId="0" applyNumberFormat="1" applyFont="1" applyFill="1" applyBorder="1"/>
    <xf numFmtId="0" fontId="17" fillId="3" borderId="8" xfId="0" applyFont="1" applyFill="1" applyBorder="1" applyAlignment="1">
      <alignment wrapText="1"/>
    </xf>
    <xf numFmtId="0" fontId="17" fillId="3" borderId="8" xfId="0" applyFont="1" applyFill="1" applyBorder="1" applyAlignment="1">
      <alignment horizontal="center"/>
    </xf>
    <xf numFmtId="43" fontId="17" fillId="3" borderId="8" xfId="1" applyNumberFormat="1" applyFont="1" applyFill="1" applyBorder="1"/>
    <xf numFmtId="0" fontId="18" fillId="3" borderId="8" xfId="0" applyFont="1" applyFill="1" applyBorder="1" applyAlignment="1">
      <alignment wrapText="1"/>
    </xf>
    <xf numFmtId="43" fontId="17" fillId="3" borderId="8" xfId="1" applyFont="1" applyFill="1" applyBorder="1"/>
    <xf numFmtId="43" fontId="17" fillId="3" borderId="9" xfId="1" applyFont="1" applyFill="1" applyBorder="1"/>
    <xf numFmtId="49" fontId="12" fillId="3" borderId="7" xfId="2" applyNumberFormat="1" applyFont="1" applyFill="1" applyBorder="1" applyAlignment="1">
      <alignment horizontal="center" vertical="justify"/>
    </xf>
    <xf numFmtId="0" fontId="12" fillId="3" borderId="8" xfId="2" applyNumberFormat="1" applyFont="1" applyFill="1" applyBorder="1" applyAlignment="1">
      <alignment horizontal="left" vertical="top" wrapText="1"/>
    </xf>
    <xf numFmtId="43" fontId="11" fillId="3" borderId="8" xfId="1" applyFont="1" applyFill="1" applyBorder="1" applyAlignment="1">
      <alignment horizontal="center" vertical="center" wrapText="1"/>
    </xf>
    <xf numFmtId="0" fontId="11" fillId="3" borderId="31" xfId="0" applyFont="1" applyFill="1" applyBorder="1"/>
    <xf numFmtId="0" fontId="12" fillId="2" borderId="0" xfId="2" applyNumberFormat="1" applyFont="1" applyFill="1" applyBorder="1" applyAlignment="1">
      <alignment wrapText="1"/>
    </xf>
    <xf numFmtId="0" fontId="12" fillId="2" borderId="42" xfId="2" applyNumberFormat="1" applyFont="1" applyFill="1" applyBorder="1" applyAlignment="1">
      <alignment wrapText="1"/>
    </xf>
    <xf numFmtId="43" fontId="11" fillId="0" borderId="41" xfId="1" applyFont="1" applyBorder="1"/>
    <xf numFmtId="0" fontId="13" fillId="2" borderId="8" xfId="2" quotePrefix="1" applyNumberFormat="1" applyFont="1" applyFill="1" applyBorder="1" applyAlignment="1">
      <alignment horizontal="center"/>
    </xf>
    <xf numFmtId="0" fontId="13" fillId="2" borderId="8" xfId="2" applyNumberFormat="1" applyFont="1" applyFill="1" applyBorder="1"/>
    <xf numFmtId="0" fontId="12" fillId="2" borderId="8" xfId="2" applyNumberFormat="1" applyFont="1" applyFill="1" applyBorder="1" applyAlignment="1">
      <alignment horizontal="left"/>
    </xf>
    <xf numFmtId="49" fontId="17" fillId="5" borderId="7" xfId="0" applyNumberFormat="1" applyFont="1" applyFill="1" applyBorder="1"/>
    <xf numFmtId="0" fontId="18" fillId="5" borderId="8" xfId="0" applyFont="1" applyFill="1" applyBorder="1"/>
    <xf numFmtId="0" fontId="11" fillId="5" borderId="8" xfId="0" applyFont="1" applyFill="1" applyBorder="1" applyAlignment="1">
      <alignment horizontal="center"/>
    </xf>
    <xf numFmtId="43" fontId="11" fillId="5" borderId="8" xfId="1" applyNumberFormat="1" applyFont="1" applyFill="1" applyBorder="1"/>
    <xf numFmtId="43" fontId="11" fillId="5" borderId="8" xfId="1" applyFont="1" applyFill="1" applyBorder="1"/>
    <xf numFmtId="43" fontId="11" fillId="5" borderId="9" xfId="1" applyFont="1" applyFill="1" applyBorder="1"/>
    <xf numFmtId="0" fontId="18" fillId="6" borderId="8" xfId="0" applyFont="1" applyFill="1" applyBorder="1"/>
    <xf numFmtId="0" fontId="18" fillId="3" borderId="8" xfId="0" applyFont="1" applyFill="1" applyBorder="1"/>
    <xf numFmtId="0" fontId="11" fillId="3" borderId="8" xfId="0" applyFont="1" applyFill="1" applyBorder="1"/>
    <xf numFmtId="0" fontId="11" fillId="0" borderId="8" xfId="0" applyFont="1" applyBorder="1"/>
    <xf numFmtId="43" fontId="11" fillId="0" borderId="8" xfId="1" applyFont="1" applyBorder="1" applyAlignment="1"/>
    <xf numFmtId="49" fontId="11" fillId="0" borderId="43" xfId="0" applyNumberFormat="1" applyFont="1" applyBorder="1" applyAlignment="1">
      <alignment vertical="top"/>
    </xf>
    <xf numFmtId="43" fontId="11" fillId="3" borderId="8" xfId="1" applyNumberFormat="1" applyFont="1" applyFill="1" applyBorder="1" applyAlignment="1"/>
    <xf numFmtId="43" fontId="11" fillId="3" borderId="8" xfId="1" applyFont="1" applyFill="1" applyBorder="1" applyAlignment="1"/>
    <xf numFmtId="43" fontId="14" fillId="3" borderId="8" xfId="1" applyNumberFormat="1" applyFont="1" applyFill="1" applyBorder="1" applyAlignment="1">
      <alignment horizontal="center"/>
    </xf>
    <xf numFmtId="0" fontId="13" fillId="2" borderId="8" xfId="2" applyNumberFormat="1" applyFont="1" applyFill="1" applyBorder="1" applyAlignment="1">
      <alignment horizontal="left"/>
    </xf>
    <xf numFmtId="43" fontId="14" fillId="2" borderId="8" xfId="2" applyFont="1" applyFill="1" applyBorder="1" applyAlignment="1">
      <alignment horizontal="center"/>
    </xf>
    <xf numFmtId="49" fontId="14" fillId="2" borderId="7" xfId="2" applyNumberFormat="1" applyFont="1" applyFill="1" applyBorder="1" applyAlignment="1">
      <alignment horizontal="center"/>
    </xf>
    <xf numFmtId="49" fontId="14" fillId="10" borderId="7" xfId="2" applyNumberFormat="1" applyFont="1" applyFill="1" applyBorder="1" applyAlignment="1">
      <alignment horizontal="center"/>
    </xf>
    <xf numFmtId="0" fontId="13" fillId="10" borderId="8" xfId="2" applyNumberFormat="1" applyFont="1" applyFill="1" applyBorder="1" applyAlignment="1">
      <alignment horizontal="left" wrapText="1"/>
    </xf>
    <xf numFmtId="43" fontId="14" fillId="10" borderId="8" xfId="2" applyFont="1" applyFill="1" applyBorder="1" applyAlignment="1">
      <alignment horizontal="center"/>
    </xf>
    <xf numFmtId="43" fontId="14" fillId="10" borderId="8" xfId="1" applyNumberFormat="1" applyFont="1" applyFill="1" applyBorder="1" applyAlignment="1">
      <alignment horizontal="center"/>
    </xf>
    <xf numFmtId="43" fontId="12" fillId="10" borderId="8" xfId="1" applyFont="1" applyFill="1" applyBorder="1" applyAlignment="1">
      <alignment horizontal="center"/>
    </xf>
    <xf numFmtId="43" fontId="11" fillId="10" borderId="8" xfId="1" applyFont="1" applyFill="1" applyBorder="1"/>
    <xf numFmtId="43" fontId="11" fillId="10" borderId="9" xfId="1" applyFont="1" applyFill="1" applyBorder="1"/>
    <xf numFmtId="0" fontId="12" fillId="2" borderId="8" xfId="2" applyNumberFormat="1" applyFont="1" applyFill="1" applyBorder="1" applyAlignment="1">
      <alignment horizontal="left" wrapText="1"/>
    </xf>
    <xf numFmtId="49" fontId="14" fillId="6" borderId="7" xfId="2" applyNumberFormat="1" applyFont="1" applyFill="1" applyBorder="1" applyAlignment="1">
      <alignment horizontal="center"/>
    </xf>
    <xf numFmtId="0" fontId="13" fillId="6" borderId="8" xfId="2" applyNumberFormat="1" applyFont="1" applyFill="1" applyBorder="1" applyAlignment="1">
      <alignment horizontal="left" wrapText="1"/>
    </xf>
    <xf numFmtId="43" fontId="14" fillId="6" borderId="8" xfId="1" applyNumberFormat="1" applyFont="1" applyFill="1" applyBorder="1" applyAlignment="1">
      <alignment horizontal="center"/>
    </xf>
    <xf numFmtId="43" fontId="12" fillId="6" borderId="8" xfId="1" applyFont="1" applyFill="1" applyBorder="1" applyAlignment="1">
      <alignment horizontal="center"/>
    </xf>
    <xf numFmtId="43" fontId="12" fillId="6" borderId="8" xfId="2" applyFont="1" applyFill="1" applyBorder="1" applyAlignment="1">
      <alignment horizontal="center"/>
    </xf>
    <xf numFmtId="43" fontId="12" fillId="6" borderId="8" xfId="1" applyNumberFormat="1" applyFont="1" applyFill="1" applyBorder="1" applyAlignment="1">
      <alignment horizontal="center"/>
    </xf>
    <xf numFmtId="43" fontId="12" fillId="10" borderId="8" xfId="2" applyFont="1" applyFill="1" applyBorder="1" applyAlignment="1">
      <alignment horizontal="center"/>
    </xf>
    <xf numFmtId="43" fontId="12" fillId="10" borderId="8" xfId="1" applyNumberFormat="1" applyFont="1" applyFill="1" applyBorder="1" applyAlignment="1">
      <alignment horizontal="center"/>
    </xf>
    <xf numFmtId="49" fontId="12" fillId="2" borderId="43" xfId="2" applyNumberFormat="1" applyFont="1" applyFill="1" applyBorder="1" applyAlignment="1">
      <alignment horizontal="center"/>
    </xf>
    <xf numFmtId="0" fontId="12" fillId="2" borderId="44" xfId="2" applyNumberFormat="1" applyFont="1" applyFill="1" applyBorder="1" applyAlignment="1">
      <alignment horizontal="left" wrapText="1"/>
    </xf>
    <xf numFmtId="43" fontId="12" fillId="2" borderId="44" xfId="2" applyFont="1" applyFill="1" applyBorder="1" applyAlignment="1">
      <alignment horizontal="center"/>
    </xf>
    <xf numFmtId="43" fontId="12" fillId="3" borderId="44" xfId="1" applyNumberFormat="1" applyFont="1" applyFill="1" applyBorder="1" applyAlignment="1">
      <alignment horizontal="center"/>
    </xf>
    <xf numFmtId="43" fontId="3" fillId="3" borderId="8" xfId="1" applyNumberFormat="1" applyFont="1" applyFill="1" applyBorder="1" applyAlignment="1">
      <alignment horizontal="center"/>
    </xf>
    <xf numFmtId="43" fontId="3" fillId="2" borderId="8" xfId="1" applyFont="1" applyFill="1" applyBorder="1" applyAlignment="1">
      <alignment horizontal="center"/>
    </xf>
    <xf numFmtId="43" fontId="31" fillId="0" borderId="8" xfId="1" applyFont="1" applyBorder="1"/>
    <xf numFmtId="43" fontId="31" fillId="0" borderId="9" xfId="1" applyFont="1" applyBorder="1"/>
    <xf numFmtId="49" fontId="32" fillId="11" borderId="7" xfId="2" applyNumberFormat="1" applyFont="1" applyFill="1" applyBorder="1" applyAlignment="1">
      <alignment horizontal="center" vertical="justify"/>
    </xf>
    <xf numFmtId="0" fontId="33" fillId="11" borderId="8" xfId="2" applyNumberFormat="1" applyFont="1" applyFill="1" applyBorder="1" applyAlignment="1">
      <alignment horizontal="left" vertical="top"/>
    </xf>
    <xf numFmtId="43" fontId="3" fillId="11" borderId="8" xfId="2" applyFont="1" applyFill="1" applyBorder="1" applyAlignment="1">
      <alignment horizontal="center"/>
    </xf>
    <xf numFmtId="43" fontId="3" fillId="11" borderId="8" xfId="1" applyNumberFormat="1" applyFont="1" applyFill="1" applyBorder="1" applyAlignment="1">
      <alignment horizontal="center"/>
    </xf>
    <xf numFmtId="43" fontId="3" fillId="11" borderId="8" xfId="1" applyFont="1" applyFill="1" applyBorder="1" applyAlignment="1">
      <alignment horizontal="center"/>
    </xf>
    <xf numFmtId="43" fontId="31" fillId="11" borderId="8" xfId="1" applyFont="1" applyFill="1" applyBorder="1"/>
    <xf numFmtId="43" fontId="31" fillId="11" borderId="9" xfId="1" applyFont="1" applyFill="1" applyBorder="1"/>
    <xf numFmtId="49" fontId="32" fillId="8" borderId="7" xfId="2" applyNumberFormat="1" applyFont="1" applyFill="1" applyBorder="1" applyAlignment="1">
      <alignment horizontal="center" vertical="justify"/>
    </xf>
    <xf numFmtId="0" fontId="33" fillId="8" borderId="8" xfId="2" applyNumberFormat="1" applyFont="1" applyFill="1" applyBorder="1" applyAlignment="1">
      <alignment horizontal="left" vertical="top"/>
    </xf>
    <xf numFmtId="43" fontId="3" fillId="8" borderId="8" xfId="2" applyFont="1" applyFill="1" applyBorder="1" applyAlignment="1">
      <alignment horizontal="center"/>
    </xf>
    <xf numFmtId="43" fontId="3" fillId="8" borderId="8" xfId="1" applyNumberFormat="1" applyFont="1" applyFill="1" applyBorder="1" applyAlignment="1">
      <alignment horizontal="center"/>
    </xf>
    <xf numFmtId="43" fontId="3" fillId="8" borderId="8" xfId="1" applyFont="1" applyFill="1" applyBorder="1" applyAlignment="1">
      <alignment horizontal="center"/>
    </xf>
    <xf numFmtId="43" fontId="31" fillId="8" borderId="8" xfId="1" applyFont="1" applyFill="1" applyBorder="1"/>
    <xf numFmtId="43" fontId="31" fillId="8" borderId="9" xfId="1" applyFont="1" applyFill="1" applyBorder="1"/>
    <xf numFmtId="49" fontId="3" fillId="2" borderId="7" xfId="2" applyNumberFormat="1" applyFont="1" applyFill="1" applyBorder="1" applyAlignment="1">
      <alignment horizontal="center" vertical="top"/>
    </xf>
    <xf numFmtId="0" fontId="3" fillId="0" borderId="8" xfId="3" applyFont="1" applyBorder="1" applyAlignment="1">
      <alignment horizontal="left" wrapText="1"/>
    </xf>
    <xf numFmtId="0" fontId="3" fillId="0" borderId="8" xfId="3" applyFont="1" applyFill="1" applyBorder="1" applyAlignment="1">
      <alignment horizontal="center"/>
    </xf>
    <xf numFmtId="0" fontId="31" fillId="0" borderId="8" xfId="0" applyFont="1" applyBorder="1" applyAlignment="1">
      <alignment horizontal="center"/>
    </xf>
    <xf numFmtId="49" fontId="33" fillId="2" borderId="7" xfId="2" applyNumberFormat="1" applyFont="1" applyFill="1" applyBorder="1" applyAlignment="1">
      <alignment horizontal="center" vertical="top"/>
    </xf>
    <xf numFmtId="0" fontId="33" fillId="0" borderId="8" xfId="3" applyFont="1" applyBorder="1" applyAlignment="1">
      <alignment horizontal="left" wrapText="1"/>
    </xf>
    <xf numFmtId="49" fontId="12" fillId="2" borderId="46" xfId="2" applyNumberFormat="1" applyFont="1" applyFill="1" applyBorder="1" applyAlignment="1">
      <alignment horizontal="center" vertical="justify"/>
    </xf>
    <xf numFmtId="0" fontId="14" fillId="2" borderId="47" xfId="2" quotePrefix="1" applyNumberFormat="1" applyFont="1" applyFill="1" applyBorder="1" applyAlignment="1">
      <alignment horizontal="left"/>
    </xf>
    <xf numFmtId="43" fontId="12" fillId="2" borderId="47" xfId="2" applyFont="1" applyFill="1" applyBorder="1" applyAlignment="1">
      <alignment horizontal="center"/>
    </xf>
    <xf numFmtId="43" fontId="12" fillId="3" borderId="47" xfId="1" applyNumberFormat="1" applyFont="1" applyFill="1" applyBorder="1" applyAlignment="1">
      <alignment horizontal="center"/>
    </xf>
    <xf numFmtId="43" fontId="12" fillId="2" borderId="47" xfId="1" applyFont="1" applyFill="1" applyBorder="1" applyAlignment="1">
      <alignment horizontal="center"/>
    </xf>
    <xf numFmtId="43" fontId="11" fillId="0" borderId="47" xfId="1" applyFont="1" applyBorder="1"/>
    <xf numFmtId="43" fontId="17" fillId="0" borderId="48" xfId="1" applyFont="1" applyBorder="1"/>
    <xf numFmtId="49" fontId="12" fillId="2" borderId="31" xfId="2" applyNumberFormat="1" applyFont="1" applyFill="1" applyBorder="1" applyAlignment="1">
      <alignment horizontal="center" vertical="justify"/>
    </xf>
    <xf numFmtId="0" fontId="13" fillId="2" borderId="0" xfId="2" quotePrefix="1" applyNumberFormat="1" applyFont="1" applyFill="1" applyBorder="1" applyAlignment="1">
      <alignment horizontal="center"/>
    </xf>
    <xf numFmtId="43" fontId="12" fillId="2" borderId="0" xfId="2" applyFont="1" applyFill="1" applyBorder="1" applyAlignment="1">
      <alignment horizontal="center"/>
    </xf>
    <xf numFmtId="43" fontId="12" fillId="2" borderId="0" xfId="1" applyFont="1" applyFill="1" applyBorder="1" applyAlignment="1">
      <alignment horizontal="center"/>
    </xf>
    <xf numFmtId="43" fontId="11" fillId="0" borderId="42" xfId="1" applyFont="1" applyBorder="1"/>
    <xf numFmtId="0" fontId="13" fillId="2" borderId="0" xfId="2" applyNumberFormat="1" applyFont="1" applyFill="1" applyBorder="1" applyAlignment="1">
      <alignment horizontal="center"/>
    </xf>
    <xf numFmtId="49" fontId="32" fillId="2" borderId="31" xfId="2" applyNumberFormat="1" applyFont="1" applyFill="1" applyBorder="1" applyAlignment="1">
      <alignment horizontal="center" vertical="justify"/>
    </xf>
    <xf numFmtId="0" fontId="33" fillId="2" borderId="0" xfId="2" applyNumberFormat="1" applyFont="1" applyFill="1" applyBorder="1" applyAlignment="1">
      <alignment horizontal="left"/>
    </xf>
    <xf numFmtId="43" fontId="3" fillId="2" borderId="0" xfId="2" applyFont="1" applyFill="1" applyBorder="1" applyAlignment="1">
      <alignment horizontal="center"/>
    </xf>
    <xf numFmtId="43" fontId="3" fillId="3" borderId="0" xfId="1" applyNumberFormat="1" applyFont="1" applyFill="1" applyBorder="1" applyAlignment="1">
      <alignment horizontal="center"/>
    </xf>
    <xf numFmtId="43" fontId="3" fillId="2" borderId="0" xfId="1" applyFont="1" applyFill="1" applyBorder="1" applyAlignment="1">
      <alignment horizontal="center"/>
    </xf>
    <xf numFmtId="43" fontId="31" fillId="0" borderId="0" xfId="1" applyFont="1" applyBorder="1"/>
    <xf numFmtId="43" fontId="31" fillId="0" borderId="42" xfId="1" applyFont="1" applyBorder="1"/>
    <xf numFmtId="49" fontId="3" fillId="2" borderId="31" xfId="2" applyNumberFormat="1" applyFont="1" applyFill="1" applyBorder="1" applyAlignment="1">
      <alignment horizontal="center" vertical="justify"/>
    </xf>
    <xf numFmtId="0" fontId="3" fillId="2" borderId="0" xfId="2" applyNumberFormat="1" applyFont="1" applyFill="1" applyBorder="1" applyAlignment="1"/>
    <xf numFmtId="0" fontId="3" fillId="2" borderId="42" xfId="2" applyNumberFormat="1" applyFont="1" applyFill="1" applyBorder="1" applyAlignment="1"/>
    <xf numFmtId="43" fontId="11" fillId="0" borderId="48" xfId="1" applyFont="1" applyBorder="1"/>
    <xf numFmtId="49" fontId="14" fillId="3" borderId="31" xfId="2" applyNumberFormat="1" applyFont="1" applyFill="1" applyBorder="1" applyAlignment="1">
      <alignment horizontal="center" vertical="justify"/>
    </xf>
    <xf numFmtId="0" fontId="13" fillId="3" borderId="0" xfId="2" quotePrefix="1" applyNumberFormat="1" applyFont="1" applyFill="1" applyBorder="1" applyAlignment="1">
      <alignment horizontal="center"/>
    </xf>
    <xf numFmtId="43" fontId="14" fillId="3" borderId="0" xfId="2" applyFont="1" applyFill="1" applyBorder="1" applyAlignment="1">
      <alignment horizontal="center"/>
    </xf>
    <xf numFmtId="43" fontId="12" fillId="3" borderId="0" xfId="1" applyFont="1" applyFill="1" applyBorder="1" applyAlignment="1">
      <alignment horizontal="center"/>
    </xf>
    <xf numFmtId="0" fontId="13" fillId="3" borderId="0" xfId="2" applyNumberFormat="1" applyFont="1" applyFill="1" applyBorder="1" applyAlignment="1">
      <alignment horizontal="center"/>
    </xf>
    <xf numFmtId="49" fontId="14" fillId="2" borderId="31" xfId="2" applyNumberFormat="1" applyFont="1" applyFill="1" applyBorder="1" applyAlignment="1">
      <alignment horizontal="center" vertical="justify"/>
    </xf>
    <xf numFmtId="0" fontId="13" fillId="2" borderId="0" xfId="2" applyNumberFormat="1" applyFont="1" applyFill="1" applyBorder="1" applyAlignment="1">
      <alignment horizontal="left"/>
    </xf>
    <xf numFmtId="43" fontId="14" fillId="2" borderId="0" xfId="2" applyFont="1" applyFill="1" applyBorder="1" applyAlignment="1">
      <alignment horizontal="center"/>
    </xf>
    <xf numFmtId="49" fontId="14" fillId="2" borderId="49" xfId="2" applyNumberFormat="1" applyFont="1" applyFill="1" applyBorder="1" applyAlignment="1">
      <alignment horizontal="center"/>
    </xf>
    <xf numFmtId="0" fontId="12" fillId="2" borderId="50" xfId="2" applyNumberFormat="1" applyFont="1" applyFill="1" applyBorder="1" applyAlignment="1">
      <alignment wrapText="1"/>
    </xf>
    <xf numFmtId="0" fontId="12" fillId="2" borderId="51" xfId="2" applyNumberFormat="1" applyFont="1" applyFill="1" applyBorder="1" applyAlignment="1">
      <alignment wrapText="1"/>
    </xf>
    <xf numFmtId="49" fontId="12" fillId="2" borderId="43" xfId="2" applyNumberFormat="1" applyFont="1" applyFill="1" applyBorder="1" applyAlignment="1">
      <alignment horizontal="center" vertical="justify"/>
    </xf>
    <xf numFmtId="0" fontId="11" fillId="0" borderId="47" xfId="0" applyFont="1" applyBorder="1" applyAlignment="1">
      <alignment wrapText="1"/>
    </xf>
    <xf numFmtId="0" fontId="11" fillId="0" borderId="47" xfId="0" applyFont="1" applyBorder="1" applyAlignment="1">
      <alignment horizontal="center"/>
    </xf>
    <xf numFmtId="43" fontId="11" fillId="0" borderId="47" xfId="1" applyNumberFormat="1" applyFont="1" applyBorder="1"/>
    <xf numFmtId="49" fontId="14" fillId="5" borderId="31" xfId="2" applyNumberFormat="1" applyFont="1" applyFill="1" applyBorder="1" applyAlignment="1">
      <alignment horizontal="center" vertical="justify"/>
    </xf>
    <xf numFmtId="43" fontId="12" fillId="5" borderId="0" xfId="2" applyFont="1" applyFill="1" applyBorder="1" applyAlignment="1">
      <alignment horizontal="center"/>
    </xf>
    <xf numFmtId="43" fontId="12" fillId="5" borderId="0" xfId="1" applyNumberFormat="1" applyFont="1" applyFill="1" applyBorder="1" applyAlignment="1">
      <alignment horizontal="center"/>
    </xf>
    <xf numFmtId="43" fontId="12" fillId="5" borderId="0" xfId="1" applyFont="1" applyFill="1" applyBorder="1" applyAlignment="1">
      <alignment horizontal="center"/>
    </xf>
    <xf numFmtId="0" fontId="12" fillId="2" borderId="0" xfId="2" applyNumberFormat="1" applyFont="1" applyFill="1" applyBorder="1" applyAlignment="1"/>
    <xf numFmtId="0" fontId="12" fillId="2" borderId="42" xfId="2" applyNumberFormat="1" applyFont="1" applyFill="1" applyBorder="1" applyAlignment="1"/>
    <xf numFmtId="49" fontId="12" fillId="2" borderId="49" xfId="2" applyNumberFormat="1" applyFont="1" applyFill="1" applyBorder="1" applyAlignment="1">
      <alignment horizontal="center" vertical="justify"/>
    </xf>
    <xf numFmtId="0" fontId="12" fillId="2" borderId="50" xfId="2" applyNumberFormat="1" applyFont="1" applyFill="1" applyBorder="1" applyAlignment="1"/>
    <xf numFmtId="0" fontId="12" fillId="2" borderId="51" xfId="2" applyNumberFormat="1" applyFont="1" applyFill="1" applyBorder="1" applyAlignment="1"/>
    <xf numFmtId="49" fontId="11" fillId="0" borderId="46" xfId="0" applyNumberFormat="1" applyFont="1" applyBorder="1"/>
    <xf numFmtId="0" fontId="13" fillId="2" borderId="0" xfId="2" applyNumberFormat="1" applyFont="1" applyFill="1" applyBorder="1"/>
    <xf numFmtId="0" fontId="12" fillId="2" borderId="0" xfId="2" applyNumberFormat="1" applyFont="1" applyFill="1" applyBorder="1" applyAlignment="1">
      <alignment horizontal="left"/>
    </xf>
    <xf numFmtId="0" fontId="13" fillId="5" borderId="0" xfId="2" applyNumberFormat="1" applyFont="1" applyFill="1" applyBorder="1" applyAlignment="1">
      <alignment horizontal="center" vertical="top"/>
    </xf>
    <xf numFmtId="43" fontId="14" fillId="5" borderId="42" xfId="1" applyNumberFormat="1" applyFont="1" applyFill="1" applyBorder="1"/>
    <xf numFmtId="49" fontId="12" fillId="2" borderId="31" xfId="2" applyNumberFormat="1" applyFont="1" applyFill="1" applyBorder="1" applyAlignment="1">
      <alignment horizontal="center"/>
    </xf>
    <xf numFmtId="49" fontId="12" fillId="2" borderId="31" xfId="2" applyNumberFormat="1" applyFont="1" applyFill="1" applyBorder="1" applyAlignment="1">
      <alignment horizontal="center" vertical="top"/>
    </xf>
    <xf numFmtId="49" fontId="12" fillId="2" borderId="49" xfId="2" applyNumberFormat="1" applyFont="1" applyFill="1" applyBorder="1" applyAlignment="1">
      <alignment horizontal="center"/>
    </xf>
    <xf numFmtId="0" fontId="12" fillId="2" borderId="0" xfId="2" applyNumberFormat="1" applyFont="1" applyFill="1" applyBorder="1" applyAlignment="1">
      <alignment vertical="top" wrapText="1"/>
    </xf>
    <xf numFmtId="0" fontId="12" fillId="2" borderId="42" xfId="2" applyNumberFormat="1" applyFont="1" applyFill="1" applyBorder="1" applyAlignment="1">
      <alignment vertical="top" wrapText="1"/>
    </xf>
    <xf numFmtId="49" fontId="12" fillId="5" borderId="46" xfId="2" applyNumberFormat="1" applyFont="1" applyFill="1" applyBorder="1" applyAlignment="1">
      <alignment horizontal="center"/>
    </xf>
    <xf numFmtId="0" fontId="13" fillId="5" borderId="47" xfId="2" applyNumberFormat="1" applyFont="1" applyFill="1" applyBorder="1" applyAlignment="1">
      <alignment horizontal="left" vertical="top"/>
    </xf>
    <xf numFmtId="43" fontId="12" fillId="5" borderId="47" xfId="2" applyFont="1" applyFill="1" applyBorder="1" applyAlignment="1">
      <alignment horizontal="center"/>
    </xf>
    <xf numFmtId="43" fontId="12" fillId="5" borderId="47" xfId="1" applyNumberFormat="1" applyFont="1" applyFill="1" applyBorder="1" applyAlignment="1">
      <alignment horizontal="center"/>
    </xf>
    <xf numFmtId="43" fontId="12" fillId="5" borderId="47" xfId="1" applyFont="1" applyFill="1" applyBorder="1" applyAlignment="1">
      <alignment horizontal="center"/>
    </xf>
    <xf numFmtId="43" fontId="11" fillId="5" borderId="47" xfId="1" applyFont="1" applyFill="1" applyBorder="1" applyAlignment="1">
      <alignment horizontal="center" vertical="center" wrapText="1"/>
    </xf>
    <xf numFmtId="43" fontId="11" fillId="5" borderId="48" xfId="1" applyFont="1" applyFill="1" applyBorder="1" applyAlignment="1">
      <alignment horizontal="center" vertical="center" wrapText="1"/>
    </xf>
    <xf numFmtId="49" fontId="12" fillId="2" borderId="49" xfId="2" applyNumberFormat="1" applyFont="1" applyFill="1" applyBorder="1" applyAlignment="1">
      <alignment horizontal="center" wrapText="1"/>
    </xf>
    <xf numFmtId="43" fontId="11" fillId="0" borderId="47" xfId="1" applyFont="1" applyBorder="1" applyAlignment="1">
      <alignment horizontal="center" vertical="center" wrapText="1"/>
    </xf>
    <xf numFmtId="43" fontId="11" fillId="0" borderId="48" xfId="1" applyFont="1" applyBorder="1" applyAlignment="1">
      <alignment horizontal="center" vertical="center" wrapText="1"/>
    </xf>
    <xf numFmtId="43" fontId="11" fillId="0" borderId="0" xfId="1" applyFont="1" applyBorder="1" applyAlignment="1">
      <alignment horizontal="center" vertical="center" wrapText="1"/>
    </xf>
    <xf numFmtId="43" fontId="11" fillId="0" borderId="42" xfId="1" applyFont="1" applyBorder="1" applyAlignment="1">
      <alignment horizontal="center" vertical="center" wrapText="1"/>
    </xf>
    <xf numFmtId="0" fontId="13" fillId="2" borderId="0" xfId="2" applyNumberFormat="1" applyFont="1" applyFill="1" applyBorder="1" applyAlignment="1">
      <alignment horizontal="center" vertical="top"/>
    </xf>
    <xf numFmtId="0" fontId="12" fillId="2" borderId="0" xfId="2" quotePrefix="1" applyNumberFormat="1" applyFont="1" applyFill="1" applyBorder="1" applyAlignment="1">
      <alignment vertical="top"/>
    </xf>
    <xf numFmtId="0" fontId="12" fillId="2" borderId="42" xfId="2" quotePrefix="1" applyNumberFormat="1" applyFont="1" applyFill="1" applyBorder="1" applyAlignment="1">
      <alignment vertical="top"/>
    </xf>
    <xf numFmtId="0" fontId="12" fillId="2" borderId="50" xfId="2" quotePrefix="1" applyNumberFormat="1" applyFont="1" applyFill="1" applyBorder="1" applyAlignment="1">
      <alignment vertical="top"/>
    </xf>
    <xf numFmtId="0" fontId="12" fillId="2" borderId="51" xfId="2" quotePrefix="1" applyNumberFormat="1" applyFont="1" applyFill="1" applyBorder="1" applyAlignment="1">
      <alignment vertical="top"/>
    </xf>
    <xf numFmtId="0" fontId="13" fillId="2" borderId="8" xfId="2" applyNumberFormat="1" applyFont="1" applyFill="1" applyBorder="1" applyAlignment="1">
      <alignment horizontal="justify"/>
    </xf>
    <xf numFmtId="0" fontId="12" fillId="2" borderId="8" xfId="2" applyNumberFormat="1" applyFont="1" applyFill="1" applyBorder="1" applyAlignment="1">
      <alignment horizontal="justify"/>
    </xf>
    <xf numFmtId="43" fontId="12" fillId="3" borderId="8" xfId="2" applyNumberFormat="1" applyFont="1" applyFill="1" applyBorder="1" applyAlignment="1">
      <alignment horizontal="center"/>
    </xf>
    <xf numFmtId="0" fontId="15" fillId="2" borderId="8" xfId="2" applyNumberFormat="1" applyFont="1" applyFill="1" applyBorder="1" applyAlignment="1">
      <alignment horizontal="left" wrapText="1"/>
    </xf>
    <xf numFmtId="43" fontId="11" fillId="0" borderId="9" xfId="1" applyFont="1" applyBorder="1" applyAlignment="1"/>
    <xf numFmtId="0" fontId="12" fillId="2" borderId="8" xfId="2" applyNumberFormat="1" applyFont="1" applyFill="1" applyBorder="1" applyAlignment="1">
      <alignment horizontal="left" vertical="top"/>
    </xf>
    <xf numFmtId="0" fontId="13" fillId="2" borderId="8" xfId="2" applyNumberFormat="1" applyFont="1" applyFill="1" applyBorder="1" applyAlignment="1">
      <alignment horizontal="left" vertical="top" wrapText="1"/>
    </xf>
    <xf numFmtId="0" fontId="12" fillId="2" borderId="8" xfId="2" applyNumberFormat="1" applyFont="1" applyFill="1" applyBorder="1" applyAlignment="1">
      <alignment horizontal="justify" vertical="top"/>
    </xf>
    <xf numFmtId="0" fontId="12" fillId="2" borderId="8" xfId="2" quotePrefix="1" applyNumberFormat="1" applyFont="1" applyFill="1" applyBorder="1" applyAlignment="1">
      <alignment horizontal="justify" vertical="top"/>
    </xf>
    <xf numFmtId="0" fontId="12" fillId="2" borderId="44" xfId="2" quotePrefix="1" applyNumberFormat="1" applyFont="1" applyFill="1" applyBorder="1" applyAlignment="1">
      <alignment horizontal="justify" vertical="top"/>
    </xf>
    <xf numFmtId="43" fontId="12" fillId="2" borderId="44" xfId="1" applyFont="1" applyFill="1" applyBorder="1" applyAlignment="1">
      <alignment horizontal="center"/>
    </xf>
    <xf numFmtId="43" fontId="11" fillId="0" borderId="44" xfId="1" applyFont="1" applyBorder="1" applyAlignment="1">
      <alignment horizontal="center" vertical="center" wrapText="1"/>
    </xf>
    <xf numFmtId="43" fontId="11" fillId="0" borderId="45" xfId="1" applyFont="1" applyBorder="1" applyAlignment="1">
      <alignment horizontal="center" vertical="center" wrapText="1"/>
    </xf>
    <xf numFmtId="0" fontId="12" fillId="3" borderId="47" xfId="3" applyFont="1" applyFill="1" applyBorder="1" applyAlignment="1">
      <alignment horizontal="center"/>
    </xf>
    <xf numFmtId="49" fontId="11" fillId="9" borderId="46" xfId="0" applyNumberFormat="1" applyFont="1" applyFill="1" applyBorder="1"/>
    <xf numFmtId="0" fontId="11" fillId="9" borderId="47" xfId="0" applyFont="1" applyFill="1" applyBorder="1" applyAlignment="1">
      <alignment wrapText="1"/>
    </xf>
    <xf numFmtId="0" fontId="11" fillId="9" borderId="47" xfId="0" applyFont="1" applyFill="1" applyBorder="1" applyAlignment="1">
      <alignment horizontal="center"/>
    </xf>
    <xf numFmtId="43" fontId="11" fillId="9" borderId="47" xfId="1" applyNumberFormat="1" applyFont="1" applyFill="1" applyBorder="1"/>
    <xf numFmtId="43" fontId="11" fillId="9" borderId="47" xfId="1" applyFont="1" applyFill="1" applyBorder="1"/>
    <xf numFmtId="43" fontId="11" fillId="9" borderId="48" xfId="1" applyFont="1" applyFill="1" applyBorder="1"/>
    <xf numFmtId="43" fontId="17" fillId="0" borderId="45" xfId="1" applyFont="1" applyBorder="1"/>
    <xf numFmtId="43" fontId="11" fillId="0" borderId="53" xfId="1" applyFont="1" applyBorder="1"/>
    <xf numFmtId="0" fontId="14" fillId="2" borderId="50" xfId="2" quotePrefix="1" applyNumberFormat="1" applyFont="1" applyFill="1" applyBorder="1" applyAlignment="1">
      <alignment horizontal="left"/>
    </xf>
    <xf numFmtId="43" fontId="12" fillId="2" borderId="50" xfId="2" applyFont="1" applyFill="1" applyBorder="1" applyAlignment="1">
      <alignment horizontal="center"/>
    </xf>
    <xf numFmtId="43" fontId="12" fillId="3" borderId="50" xfId="1" applyNumberFormat="1" applyFont="1" applyFill="1" applyBorder="1" applyAlignment="1">
      <alignment horizontal="center"/>
    </xf>
    <xf numFmtId="43" fontId="12" fillId="2" borderId="50" xfId="1" applyFont="1" applyFill="1" applyBorder="1" applyAlignment="1">
      <alignment horizontal="center"/>
    </xf>
    <xf numFmtId="43" fontId="11" fillId="0" borderId="52" xfId="1" applyFont="1" applyBorder="1"/>
    <xf numFmtId="43" fontId="11" fillId="0" borderId="53" xfId="1" applyFont="1" applyBorder="1" applyAlignment="1">
      <alignment horizontal="center" vertical="center" wrapText="1"/>
    </xf>
    <xf numFmtId="43" fontId="11" fillId="0" borderId="52" xfId="1" applyFont="1" applyBorder="1" applyAlignment="1">
      <alignment horizontal="center" vertical="center" wrapText="1"/>
    </xf>
    <xf numFmtId="43" fontId="17" fillId="0" borderId="45" xfId="1" applyFont="1" applyBorder="1" applyAlignment="1">
      <alignment horizontal="center" vertical="center" wrapText="1"/>
    </xf>
    <xf numFmtId="0" fontId="12" fillId="4" borderId="50" xfId="3" applyFont="1" applyFill="1" applyBorder="1" applyAlignment="1">
      <alignment horizontal="center"/>
    </xf>
    <xf numFmtId="43" fontId="17" fillId="0" borderId="51" xfId="1" applyFont="1" applyBorder="1" applyAlignment="1">
      <alignment horizontal="center" vertical="center" wrapText="1"/>
    </xf>
    <xf numFmtId="49" fontId="11" fillId="0" borderId="39" xfId="0" applyNumberFormat="1" applyFont="1" applyBorder="1" applyAlignment="1">
      <alignment horizontal="center" vertical="center"/>
    </xf>
    <xf numFmtId="0" fontId="11" fillId="0" borderId="40" xfId="0" applyFont="1" applyBorder="1" applyAlignment="1">
      <alignment horizontal="center" vertical="center"/>
    </xf>
    <xf numFmtId="43" fontId="11" fillId="0" borderId="40" xfId="1" applyNumberFormat="1" applyFont="1" applyBorder="1" applyAlignment="1">
      <alignment horizontal="center" vertical="center"/>
    </xf>
    <xf numFmtId="0" fontId="14" fillId="2" borderId="8" xfId="2" applyNumberFormat="1" applyFont="1" applyFill="1" applyBorder="1" applyAlignment="1">
      <alignment horizontal="left"/>
    </xf>
    <xf numFmtId="49" fontId="12" fillId="2" borderId="7" xfId="2" quotePrefix="1" applyNumberFormat="1" applyFont="1" applyFill="1" applyBorder="1" applyAlignment="1">
      <alignment horizontal="center" vertical="justify"/>
    </xf>
    <xf numFmtId="0" fontId="15" fillId="2" borderId="8" xfId="2" applyNumberFormat="1" applyFont="1" applyFill="1" applyBorder="1" applyAlignment="1">
      <alignment horizontal="left"/>
    </xf>
    <xf numFmtId="0" fontId="12" fillId="2" borderId="8" xfId="2" applyNumberFormat="1" applyFont="1" applyFill="1" applyBorder="1"/>
    <xf numFmtId="0" fontId="15" fillId="2" borderId="8" xfId="2" applyNumberFormat="1" applyFont="1" applyFill="1" applyBorder="1"/>
    <xf numFmtId="0" fontId="13" fillId="2" borderId="8" xfId="2" applyNumberFormat="1" applyFont="1" applyFill="1" applyBorder="1" applyAlignment="1">
      <alignment vertical="top"/>
    </xf>
    <xf numFmtId="43" fontId="12" fillId="2" borderId="8" xfId="2" applyFont="1" applyFill="1" applyBorder="1" applyAlignment="1">
      <alignment horizontal="center" vertical="top"/>
    </xf>
    <xf numFmtId="43" fontId="12" fillId="3" borderId="8" xfId="1" applyNumberFormat="1" applyFont="1" applyFill="1" applyBorder="1" applyAlignment="1">
      <alignment horizontal="center" vertical="top"/>
    </xf>
    <xf numFmtId="0" fontId="12" fillId="2" borderId="8" xfId="2" applyNumberFormat="1" applyFont="1" applyFill="1" applyBorder="1" applyAlignment="1">
      <alignment vertical="top" wrapText="1"/>
    </xf>
    <xf numFmtId="49" fontId="12" fillId="2" borderId="43" xfId="2" quotePrefix="1" applyNumberFormat="1" applyFont="1" applyFill="1" applyBorder="1" applyAlignment="1">
      <alignment horizontal="center" vertical="justify"/>
    </xf>
    <xf numFmtId="0" fontId="12" fillId="2" borderId="44" xfId="2" applyNumberFormat="1" applyFont="1" applyFill="1" applyBorder="1" applyAlignment="1">
      <alignment vertical="top" wrapText="1"/>
    </xf>
    <xf numFmtId="49" fontId="12" fillId="3" borderId="7" xfId="2" applyNumberFormat="1" applyFont="1" applyFill="1" applyBorder="1" applyAlignment="1">
      <alignment horizontal="center"/>
    </xf>
    <xf numFmtId="0" fontId="15" fillId="3" borderId="8" xfId="2" applyNumberFormat="1" applyFont="1" applyFill="1" applyBorder="1" applyAlignment="1">
      <alignment horizontal="left" wrapText="1"/>
    </xf>
    <xf numFmtId="43" fontId="12" fillId="3" borderId="8" xfId="2" applyFont="1" applyFill="1" applyBorder="1" applyAlignment="1">
      <alignment horizontal="center"/>
    </xf>
    <xf numFmtId="43" fontId="11" fillId="3" borderId="9" xfId="1" applyFont="1" applyFill="1" applyBorder="1" applyAlignment="1"/>
    <xf numFmtId="49" fontId="14" fillId="5" borderId="46" xfId="2" applyNumberFormat="1" applyFont="1" applyFill="1" applyBorder="1" applyAlignment="1">
      <alignment horizontal="center" vertical="justify"/>
    </xf>
    <xf numFmtId="0" fontId="13" fillId="5" borderId="47" xfId="2" applyNumberFormat="1" applyFont="1" applyFill="1" applyBorder="1" applyAlignment="1">
      <alignment horizontal="center"/>
    </xf>
    <xf numFmtId="43" fontId="14" fillId="5" borderId="48" xfId="2" applyFont="1" applyFill="1" applyBorder="1"/>
    <xf numFmtId="49" fontId="12" fillId="2" borderId="39" xfId="2" applyNumberFormat="1" applyFont="1" applyFill="1" applyBorder="1" applyAlignment="1">
      <alignment horizontal="center" vertical="justify"/>
    </xf>
    <xf numFmtId="0" fontId="14" fillId="2" borderId="40" xfId="2" quotePrefix="1" applyNumberFormat="1" applyFont="1" applyFill="1" applyBorder="1" applyAlignment="1">
      <alignment horizontal="left"/>
    </xf>
    <xf numFmtId="43" fontId="12" fillId="2" borderId="40" xfId="2" applyFont="1" applyFill="1" applyBorder="1" applyAlignment="1">
      <alignment horizontal="center"/>
    </xf>
    <xf numFmtId="43" fontId="12" fillId="3" borderId="40" xfId="1" applyNumberFormat="1" applyFont="1" applyFill="1" applyBorder="1" applyAlignment="1">
      <alignment horizontal="center"/>
    </xf>
    <xf numFmtId="43" fontId="12" fillId="2" borderId="40" xfId="1" applyFont="1" applyFill="1" applyBorder="1" applyAlignment="1">
      <alignment horizontal="center"/>
    </xf>
    <xf numFmtId="43" fontId="11" fillId="0" borderId="40" xfId="1" applyFont="1" applyBorder="1"/>
    <xf numFmtId="0" fontId="12" fillId="2" borderId="9" xfId="2" applyNumberFormat="1" applyFont="1" applyFill="1" applyBorder="1" applyAlignment="1">
      <alignment horizontal="left" vertical="top" wrapText="1"/>
    </xf>
    <xf numFmtId="43" fontId="14" fillId="5" borderId="9" xfId="2" applyFont="1" applyFill="1" applyBorder="1"/>
    <xf numFmtId="167" fontId="14" fillId="6" borderId="7" xfId="2" applyNumberFormat="1" applyFont="1" applyFill="1" applyBorder="1" applyAlignment="1">
      <alignment horizontal="center" vertical="justify"/>
    </xf>
    <xf numFmtId="0" fontId="13" fillId="6" borderId="8" xfId="2" applyNumberFormat="1" applyFont="1" applyFill="1" applyBorder="1" applyAlignment="1">
      <alignment horizontal="left"/>
    </xf>
    <xf numFmtId="0" fontId="12" fillId="6" borderId="8" xfId="2" applyNumberFormat="1" applyFont="1" applyFill="1" applyBorder="1" applyAlignment="1">
      <alignment horizontal="center"/>
    </xf>
    <xf numFmtId="43" fontId="12" fillId="6" borderId="9" xfId="2" applyFont="1" applyFill="1" applyBorder="1"/>
    <xf numFmtId="49" fontId="14" fillId="2" borderId="7" xfId="3" applyNumberFormat="1" applyFont="1" applyFill="1" applyBorder="1" applyAlignment="1">
      <alignment horizontal="center"/>
    </xf>
    <xf numFmtId="0" fontId="13" fillId="0" borderId="8" xfId="3" applyFont="1" applyFill="1" applyBorder="1" applyAlignment="1">
      <alignment horizontal="left" wrapText="1"/>
    </xf>
    <xf numFmtId="0" fontId="30" fillId="0" borderId="8" xfId="3" applyFont="1" applyFill="1" applyBorder="1" applyAlignment="1">
      <alignment horizontal="center"/>
    </xf>
    <xf numFmtId="43" fontId="30" fillId="3" borderId="8" xfId="1" applyNumberFormat="1" applyFont="1" applyFill="1" applyBorder="1" applyAlignment="1">
      <alignment horizontal="center"/>
    </xf>
    <xf numFmtId="43" fontId="17" fillId="0" borderId="8" xfId="1" applyFont="1" applyBorder="1"/>
    <xf numFmtId="43" fontId="17" fillId="0" borderId="9" xfId="1" applyFont="1" applyBorder="1"/>
    <xf numFmtId="0" fontId="12" fillId="2" borderId="7" xfId="2" applyNumberFormat="1" applyFont="1" applyFill="1" applyBorder="1" applyAlignment="1">
      <alignment horizontal="center" vertical="justify"/>
    </xf>
    <xf numFmtId="0" fontId="12" fillId="0" borderId="8" xfId="3" applyFont="1" applyBorder="1" applyAlignment="1">
      <alignment horizontal="left" wrapText="1"/>
    </xf>
    <xf numFmtId="0" fontId="12" fillId="0" borderId="8" xfId="3" applyFont="1" applyFill="1" applyBorder="1" applyAlignment="1">
      <alignment horizontal="center"/>
    </xf>
    <xf numFmtId="0" fontId="20" fillId="0" borderId="8" xfId="3" applyFont="1" applyFill="1" applyBorder="1" applyAlignment="1">
      <alignment horizontal="center"/>
    </xf>
    <xf numFmtId="43" fontId="20" fillId="3" borderId="8" xfId="1" applyNumberFormat="1" applyFont="1" applyFill="1" applyBorder="1" applyAlignment="1">
      <alignment horizontal="center"/>
    </xf>
    <xf numFmtId="0" fontId="14" fillId="2" borderId="7" xfId="2" applyNumberFormat="1" applyFont="1" applyFill="1" applyBorder="1" applyAlignment="1">
      <alignment horizontal="center" vertical="justify"/>
    </xf>
    <xf numFmtId="0" fontId="14" fillId="2" borderId="43" xfId="2" applyNumberFormat="1" applyFont="1" applyFill="1" applyBorder="1" applyAlignment="1">
      <alignment horizontal="center" vertical="justify"/>
    </xf>
    <xf numFmtId="0" fontId="12" fillId="0" borderId="44" xfId="3" applyFont="1" applyBorder="1" applyAlignment="1">
      <alignment horizontal="left" wrapText="1"/>
    </xf>
    <xf numFmtId="0" fontId="12" fillId="0" borderId="44" xfId="3" applyFont="1" applyFill="1" applyBorder="1" applyAlignment="1">
      <alignment horizontal="center"/>
    </xf>
    <xf numFmtId="0" fontId="13" fillId="2" borderId="0" xfId="2" applyNumberFormat="1" applyFont="1" applyFill="1" applyBorder="1" applyAlignment="1">
      <alignment horizontal="justify" vertical="top"/>
    </xf>
    <xf numFmtId="49" fontId="12" fillId="2" borderId="49" xfId="2" applyNumberFormat="1" applyFont="1" applyFill="1" applyBorder="1" applyAlignment="1">
      <alignment horizontal="center" vertical="top"/>
    </xf>
    <xf numFmtId="0" fontId="12" fillId="2" borderId="50" xfId="2" applyNumberFormat="1" applyFont="1" applyFill="1" applyBorder="1" applyAlignment="1">
      <alignment vertical="top" wrapText="1"/>
    </xf>
    <xf numFmtId="0" fontId="12" fillId="2" borderId="51" xfId="2" applyNumberFormat="1" applyFont="1" applyFill="1" applyBorder="1" applyAlignment="1">
      <alignment vertical="top" wrapText="1"/>
    </xf>
    <xf numFmtId="0" fontId="14" fillId="2" borderId="44" xfId="2" quotePrefix="1" applyNumberFormat="1" applyFont="1" applyFill="1" applyBorder="1" applyAlignment="1">
      <alignment horizontal="left"/>
    </xf>
    <xf numFmtId="43" fontId="11" fillId="0" borderId="8" xfId="1" applyNumberFormat="1" applyFont="1" applyBorder="1" applyAlignment="1"/>
    <xf numFmtId="0" fontId="17" fillId="5" borderId="8" xfId="0" applyFont="1" applyFill="1" applyBorder="1" applyAlignment="1">
      <alignment horizontal="center"/>
    </xf>
    <xf numFmtId="43" fontId="17" fillId="5" borderId="8" xfId="1" applyNumberFormat="1" applyFont="1" applyFill="1" applyBorder="1"/>
    <xf numFmtId="43" fontId="17" fillId="5" borderId="8" xfId="1" applyFont="1" applyFill="1" applyBorder="1"/>
    <xf numFmtId="43" fontId="17" fillId="5" borderId="9" xfId="1" applyFont="1" applyFill="1" applyBorder="1"/>
    <xf numFmtId="0" fontId="12" fillId="2" borderId="8" xfId="3" applyFont="1" applyFill="1" applyBorder="1" applyAlignment="1">
      <alignment horizontal="left" wrapText="1"/>
    </xf>
    <xf numFmtId="0" fontId="12" fillId="0" borderId="8" xfId="3" applyFont="1" applyBorder="1" applyAlignment="1">
      <alignment horizontal="center"/>
    </xf>
    <xf numFmtId="49" fontId="14" fillId="2" borderId="46" xfId="2" applyNumberFormat="1" applyFont="1" applyFill="1" applyBorder="1" applyAlignment="1">
      <alignment horizontal="center" vertical="justify"/>
    </xf>
    <xf numFmtId="0" fontId="13" fillId="2" borderId="47" xfId="2" applyNumberFormat="1" applyFont="1" applyFill="1" applyBorder="1" applyAlignment="1">
      <alignment horizontal="justify" vertical="top"/>
    </xf>
    <xf numFmtId="0" fontId="12" fillId="2" borderId="0" xfId="2" applyNumberFormat="1" applyFont="1" applyFill="1" applyBorder="1" applyAlignment="1">
      <alignment vertical="top"/>
    </xf>
    <xf numFmtId="0" fontId="12" fillId="2" borderId="42" xfId="2" applyNumberFormat="1" applyFont="1" applyFill="1" applyBorder="1" applyAlignment="1">
      <alignment vertical="top"/>
    </xf>
    <xf numFmtId="0" fontId="12" fillId="2" borderId="50" xfId="2" applyNumberFormat="1" applyFont="1" applyFill="1" applyBorder="1" applyAlignment="1">
      <alignment vertical="top"/>
    </xf>
    <xf numFmtId="0" fontId="12" fillId="2" borderId="51" xfId="2" applyNumberFormat="1" applyFont="1" applyFill="1" applyBorder="1" applyAlignment="1">
      <alignment vertical="top"/>
    </xf>
    <xf numFmtId="165" fontId="12" fillId="3" borderId="46" xfId="1" applyNumberFormat="1" applyFont="1" applyFill="1" applyBorder="1" applyAlignment="1">
      <alignment horizontal="left" vertical="justify"/>
    </xf>
    <xf numFmtId="0" fontId="14" fillId="3" borderId="47" xfId="2" quotePrefix="1" applyNumberFormat="1" applyFont="1" applyFill="1" applyBorder="1" applyAlignment="1">
      <alignment horizontal="left"/>
    </xf>
    <xf numFmtId="43" fontId="12" fillId="3" borderId="47" xfId="2" applyFont="1" applyFill="1" applyBorder="1" applyAlignment="1">
      <alignment horizontal="center"/>
    </xf>
    <xf numFmtId="43" fontId="12" fillId="3" borderId="47" xfId="1" applyFont="1" applyFill="1" applyBorder="1" applyAlignment="1">
      <alignment horizontal="center"/>
    </xf>
    <xf numFmtId="43" fontId="12" fillId="2" borderId="47" xfId="2" applyFont="1" applyFill="1" applyBorder="1"/>
    <xf numFmtId="0" fontId="13" fillId="2" borderId="50" xfId="2" applyNumberFormat="1" applyFont="1" applyFill="1" applyBorder="1" applyAlignment="1">
      <alignment horizontal="center"/>
    </xf>
    <xf numFmtId="43" fontId="11" fillId="0" borderId="50" xfId="1" applyFont="1" applyBorder="1"/>
    <xf numFmtId="43" fontId="11" fillId="0" borderId="51" xfId="1" applyFont="1" applyBorder="1"/>
    <xf numFmtId="43" fontId="12" fillId="2" borderId="53" xfId="2" applyFont="1" applyFill="1" applyBorder="1"/>
    <xf numFmtId="165" fontId="14" fillId="3" borderId="49" xfId="1" applyNumberFormat="1" applyFont="1" applyFill="1" applyBorder="1" applyAlignment="1">
      <alignment horizontal="left" vertical="justify"/>
    </xf>
    <xf numFmtId="0" fontId="14" fillId="3" borderId="50" xfId="2" quotePrefix="1" applyNumberFormat="1" applyFont="1" applyFill="1" applyBorder="1" applyAlignment="1">
      <alignment horizontal="left"/>
    </xf>
    <xf numFmtId="43" fontId="14" fillId="3" borderId="50" xfId="2" applyFont="1" applyFill="1" applyBorder="1" applyAlignment="1">
      <alignment horizontal="center"/>
    </xf>
    <xf numFmtId="43" fontId="14" fillId="3" borderId="50" xfId="1" applyFont="1" applyFill="1" applyBorder="1" applyAlignment="1">
      <alignment horizontal="center"/>
    </xf>
    <xf numFmtId="43" fontId="14" fillId="2" borderId="50" xfId="1" applyFont="1" applyFill="1" applyBorder="1" applyAlignment="1">
      <alignment horizontal="center"/>
    </xf>
    <xf numFmtId="43" fontId="14" fillId="2" borderId="52" xfId="2" applyFont="1" applyFill="1" applyBorder="1"/>
    <xf numFmtId="43" fontId="14" fillId="3" borderId="8" xfId="2" applyFont="1" applyFill="1" applyBorder="1" applyAlignment="1">
      <alignment horizontal="center"/>
    </xf>
    <xf numFmtId="43" fontId="14" fillId="3" borderId="8" xfId="1" applyFont="1" applyFill="1" applyBorder="1" applyAlignment="1">
      <alignment horizontal="center"/>
    </xf>
    <xf numFmtId="43" fontId="12" fillId="2" borderId="8" xfId="2" applyFont="1" applyFill="1" applyBorder="1"/>
    <xf numFmtId="0" fontId="13" fillId="3" borderId="8" xfId="2" applyNumberFormat="1" applyFont="1" applyFill="1" applyBorder="1" applyAlignment="1">
      <alignment horizontal="left"/>
    </xf>
    <xf numFmtId="165" fontId="14" fillId="13" borderId="7" xfId="1" applyNumberFormat="1" applyFont="1" applyFill="1" applyBorder="1" applyAlignment="1">
      <alignment horizontal="left"/>
    </xf>
    <xf numFmtId="0" fontId="13" fillId="13" borderId="8" xfId="2" applyNumberFormat="1" applyFont="1" applyFill="1" applyBorder="1" applyAlignment="1">
      <alignment horizontal="left" wrapText="1"/>
    </xf>
    <xf numFmtId="43" fontId="14" fillId="13" borderId="8" xfId="2" applyFont="1" applyFill="1" applyBorder="1" applyAlignment="1">
      <alignment horizontal="center"/>
    </xf>
    <xf numFmtId="43" fontId="14" fillId="13" borderId="8" xfId="1" applyFont="1" applyFill="1" applyBorder="1" applyAlignment="1">
      <alignment horizontal="center"/>
    </xf>
    <xf numFmtId="43" fontId="12" fillId="13" borderId="8" xfId="1" applyFont="1" applyFill="1" applyBorder="1" applyAlignment="1">
      <alignment horizontal="center"/>
    </xf>
    <xf numFmtId="43" fontId="12" fillId="13" borderId="8" xfId="2" applyFont="1" applyFill="1" applyBorder="1"/>
    <xf numFmtId="43" fontId="11" fillId="13" borderId="9" xfId="1" applyFont="1" applyFill="1" applyBorder="1"/>
    <xf numFmtId="165" fontId="14" fillId="3" borderId="7" xfId="1" applyNumberFormat="1" applyFont="1" applyFill="1" applyBorder="1" applyAlignment="1">
      <alignment horizontal="left"/>
    </xf>
    <xf numFmtId="0" fontId="13" fillId="3" borderId="8" xfId="2" applyNumberFormat="1" applyFont="1" applyFill="1" applyBorder="1" applyAlignment="1">
      <alignment horizontal="left" wrapText="1"/>
    </xf>
    <xf numFmtId="43" fontId="12" fillId="3" borderId="8" xfId="2" applyFont="1" applyFill="1" applyBorder="1"/>
    <xf numFmtId="165" fontId="12" fillId="3" borderId="7" xfId="1" applyNumberFormat="1" applyFont="1" applyFill="1" applyBorder="1" applyAlignment="1">
      <alignment horizontal="left" vertical="top"/>
    </xf>
    <xf numFmtId="0" fontId="12" fillId="3" borderId="8" xfId="2" applyNumberFormat="1" applyFont="1" applyFill="1" applyBorder="1" applyAlignment="1">
      <alignment horizontal="left" wrapText="1"/>
    </xf>
    <xf numFmtId="165" fontId="12" fillId="3" borderId="7" xfId="1" applyNumberFormat="1" applyFont="1" applyFill="1" applyBorder="1" applyAlignment="1">
      <alignment horizontal="left"/>
    </xf>
    <xf numFmtId="0" fontId="11" fillId="13" borderId="8" xfId="0" applyFont="1" applyFill="1" applyBorder="1" applyAlignment="1">
      <alignment horizontal="center"/>
    </xf>
    <xf numFmtId="0" fontId="11" fillId="0" borderId="31" xfId="0" applyFont="1" applyBorder="1"/>
    <xf numFmtId="0" fontId="11" fillId="0" borderId="0" xfId="0" applyFont="1" applyBorder="1"/>
    <xf numFmtId="165" fontId="12" fillId="3" borderId="43" xfId="1" applyNumberFormat="1" applyFont="1" applyFill="1" applyBorder="1" applyAlignment="1">
      <alignment horizontal="left" vertical="top"/>
    </xf>
    <xf numFmtId="0" fontId="12" fillId="3" borderId="44" xfId="2" applyNumberFormat="1" applyFont="1" applyFill="1" applyBorder="1" applyAlignment="1">
      <alignment horizontal="left" wrapText="1"/>
    </xf>
    <xf numFmtId="0" fontId="11" fillId="3" borderId="44" xfId="0" applyFont="1" applyFill="1" applyBorder="1" applyAlignment="1">
      <alignment horizontal="center"/>
    </xf>
    <xf numFmtId="43" fontId="12" fillId="3" borderId="44" xfId="1" applyFont="1" applyFill="1" applyBorder="1" applyAlignment="1">
      <alignment horizontal="center"/>
    </xf>
    <xf numFmtId="43" fontId="12" fillId="2" borderId="44" xfId="2" applyFont="1" applyFill="1" applyBorder="1"/>
    <xf numFmtId="165" fontId="14" fillId="3" borderId="46" xfId="1" applyNumberFormat="1" applyFont="1" applyFill="1" applyBorder="1" applyAlignment="1">
      <alignment horizontal="left" vertical="justify"/>
    </xf>
    <xf numFmtId="0" fontId="13" fillId="3" borderId="47" xfId="2" quotePrefix="1" applyNumberFormat="1" applyFont="1" applyFill="1" applyBorder="1" applyAlignment="1">
      <alignment horizontal="center"/>
    </xf>
    <xf numFmtId="43" fontId="14" fillId="3" borderId="47" xfId="2" applyFont="1" applyFill="1" applyBorder="1" applyAlignment="1">
      <alignment horizontal="center"/>
    </xf>
    <xf numFmtId="43" fontId="14" fillId="3" borderId="47" xfId="1" applyFont="1" applyFill="1" applyBorder="1" applyAlignment="1">
      <alignment horizontal="center"/>
    </xf>
    <xf numFmtId="165" fontId="14" fillId="3" borderId="31" xfId="1" applyNumberFormat="1" applyFont="1" applyFill="1" applyBorder="1" applyAlignment="1">
      <alignment horizontal="left" vertical="justify"/>
    </xf>
    <xf numFmtId="43" fontId="14" fillId="3" borderId="0" xfId="1" applyFont="1" applyFill="1" applyBorder="1" applyAlignment="1">
      <alignment horizontal="center"/>
    </xf>
    <xf numFmtId="43" fontId="12" fillId="2" borderId="0" xfId="2" applyFont="1" applyFill="1" applyBorder="1"/>
    <xf numFmtId="0" fontId="13" fillId="3" borderId="0" xfId="2" applyNumberFormat="1" applyFont="1" applyFill="1" applyBorder="1" applyAlignment="1">
      <alignment horizontal="left"/>
    </xf>
    <xf numFmtId="0" fontId="12" fillId="3" borderId="0" xfId="2" applyNumberFormat="1" applyFont="1" applyFill="1" applyBorder="1" applyAlignment="1">
      <alignment wrapText="1"/>
    </xf>
    <xf numFmtId="43" fontId="12" fillId="3" borderId="0" xfId="1" applyFont="1" applyFill="1" applyBorder="1" applyAlignment="1">
      <alignment wrapText="1"/>
    </xf>
    <xf numFmtId="0" fontId="12" fillId="3" borderId="50" xfId="2" applyNumberFormat="1" applyFont="1" applyFill="1" applyBorder="1" applyAlignment="1">
      <alignment wrapText="1"/>
    </xf>
    <xf numFmtId="43" fontId="12" fillId="3" borderId="50" xfId="1" applyFont="1" applyFill="1" applyBorder="1" applyAlignment="1">
      <alignment wrapText="1"/>
    </xf>
    <xf numFmtId="43" fontId="12" fillId="2" borderId="50" xfId="2" applyFont="1" applyFill="1" applyBorder="1"/>
    <xf numFmtId="0" fontId="12" fillId="2" borderId="8" xfId="3" applyNumberFormat="1" applyFont="1" applyFill="1" applyBorder="1" applyAlignment="1">
      <alignment horizontal="left" wrapText="1"/>
    </xf>
    <xf numFmtId="0" fontId="12" fillId="2" borderId="9" xfId="3" applyNumberFormat="1" applyFont="1" applyFill="1" applyBorder="1" applyAlignment="1">
      <alignment horizontal="left" wrapText="1"/>
    </xf>
    <xf numFmtId="0" fontId="13" fillId="5" borderId="8" xfId="2" applyNumberFormat="1" applyFont="1" applyFill="1" applyBorder="1" applyAlignment="1">
      <alignment horizontal="left"/>
    </xf>
    <xf numFmtId="49" fontId="14" fillId="6" borderId="7" xfId="2" applyNumberFormat="1" applyFont="1" applyFill="1" applyBorder="1" applyAlignment="1">
      <alignment horizontal="center" vertical="justify"/>
    </xf>
    <xf numFmtId="0" fontId="13" fillId="6" borderId="8" xfId="2" applyNumberFormat="1" applyFont="1" applyFill="1" applyBorder="1" applyAlignment="1">
      <alignment horizontal="left" vertical="top"/>
    </xf>
    <xf numFmtId="0" fontId="14" fillId="6" borderId="8" xfId="3" applyFont="1" applyFill="1" applyBorder="1" applyAlignment="1">
      <alignment horizontal="center"/>
    </xf>
    <xf numFmtId="43" fontId="14" fillId="6" borderId="8" xfId="1" applyFont="1" applyFill="1" applyBorder="1" applyAlignment="1">
      <alignment horizontal="center"/>
    </xf>
    <xf numFmtId="0" fontId="12" fillId="3" borderId="8" xfId="2" applyNumberFormat="1" applyFont="1" applyFill="1" applyBorder="1" applyAlignment="1">
      <alignment horizontal="justify"/>
    </xf>
    <xf numFmtId="0" fontId="12" fillId="3" borderId="8" xfId="3" applyFont="1" applyFill="1" applyBorder="1" applyAlignment="1">
      <alignment horizontal="center"/>
    </xf>
    <xf numFmtId="49" fontId="14" fillId="3" borderId="7" xfId="2" applyNumberFormat="1" applyFont="1" applyFill="1" applyBorder="1" applyAlignment="1">
      <alignment horizontal="center" vertical="justify"/>
    </xf>
    <xf numFmtId="0" fontId="12" fillId="7" borderId="0" xfId="1" applyNumberFormat="1" applyFont="1" applyFill="1" applyBorder="1" applyAlignment="1">
      <alignment vertical="center"/>
    </xf>
    <xf numFmtId="0" fontId="12" fillId="7" borderId="42" xfId="1" applyNumberFormat="1" applyFont="1" applyFill="1" applyBorder="1" applyAlignment="1">
      <alignment vertical="center"/>
    </xf>
    <xf numFmtId="0" fontId="12" fillId="0" borderId="0" xfId="0" applyFont="1" applyBorder="1" applyAlignment="1">
      <alignment vertical="center" wrapText="1"/>
    </xf>
    <xf numFmtId="0" fontId="12" fillId="0" borderId="42" xfId="0" applyFont="1" applyBorder="1" applyAlignment="1">
      <alignment vertical="center" wrapText="1"/>
    </xf>
    <xf numFmtId="0" fontId="12" fillId="2" borderId="50" xfId="3" applyNumberFormat="1" applyFont="1" applyFill="1" applyBorder="1" applyAlignment="1">
      <alignment wrapText="1"/>
    </xf>
    <xf numFmtId="0" fontId="12" fillId="2" borderId="51" xfId="3" applyNumberFormat="1" applyFont="1" applyFill="1" applyBorder="1" applyAlignment="1">
      <alignment wrapText="1"/>
    </xf>
    <xf numFmtId="0" fontId="13" fillId="2" borderId="47" xfId="2" quotePrefix="1" applyNumberFormat="1" applyFont="1" applyFill="1" applyBorder="1" applyAlignment="1">
      <alignment horizontal="center"/>
    </xf>
    <xf numFmtId="49" fontId="14" fillId="2" borderId="49" xfId="2" applyNumberFormat="1" applyFont="1" applyFill="1" applyBorder="1" applyAlignment="1">
      <alignment horizontal="center" vertical="justify"/>
    </xf>
    <xf numFmtId="0" fontId="12" fillId="2" borderId="8" xfId="2" applyNumberFormat="1" applyFont="1" applyFill="1" applyBorder="1" applyAlignment="1"/>
    <xf numFmtId="0" fontId="12" fillId="2" borderId="9" xfId="2" applyNumberFormat="1" applyFont="1" applyFill="1" applyBorder="1" applyAlignment="1"/>
    <xf numFmtId="165" fontId="14" fillId="9" borderId="7" xfId="1" applyNumberFormat="1" applyFont="1" applyFill="1" applyBorder="1" applyAlignment="1">
      <alignment horizontal="left" vertical="justify"/>
    </xf>
    <xf numFmtId="0" fontId="13" fillId="9" borderId="8" xfId="2" applyNumberFormat="1" applyFont="1" applyFill="1" applyBorder="1" applyAlignment="1">
      <alignment horizontal="justify"/>
    </xf>
    <xf numFmtId="43" fontId="14" fillId="9" borderId="8" xfId="2" applyFont="1" applyFill="1" applyBorder="1" applyAlignment="1">
      <alignment horizontal="center"/>
    </xf>
    <xf numFmtId="43" fontId="14" fillId="9" borderId="8" xfId="1" applyFont="1" applyFill="1" applyBorder="1" applyAlignment="1">
      <alignment horizontal="center"/>
    </xf>
    <xf numFmtId="43" fontId="11" fillId="9" borderId="8" xfId="1" applyFont="1" applyFill="1" applyBorder="1"/>
    <xf numFmtId="43" fontId="11" fillId="9" borderId="9" xfId="1" applyFont="1" applyFill="1" applyBorder="1"/>
    <xf numFmtId="49" fontId="14" fillId="11" borderId="7" xfId="2" applyNumberFormat="1" applyFont="1" applyFill="1" applyBorder="1" applyAlignment="1">
      <alignment horizontal="center" vertical="justify"/>
    </xf>
    <xf numFmtId="0" fontId="13" fillId="11" borderId="8" xfId="2" applyNumberFormat="1" applyFont="1" applyFill="1" applyBorder="1" applyAlignment="1">
      <alignment horizontal="justify"/>
    </xf>
    <xf numFmtId="43" fontId="12" fillId="11" borderId="8" xfId="2" applyFont="1" applyFill="1" applyBorder="1" applyAlignment="1">
      <alignment horizontal="center"/>
    </xf>
    <xf numFmtId="43" fontId="12" fillId="11" borderId="8" xfId="1" applyFont="1" applyFill="1" applyBorder="1" applyAlignment="1">
      <alignment horizontal="center"/>
    </xf>
    <xf numFmtId="0" fontId="12" fillId="3" borderId="8" xfId="3" applyFont="1" applyFill="1" applyBorder="1" applyAlignment="1">
      <alignment horizontal="left" wrapText="1"/>
    </xf>
    <xf numFmtId="0" fontId="13" fillId="11" borderId="8" xfId="2" applyNumberFormat="1" applyFont="1" applyFill="1" applyBorder="1" applyAlignment="1">
      <alignment horizontal="left"/>
    </xf>
    <xf numFmtId="0" fontId="13" fillId="11" borderId="8" xfId="3" applyFont="1" applyFill="1" applyBorder="1" applyAlignment="1">
      <alignment horizontal="left" wrapText="1"/>
    </xf>
    <xf numFmtId="0" fontId="14" fillId="11" borderId="8" xfId="3" applyFont="1" applyFill="1" applyBorder="1" applyAlignment="1">
      <alignment horizontal="center"/>
    </xf>
    <xf numFmtId="43" fontId="11" fillId="11" borderId="8" xfId="1" applyFont="1" applyFill="1" applyBorder="1"/>
    <xf numFmtId="43" fontId="11" fillId="11" borderId="9" xfId="1" applyFont="1" applyFill="1" applyBorder="1"/>
    <xf numFmtId="0" fontId="13" fillId="3" borderId="8" xfId="3" applyFont="1" applyFill="1" applyBorder="1" applyAlignment="1">
      <alignment horizontal="left" wrapText="1"/>
    </xf>
    <xf numFmtId="0" fontId="14" fillId="3" borderId="8" xfId="3" applyFont="1" applyFill="1" applyBorder="1" applyAlignment="1">
      <alignment horizontal="center"/>
    </xf>
    <xf numFmtId="49" fontId="12" fillId="5" borderId="7" xfId="2" applyNumberFormat="1" applyFont="1" applyFill="1" applyBorder="1" applyAlignment="1">
      <alignment horizontal="center" vertical="justify"/>
    </xf>
    <xf numFmtId="0" fontId="15" fillId="5" borderId="8" xfId="3" applyFont="1" applyFill="1" applyBorder="1" applyAlignment="1">
      <alignment horizontal="left" wrapText="1"/>
    </xf>
    <xf numFmtId="0" fontId="12" fillId="5" borderId="8" xfId="3" applyFont="1" applyFill="1" applyBorder="1" applyAlignment="1">
      <alignment horizontal="center"/>
    </xf>
    <xf numFmtId="49" fontId="14" fillId="12" borderId="7" xfId="2" applyNumberFormat="1" applyFont="1" applyFill="1" applyBorder="1" applyAlignment="1">
      <alignment horizontal="center" vertical="justify"/>
    </xf>
    <xf numFmtId="0" fontId="13" fillId="12" borderId="8" xfId="3" applyFont="1" applyFill="1" applyBorder="1" applyAlignment="1">
      <alignment horizontal="left" wrapText="1"/>
    </xf>
    <xf numFmtId="0" fontId="14" fillId="12" borderId="8" xfId="3" applyFont="1" applyFill="1" applyBorder="1" applyAlignment="1">
      <alignment horizontal="center"/>
    </xf>
    <xf numFmtId="43" fontId="12" fillId="12" borderId="8" xfId="1" applyFont="1" applyFill="1" applyBorder="1" applyAlignment="1">
      <alignment horizontal="center"/>
    </xf>
    <xf numFmtId="43" fontId="11" fillId="12" borderId="8" xfId="1" applyFont="1" applyFill="1" applyBorder="1"/>
    <xf numFmtId="43" fontId="11" fillId="12" borderId="9" xfId="1" applyFont="1" applyFill="1" applyBorder="1"/>
    <xf numFmtId="49" fontId="12" fillId="3" borderId="7" xfId="2" applyNumberFormat="1" applyFont="1" applyFill="1" applyBorder="1" applyAlignment="1">
      <alignment horizontal="left" vertical="justify"/>
    </xf>
    <xf numFmtId="49" fontId="32" fillId="2" borderId="46" xfId="2" applyNumberFormat="1" applyFont="1" applyFill="1" applyBorder="1" applyAlignment="1">
      <alignment horizontal="center" vertical="justify"/>
    </xf>
    <xf numFmtId="0" fontId="32" fillId="2" borderId="47" xfId="2" quotePrefix="1" applyNumberFormat="1" applyFont="1" applyFill="1" applyBorder="1" applyAlignment="1">
      <alignment horizontal="left"/>
    </xf>
    <xf numFmtId="43" fontId="32" fillId="2" borderId="47" xfId="2" applyFont="1" applyFill="1" applyBorder="1" applyAlignment="1">
      <alignment horizontal="center"/>
    </xf>
    <xf numFmtId="43" fontId="32" fillId="3" borderId="47" xfId="1" applyNumberFormat="1" applyFont="1" applyFill="1" applyBorder="1" applyAlignment="1">
      <alignment horizontal="center"/>
    </xf>
    <xf numFmtId="43" fontId="3" fillId="2" borderId="47" xfId="1" applyFont="1" applyFill="1" applyBorder="1" applyAlignment="1">
      <alignment horizontal="center"/>
    </xf>
    <xf numFmtId="43" fontId="31" fillId="0" borderId="53" xfId="1" applyFont="1" applyBorder="1"/>
    <xf numFmtId="49" fontId="32" fillId="2" borderId="49" xfId="2" applyNumberFormat="1" applyFont="1" applyFill="1" applyBorder="1" applyAlignment="1">
      <alignment horizontal="center" vertical="justify"/>
    </xf>
    <xf numFmtId="0" fontId="32" fillId="2" borderId="50" xfId="2" quotePrefix="1" applyNumberFormat="1" applyFont="1" applyFill="1" applyBorder="1" applyAlignment="1">
      <alignment horizontal="left"/>
    </xf>
    <xf numFmtId="43" fontId="32" fillId="2" borderId="50" xfId="2" applyFont="1" applyFill="1" applyBorder="1" applyAlignment="1">
      <alignment horizontal="center"/>
    </xf>
    <xf numFmtId="43" fontId="32" fillId="3" borderId="50" xfId="1" applyNumberFormat="1" applyFont="1" applyFill="1" applyBorder="1" applyAlignment="1">
      <alignment horizontal="center"/>
    </xf>
    <xf numFmtId="43" fontId="3" fillId="2" borderId="50" xfId="1" applyFont="1" applyFill="1" applyBorder="1" applyAlignment="1">
      <alignment horizontal="center"/>
    </xf>
    <xf numFmtId="43" fontId="31" fillId="0" borderId="52" xfId="1" applyFont="1" applyBorder="1"/>
    <xf numFmtId="43" fontId="31" fillId="0" borderId="41" xfId="1" applyFont="1" applyBorder="1"/>
    <xf numFmtId="43" fontId="34" fillId="0" borderId="45" xfId="1" applyFont="1" applyBorder="1"/>
    <xf numFmtId="0" fontId="11" fillId="0" borderId="47" xfId="0" applyFont="1" applyBorder="1"/>
    <xf numFmtId="49" fontId="14" fillId="2" borderId="7" xfId="2" applyNumberFormat="1" applyFont="1" applyFill="1" applyBorder="1" applyAlignment="1">
      <alignment horizontal="left" vertical="justify"/>
    </xf>
    <xf numFmtId="49" fontId="12" fillId="2" borderId="7" xfId="2" applyNumberFormat="1" applyFont="1" applyFill="1" applyBorder="1" applyAlignment="1">
      <alignment horizontal="left" vertical="justify"/>
    </xf>
    <xf numFmtId="49" fontId="12" fillId="2" borderId="7" xfId="2" applyNumberFormat="1" applyFont="1" applyFill="1" applyBorder="1" applyAlignment="1">
      <alignment horizontal="left"/>
    </xf>
    <xf numFmtId="0" fontId="12" fillId="2" borderId="9" xfId="2" applyNumberFormat="1" applyFont="1" applyFill="1" applyBorder="1" applyAlignment="1">
      <alignment horizontal="left"/>
    </xf>
    <xf numFmtId="49" fontId="14" fillId="9" borderId="7" xfId="2" applyNumberFormat="1" applyFont="1" applyFill="1" applyBorder="1" applyAlignment="1">
      <alignment horizontal="left" vertical="justify"/>
    </xf>
    <xf numFmtId="43" fontId="14" fillId="9" borderId="8" xfId="1" applyNumberFormat="1" applyFont="1" applyFill="1" applyBorder="1" applyAlignment="1">
      <alignment horizontal="center"/>
    </xf>
    <xf numFmtId="49" fontId="14" fillId="5" borderId="7" xfId="2" applyNumberFormat="1" applyFont="1" applyFill="1" applyBorder="1" applyAlignment="1">
      <alignment horizontal="left" vertical="justify"/>
    </xf>
    <xf numFmtId="168" fontId="29" fillId="0" borderId="7" xfId="2" quotePrefix="1" applyNumberFormat="1" applyFont="1" applyFill="1" applyBorder="1" applyAlignment="1">
      <alignment horizontal="right" vertical="top"/>
    </xf>
    <xf numFmtId="0" fontId="29" fillId="0" borderId="8" xfId="0" applyFont="1" applyFill="1" applyBorder="1" applyAlignment="1">
      <alignment horizontal="left" vertical="top" wrapText="1"/>
    </xf>
    <xf numFmtId="43" fontId="11" fillId="0" borderId="0" xfId="1" applyNumberFormat="1" applyFont="1" applyBorder="1"/>
    <xf numFmtId="43" fontId="14" fillId="3" borderId="54" xfId="1" applyFont="1" applyFill="1" applyBorder="1" applyAlignment="1"/>
    <xf numFmtId="43" fontId="14" fillId="3" borderId="0" xfId="1" applyNumberFormat="1" applyFont="1" applyFill="1" applyBorder="1" applyAlignment="1"/>
    <xf numFmtId="43" fontId="14" fillId="3" borderId="42" xfId="1" applyNumberFormat="1" applyFont="1" applyFill="1" applyBorder="1" applyAlignment="1"/>
    <xf numFmtId="0" fontId="13" fillId="5" borderId="8" xfId="2" applyNumberFormat="1" applyFont="1" applyFill="1" applyBorder="1" applyAlignment="1">
      <alignment horizontal="justify"/>
    </xf>
    <xf numFmtId="0" fontId="28" fillId="5" borderId="8" xfId="3" applyFont="1" applyFill="1" applyBorder="1" applyAlignment="1">
      <alignment horizontal="center"/>
    </xf>
    <xf numFmtId="43" fontId="28" fillId="5" borderId="8" xfId="1" applyNumberFormat="1" applyFont="1" applyFill="1" applyBorder="1" applyAlignment="1">
      <alignment horizontal="center"/>
    </xf>
    <xf numFmtId="43" fontId="28" fillId="5" borderId="8" xfId="1" applyFont="1" applyFill="1" applyBorder="1" applyAlignment="1">
      <alignment horizontal="center"/>
    </xf>
    <xf numFmtId="43" fontId="28" fillId="5" borderId="8" xfId="1" applyFont="1" applyFill="1" applyBorder="1"/>
    <xf numFmtId="43" fontId="28" fillId="5" borderId="9" xfId="1" applyFont="1" applyFill="1" applyBorder="1"/>
    <xf numFmtId="43" fontId="12" fillId="0" borderId="8" xfId="1" applyFont="1" applyBorder="1"/>
    <xf numFmtId="43" fontId="12" fillId="0" borderId="9" xfId="1" applyFont="1" applyBorder="1"/>
    <xf numFmtId="43" fontId="12" fillId="5" borderId="8" xfId="1" applyFont="1" applyFill="1" applyBorder="1"/>
    <xf numFmtId="43" fontId="12" fillId="5" borderId="9" xfId="1" applyFont="1" applyFill="1" applyBorder="1"/>
    <xf numFmtId="0" fontId="12" fillId="0" borderId="8" xfId="3" applyFont="1" applyBorder="1" applyAlignment="1">
      <alignment horizontal="left"/>
    </xf>
    <xf numFmtId="43" fontId="12" fillId="0" borderId="8" xfId="1" applyFont="1" applyBorder="1" applyAlignment="1"/>
    <xf numFmtId="0" fontId="12" fillId="0" borderId="44" xfId="3" applyFont="1" applyBorder="1" applyAlignment="1">
      <alignment horizontal="center"/>
    </xf>
    <xf numFmtId="168" fontId="12" fillId="0" borderId="7" xfId="2" quotePrefix="1" applyNumberFormat="1" applyFont="1" applyFill="1" applyBorder="1" applyAlignment="1">
      <alignment horizontal="right" vertical="top"/>
    </xf>
    <xf numFmtId="0" fontId="12" fillId="0" borderId="8" xfId="0" applyFont="1" applyFill="1" applyBorder="1" applyAlignment="1">
      <alignment horizontal="left" vertical="top" wrapText="1"/>
    </xf>
    <xf numFmtId="0" fontId="12" fillId="2" borderId="50" xfId="2" applyNumberFormat="1" applyFont="1" applyFill="1" applyBorder="1" applyAlignment="1">
      <alignment horizontal="left" wrapText="1"/>
    </xf>
    <xf numFmtId="0" fontId="12" fillId="2" borderId="0" xfId="2" quotePrefix="1" applyNumberFormat="1" applyFont="1" applyFill="1" applyBorder="1" applyAlignment="1">
      <alignment horizontal="left" vertical="top" wrapText="1"/>
    </xf>
    <xf numFmtId="0" fontId="12" fillId="2" borderId="0" xfId="2" quotePrefix="1" applyNumberFormat="1" applyFont="1" applyFill="1" applyBorder="1" applyAlignment="1">
      <alignment horizontal="left" vertical="top"/>
    </xf>
    <xf numFmtId="0" fontId="12" fillId="2" borderId="50" xfId="2" quotePrefix="1" applyNumberFormat="1" applyFont="1" applyFill="1" applyBorder="1" applyAlignment="1">
      <alignment horizontal="left" vertical="top" wrapText="1"/>
    </xf>
    <xf numFmtId="0" fontId="27" fillId="2" borderId="50" xfId="2" applyNumberFormat="1" applyFont="1" applyFill="1" applyBorder="1" applyAlignment="1">
      <alignment horizontal="left" wrapText="1"/>
    </xf>
    <xf numFmtId="49" fontId="23" fillId="0" borderId="0" xfId="0" applyNumberFormat="1" applyFont="1" applyAlignment="1">
      <alignment horizontal="center"/>
    </xf>
    <xf numFmtId="0" fontId="12" fillId="2" borderId="50" xfId="2" quotePrefix="1" applyNumberFormat="1" applyFont="1" applyFill="1" applyBorder="1" applyAlignment="1">
      <alignment horizontal="left" wrapText="1"/>
    </xf>
    <xf numFmtId="0" fontId="12" fillId="2" borderId="50" xfId="2" quotePrefix="1" applyNumberFormat="1" applyFont="1" applyFill="1" applyBorder="1" applyAlignment="1">
      <alignment horizontal="left"/>
    </xf>
    <xf numFmtId="0" fontId="12" fillId="2" borderId="51" xfId="2" quotePrefix="1" applyNumberFormat="1" applyFont="1" applyFill="1" applyBorder="1" applyAlignment="1">
      <alignment horizontal="left"/>
    </xf>
    <xf numFmtId="0" fontId="14" fillId="2" borderId="8" xfId="2" quotePrefix="1" applyNumberFormat="1" applyFont="1" applyFill="1" applyBorder="1" applyAlignment="1">
      <alignment horizontal="left" vertical="justify"/>
    </xf>
    <xf numFmtId="0" fontId="12" fillId="2" borderId="8" xfId="2" quotePrefix="1" applyNumberFormat="1" applyFont="1" applyFill="1" applyBorder="1" applyAlignment="1">
      <alignment horizontal="left" vertical="top"/>
    </xf>
    <xf numFmtId="0" fontId="12" fillId="2" borderId="8" xfId="2" applyNumberFormat="1" applyFont="1" applyFill="1" applyBorder="1" applyAlignment="1">
      <alignment horizontal="left" vertical="top"/>
    </xf>
    <xf numFmtId="0" fontId="3" fillId="2" borderId="0" xfId="2" applyNumberFormat="1" applyFont="1" applyFill="1" applyBorder="1" applyAlignment="1">
      <alignment horizontal="left" wrapText="1"/>
    </xf>
    <xf numFmtId="0" fontId="3" fillId="2" borderId="0" xfId="2" applyNumberFormat="1" applyFont="1" applyFill="1" applyBorder="1" applyAlignment="1">
      <alignment horizontal="left"/>
    </xf>
    <xf numFmtId="0" fontId="12" fillId="2" borderId="0" xfId="2" applyNumberFormat="1" applyFont="1" applyFill="1" applyBorder="1" applyAlignment="1">
      <alignment horizontal="left" wrapText="1"/>
    </xf>
    <xf numFmtId="0" fontId="12" fillId="2" borderId="0" xfId="2" applyNumberFormat="1" applyFont="1" applyFill="1" applyBorder="1" applyAlignment="1">
      <alignment horizontal="left"/>
    </xf>
    <xf numFmtId="0" fontId="12" fillId="2" borderId="50" xfId="2" applyNumberFormat="1" applyFont="1" applyFill="1" applyBorder="1" applyAlignment="1">
      <alignment horizontal="left" vertical="top" wrapText="1"/>
    </xf>
    <xf numFmtId="0" fontId="12" fillId="2" borderId="0" xfId="2" applyNumberFormat="1" applyFont="1" applyFill="1" applyBorder="1" applyAlignment="1">
      <alignment horizontal="left" vertical="top" wrapText="1"/>
    </xf>
    <xf numFmtId="0" fontId="12" fillId="2" borderId="0" xfId="2" applyNumberFormat="1" applyFont="1" applyFill="1" applyBorder="1" applyAlignment="1">
      <alignment horizontal="left" vertical="top"/>
    </xf>
    <xf numFmtId="0" fontId="12" fillId="7" borderId="0" xfId="1" applyNumberFormat="1" applyFont="1" applyFill="1" applyBorder="1" applyAlignment="1">
      <alignment horizontal="left" vertical="center" wrapText="1"/>
    </xf>
    <xf numFmtId="0" fontId="12" fillId="0" borderId="0" xfId="0" applyFont="1" applyBorder="1" applyAlignment="1">
      <alignment horizontal="left" vertical="center" wrapText="1"/>
    </xf>
    <xf numFmtId="0" fontId="12" fillId="2" borderId="50" xfId="3" applyNumberFormat="1" applyFont="1" applyFill="1" applyBorder="1" applyAlignment="1">
      <alignment horizontal="left" wrapText="1"/>
    </xf>
    <xf numFmtId="0" fontId="12" fillId="0" borderId="30" xfId="3" applyFont="1" applyBorder="1" applyAlignment="1">
      <alignment horizontal="left" wrapText="1"/>
    </xf>
    <xf numFmtId="0" fontId="12" fillId="0" borderId="29" xfId="3" applyFont="1" applyBorder="1" applyAlignment="1">
      <alignment horizontal="left" wrapText="1"/>
    </xf>
    <xf numFmtId="0" fontId="12" fillId="0" borderId="38" xfId="3" applyFont="1" applyBorder="1" applyAlignment="1">
      <alignment horizontal="left" wrapText="1"/>
    </xf>
    <xf numFmtId="0" fontId="12" fillId="2" borderId="54" xfId="2" applyNumberFormat="1" applyFont="1" applyFill="1" applyBorder="1" applyAlignment="1">
      <alignment horizontal="left" wrapText="1"/>
    </xf>
    <xf numFmtId="0" fontId="12" fillId="2" borderId="55" xfId="2" applyNumberFormat="1" applyFont="1" applyFill="1" applyBorder="1" applyAlignment="1">
      <alignment horizontal="left" wrapText="1"/>
    </xf>
    <xf numFmtId="0" fontId="12" fillId="2" borderId="54" xfId="2" applyNumberFormat="1" applyFont="1" applyFill="1" applyBorder="1" applyAlignment="1">
      <alignment horizontal="left"/>
    </xf>
    <xf numFmtId="0" fontId="12" fillId="2" borderId="55" xfId="2" applyNumberFormat="1" applyFont="1" applyFill="1" applyBorder="1" applyAlignment="1">
      <alignment horizontal="left"/>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1" fillId="3" borderId="43" xfId="0" applyNumberFormat="1" applyFont="1" applyFill="1" applyBorder="1"/>
    <xf numFmtId="0" fontId="11" fillId="3" borderId="44" xfId="0" applyFont="1" applyFill="1" applyBorder="1" applyAlignment="1">
      <alignment wrapText="1"/>
    </xf>
    <xf numFmtId="43" fontId="11" fillId="3" borderId="44" xfId="1" applyNumberFormat="1" applyFont="1" applyFill="1" applyBorder="1"/>
    <xf numFmtId="43" fontId="11" fillId="3" borderId="44" xfId="1" applyFont="1" applyFill="1" applyBorder="1"/>
    <xf numFmtId="43" fontId="11" fillId="3" borderId="45" xfId="1" applyFont="1" applyFill="1" applyBorder="1"/>
    <xf numFmtId="49" fontId="11" fillId="0" borderId="43" xfId="0" applyNumberFormat="1" applyFont="1" applyBorder="1"/>
    <xf numFmtId="0" fontId="10" fillId="0" borderId="44" xfId="0" applyFont="1" applyBorder="1" applyAlignment="1">
      <alignment wrapText="1"/>
    </xf>
    <xf numFmtId="49" fontId="14" fillId="2" borderId="43" xfId="2" applyNumberFormat="1" applyFont="1" applyFill="1" applyBorder="1" applyAlignment="1">
      <alignment horizontal="center"/>
    </xf>
    <xf numFmtId="49" fontId="33" fillId="2" borderId="43" xfId="2" applyNumberFormat="1" applyFont="1" applyFill="1" applyBorder="1" applyAlignment="1">
      <alignment horizontal="center" vertical="top"/>
    </xf>
    <xf numFmtId="0" fontId="33" fillId="0" borderId="44" xfId="3" applyFont="1" applyBorder="1" applyAlignment="1">
      <alignment horizontal="left" wrapText="1"/>
    </xf>
    <xf numFmtId="0" fontId="31" fillId="0" borderId="44" xfId="0" applyFont="1" applyBorder="1" applyAlignment="1">
      <alignment horizontal="center"/>
    </xf>
    <xf numFmtId="43" fontId="3" fillId="3" borderId="44" xfId="1" applyNumberFormat="1" applyFont="1" applyFill="1" applyBorder="1" applyAlignment="1">
      <alignment horizontal="center"/>
    </xf>
    <xf numFmtId="43" fontId="3" fillId="2" borderId="44" xfId="1" applyFont="1" applyFill="1" applyBorder="1" applyAlignment="1">
      <alignment horizontal="center"/>
    </xf>
    <xf numFmtId="43" fontId="31" fillId="0" borderId="44" xfId="1" applyFont="1" applyBorder="1"/>
    <xf numFmtId="43" fontId="31" fillId="0" borderId="45" xfId="1" applyFont="1" applyBorder="1"/>
    <xf numFmtId="49" fontId="3" fillId="2" borderId="43" xfId="2" applyNumberFormat="1" applyFont="1" applyFill="1" applyBorder="1" applyAlignment="1">
      <alignment horizontal="center" vertical="top"/>
    </xf>
    <xf numFmtId="0" fontId="3" fillId="0" borderId="44" xfId="3" applyFont="1" applyBorder="1" applyAlignment="1">
      <alignment horizontal="left" wrapText="1"/>
    </xf>
    <xf numFmtId="0" fontId="3" fillId="0" borderId="44" xfId="3" applyFont="1" applyFill="1" applyBorder="1" applyAlignment="1">
      <alignment horizontal="center"/>
    </xf>
    <xf numFmtId="0" fontId="12" fillId="2" borderId="43" xfId="2" applyNumberFormat="1" applyFont="1" applyFill="1" applyBorder="1" applyAlignment="1">
      <alignment horizontal="center" vertical="justify"/>
    </xf>
    <xf numFmtId="49" fontId="12" fillId="3" borderId="43" xfId="2" applyNumberFormat="1" applyFont="1" applyFill="1" applyBorder="1" applyAlignment="1">
      <alignment horizontal="center" vertical="justify"/>
    </xf>
    <xf numFmtId="0" fontId="12" fillId="3" borderId="44" xfId="3" applyFont="1" applyFill="1" applyBorder="1" applyAlignment="1">
      <alignment horizontal="left" wrapText="1"/>
    </xf>
    <xf numFmtId="0" fontId="12" fillId="3" borderId="44" xfId="3" applyFont="1" applyFill="1" applyBorder="1" applyAlignment="1">
      <alignment horizontal="center"/>
    </xf>
    <xf numFmtId="43" fontId="12" fillId="0" borderId="44" xfId="1" applyFont="1" applyBorder="1"/>
    <xf numFmtId="168" fontId="29" fillId="0" borderId="43" xfId="2" quotePrefix="1" applyNumberFormat="1" applyFont="1" applyFill="1" applyBorder="1" applyAlignment="1">
      <alignment horizontal="right" vertical="top"/>
    </xf>
    <xf numFmtId="0" fontId="12" fillId="0" borderId="44" xfId="0" applyFont="1" applyFill="1" applyBorder="1" applyAlignment="1">
      <alignment horizontal="left" vertical="top" wrapText="1"/>
    </xf>
    <xf numFmtId="43" fontId="9" fillId="2" borderId="56" xfId="0" applyNumberFormat="1" applyFont="1" applyFill="1" applyBorder="1" applyAlignment="1">
      <alignment horizontal="center"/>
    </xf>
    <xf numFmtId="43" fontId="9" fillId="2" borderId="57" xfId="0" applyNumberFormat="1" applyFont="1" applyFill="1" applyBorder="1" applyAlignment="1">
      <alignment horizontal="center"/>
    </xf>
    <xf numFmtId="43" fontId="9" fillId="2" borderId="58" xfId="0" applyNumberFormat="1" applyFont="1" applyFill="1" applyBorder="1" applyAlignment="1">
      <alignment horizontal="center"/>
    </xf>
    <xf numFmtId="49" fontId="3" fillId="2" borderId="59" xfId="0" applyNumberFormat="1" applyFont="1" applyFill="1" applyBorder="1"/>
    <xf numFmtId="0" fontId="9" fillId="2" borderId="60" xfId="0" applyFont="1" applyFill="1" applyBorder="1" applyAlignment="1">
      <alignment horizontal="center"/>
    </xf>
    <xf numFmtId="49" fontId="3" fillId="2" borderId="61" xfId="0" applyNumberFormat="1" applyFont="1" applyFill="1" applyBorder="1"/>
    <xf numFmtId="0" fontId="9" fillId="2" borderId="62" xfId="0" applyFont="1" applyFill="1" applyBorder="1" applyAlignment="1">
      <alignment horizontal="center"/>
    </xf>
    <xf numFmtId="49" fontId="3" fillId="2" borderId="63" xfId="0" applyNumberFormat="1" applyFont="1" applyFill="1" applyBorder="1"/>
    <xf numFmtId="0" fontId="9" fillId="2" borderId="64" xfId="0" applyFont="1" applyFill="1" applyBorder="1" applyAlignment="1">
      <alignment horizontal="center"/>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65"/>
  <sheetViews>
    <sheetView tabSelected="1" view="pageBreakPreview" topLeftCell="A205" zoomScaleNormal="100" zoomScaleSheetLayoutView="100" workbookViewId="0">
      <selection activeCell="D29" sqref="D29"/>
    </sheetView>
  </sheetViews>
  <sheetFormatPr defaultRowHeight="12" x14ac:dyDescent="0.2"/>
  <cols>
    <col min="1" max="1" width="5.140625" style="56" customWidth="1"/>
    <col min="2" max="2" width="38.5703125" style="19" customWidth="1"/>
    <col min="3" max="3" width="5" style="20" customWidth="1"/>
    <col min="4" max="4" width="8.5703125" style="21" customWidth="1"/>
    <col min="5" max="5" width="10.42578125" style="22" customWidth="1"/>
    <col min="6" max="6" width="11.5703125" style="22" customWidth="1"/>
    <col min="7" max="7" width="12.42578125" style="22" customWidth="1"/>
    <col min="8" max="8" width="4.5703125" style="19" customWidth="1"/>
    <col min="9" max="9" width="15" style="19" customWidth="1"/>
    <col min="10" max="10" width="10.42578125" style="19" customWidth="1"/>
    <col min="11" max="11" width="8.42578125" style="19" customWidth="1"/>
    <col min="12" max="12" width="13.85546875" style="19" customWidth="1"/>
    <col min="13" max="13" width="8.28515625" style="19" customWidth="1"/>
    <col min="14" max="14" width="7.7109375" style="19" customWidth="1"/>
    <col min="15" max="15" width="10.7109375" style="19" customWidth="1"/>
    <col min="16" max="16384" width="9.140625" style="19"/>
  </cols>
  <sheetData>
    <row r="1" spans="1:10" s="46" customFormat="1" ht="18.75" customHeight="1" x14ac:dyDescent="0.25">
      <c r="A1" s="612" t="s">
        <v>539</v>
      </c>
      <c r="B1" s="612"/>
      <c r="C1" s="612"/>
      <c r="D1" s="612"/>
      <c r="E1" s="612"/>
      <c r="F1" s="612"/>
      <c r="G1" s="612"/>
    </row>
    <row r="3" spans="1:10" s="23" customFormat="1" ht="24" x14ac:dyDescent="0.25">
      <c r="A3" s="397" t="s">
        <v>0</v>
      </c>
      <c r="B3" s="398" t="s">
        <v>1</v>
      </c>
      <c r="C3" s="398" t="s">
        <v>2</v>
      </c>
      <c r="D3" s="399" t="s">
        <v>3</v>
      </c>
      <c r="E3" s="154" t="s">
        <v>4</v>
      </c>
      <c r="F3" s="154" t="s">
        <v>5</v>
      </c>
      <c r="G3" s="155" t="s">
        <v>6</v>
      </c>
    </row>
    <row r="4" spans="1:10" s="23" customFormat="1" x14ac:dyDescent="0.2">
      <c r="A4" s="38"/>
      <c r="B4" s="225" t="s">
        <v>19</v>
      </c>
      <c r="C4" s="244"/>
      <c r="D4" s="242"/>
      <c r="E4" s="105"/>
      <c r="F4" s="34"/>
      <c r="G4" s="35"/>
      <c r="I4" s="75"/>
      <c r="J4" s="74"/>
    </row>
    <row r="5" spans="1:10" s="23" customFormat="1" x14ac:dyDescent="0.2">
      <c r="A5" s="38"/>
      <c r="B5" s="156" t="s">
        <v>20</v>
      </c>
      <c r="C5" s="244"/>
      <c r="D5" s="242"/>
      <c r="E5" s="105"/>
      <c r="F5" s="34"/>
      <c r="G5" s="35"/>
    </row>
    <row r="6" spans="1:10" s="23" customFormat="1" x14ac:dyDescent="0.2">
      <c r="A6" s="38"/>
      <c r="B6" s="400"/>
      <c r="C6" s="244"/>
      <c r="D6" s="242"/>
      <c r="E6" s="105"/>
      <c r="F6" s="34"/>
      <c r="G6" s="35"/>
    </row>
    <row r="7" spans="1:10" s="23" customFormat="1" x14ac:dyDescent="0.2">
      <c r="A7" s="38">
        <v>1.1000000000000001</v>
      </c>
      <c r="B7" s="243" t="s">
        <v>21</v>
      </c>
      <c r="C7" s="244"/>
      <c r="D7" s="242"/>
      <c r="E7" s="105"/>
      <c r="F7" s="34"/>
      <c r="G7" s="35"/>
    </row>
    <row r="8" spans="1:10" s="23" customFormat="1" x14ac:dyDescent="0.2">
      <c r="A8" s="401" t="s">
        <v>7</v>
      </c>
      <c r="B8" s="402" t="s">
        <v>22</v>
      </c>
      <c r="C8" s="244"/>
      <c r="D8" s="242"/>
      <c r="E8" s="105"/>
      <c r="F8" s="34"/>
      <c r="G8" s="35"/>
    </row>
    <row r="9" spans="1:10" s="23" customFormat="1" x14ac:dyDescent="0.2">
      <c r="A9" s="38"/>
      <c r="B9" s="227" t="s">
        <v>23</v>
      </c>
      <c r="C9" s="244"/>
      <c r="D9" s="242"/>
      <c r="E9" s="105"/>
      <c r="F9" s="34"/>
      <c r="G9" s="35"/>
    </row>
    <row r="10" spans="1:10" s="23" customFormat="1" x14ac:dyDescent="0.2">
      <c r="A10" s="38"/>
      <c r="B10" s="227" t="s">
        <v>24</v>
      </c>
      <c r="C10" s="244"/>
      <c r="D10" s="242"/>
      <c r="E10" s="105"/>
      <c r="F10" s="34"/>
      <c r="G10" s="35"/>
    </row>
    <row r="11" spans="1:10" s="23" customFormat="1" x14ac:dyDescent="0.2">
      <c r="A11" s="38"/>
      <c r="B11" s="227" t="s">
        <v>25</v>
      </c>
      <c r="C11" s="244"/>
      <c r="D11" s="242"/>
      <c r="E11" s="105"/>
      <c r="F11" s="34"/>
      <c r="G11" s="35"/>
    </row>
    <row r="12" spans="1:10" s="23" customFormat="1" x14ac:dyDescent="0.2">
      <c r="A12" s="38"/>
      <c r="B12" s="227" t="s">
        <v>26</v>
      </c>
      <c r="C12" s="244"/>
      <c r="D12" s="242"/>
      <c r="E12" s="105"/>
      <c r="F12" s="34"/>
      <c r="G12" s="35"/>
    </row>
    <row r="13" spans="1:10" s="23" customFormat="1" x14ac:dyDescent="0.2">
      <c r="A13" s="38"/>
      <c r="B13" s="227" t="s">
        <v>23</v>
      </c>
      <c r="C13" s="244"/>
      <c r="D13" s="242"/>
      <c r="E13" s="105"/>
      <c r="F13" s="34"/>
      <c r="G13" s="35"/>
    </row>
    <row r="14" spans="1:10" s="23" customFormat="1" x14ac:dyDescent="0.2">
      <c r="A14" s="38"/>
      <c r="B14" s="227" t="s">
        <v>27</v>
      </c>
      <c r="C14" s="244"/>
      <c r="D14" s="242"/>
      <c r="E14" s="105"/>
      <c r="F14" s="34"/>
      <c r="G14" s="35"/>
    </row>
    <row r="15" spans="1:10" s="23" customFormat="1" x14ac:dyDescent="0.2">
      <c r="A15" s="38"/>
      <c r="B15" s="227" t="s">
        <v>28</v>
      </c>
      <c r="C15" s="244"/>
      <c r="D15" s="242"/>
      <c r="E15" s="105"/>
      <c r="F15" s="34"/>
      <c r="G15" s="35"/>
    </row>
    <row r="16" spans="1:10" s="23" customFormat="1" x14ac:dyDescent="0.2">
      <c r="A16" s="38"/>
      <c r="B16" s="227" t="s">
        <v>29</v>
      </c>
      <c r="C16" s="244"/>
      <c r="D16" s="242"/>
      <c r="E16" s="105"/>
      <c r="F16" s="34"/>
      <c r="G16" s="35"/>
    </row>
    <row r="17" spans="1:7" s="23" customFormat="1" x14ac:dyDescent="0.2">
      <c r="A17" s="38"/>
      <c r="B17" s="227" t="s">
        <v>30</v>
      </c>
      <c r="C17" s="244"/>
      <c r="D17" s="242"/>
      <c r="E17" s="105"/>
      <c r="F17" s="34"/>
      <c r="G17" s="35"/>
    </row>
    <row r="18" spans="1:7" s="23" customFormat="1" x14ac:dyDescent="0.2">
      <c r="A18" s="38"/>
      <c r="B18" s="227" t="s">
        <v>31</v>
      </c>
      <c r="C18" s="244"/>
      <c r="D18" s="242"/>
      <c r="E18" s="105"/>
      <c r="F18" s="34"/>
      <c r="G18" s="35"/>
    </row>
    <row r="19" spans="1:7" s="23" customFormat="1" x14ac:dyDescent="0.2">
      <c r="A19" s="38"/>
      <c r="B19" s="227" t="s">
        <v>32</v>
      </c>
      <c r="C19" s="244"/>
      <c r="D19" s="242"/>
      <c r="E19" s="105"/>
      <c r="F19" s="34"/>
      <c r="G19" s="35"/>
    </row>
    <row r="20" spans="1:7" s="23" customFormat="1" x14ac:dyDescent="0.2">
      <c r="A20" s="38"/>
      <c r="B20" s="227"/>
      <c r="C20" s="244"/>
      <c r="D20" s="242"/>
      <c r="E20" s="105"/>
      <c r="F20" s="34"/>
      <c r="G20" s="35"/>
    </row>
    <row r="21" spans="1:7" s="23" customFormat="1" x14ac:dyDescent="0.2">
      <c r="A21" s="401">
        <v>1.2</v>
      </c>
      <c r="B21" s="226" t="s">
        <v>33</v>
      </c>
      <c r="C21" s="39"/>
      <c r="D21" s="40"/>
      <c r="E21" s="105"/>
      <c r="F21" s="34"/>
      <c r="G21" s="35"/>
    </row>
    <row r="22" spans="1:7" s="23" customFormat="1" ht="51.75" customHeight="1" x14ac:dyDescent="0.2">
      <c r="A22" s="38" t="s">
        <v>7</v>
      </c>
      <c r="B22" s="366" t="s">
        <v>34</v>
      </c>
      <c r="C22" s="39" t="s">
        <v>0</v>
      </c>
      <c r="D22" s="40">
        <v>1</v>
      </c>
      <c r="E22" s="105"/>
      <c r="F22" s="180">
        <f>E22*20%</f>
        <v>0</v>
      </c>
      <c r="G22" s="166">
        <f>(D22*E22)+(D22*F22)</f>
        <v>0</v>
      </c>
    </row>
    <row r="23" spans="1:7" s="23" customFormat="1" x14ac:dyDescent="0.2">
      <c r="A23" s="401"/>
      <c r="B23" s="366"/>
      <c r="C23" s="39"/>
      <c r="D23" s="40"/>
      <c r="E23" s="105"/>
      <c r="F23" s="180"/>
      <c r="G23" s="166">
        <f t="shared" ref="G23:G31" si="0">(D23*E23)+(D23*F23)</f>
        <v>0</v>
      </c>
    </row>
    <row r="24" spans="1:7" s="23" customFormat="1" x14ac:dyDescent="0.2">
      <c r="A24" s="38">
        <v>1.3</v>
      </c>
      <c r="B24" s="226" t="s">
        <v>35</v>
      </c>
      <c r="C24" s="39"/>
      <c r="D24" s="40"/>
      <c r="E24" s="105"/>
      <c r="F24" s="180"/>
      <c r="G24" s="166">
        <f t="shared" si="0"/>
        <v>0</v>
      </c>
    </row>
    <row r="25" spans="1:7" s="23" customFormat="1" x14ac:dyDescent="0.2">
      <c r="A25" s="38" t="s">
        <v>7</v>
      </c>
      <c r="B25" s="403" t="s">
        <v>36</v>
      </c>
      <c r="C25" s="39" t="s">
        <v>37</v>
      </c>
      <c r="D25" s="40">
        <v>1</v>
      </c>
      <c r="E25" s="105"/>
      <c r="F25" s="180">
        <f>E25*20%</f>
        <v>0</v>
      </c>
      <c r="G25" s="166">
        <f t="shared" si="0"/>
        <v>0</v>
      </c>
    </row>
    <row r="26" spans="1:7" s="23" customFormat="1" x14ac:dyDescent="0.2">
      <c r="A26" s="38"/>
      <c r="B26" s="403"/>
      <c r="C26" s="39"/>
      <c r="D26" s="40"/>
      <c r="E26" s="105"/>
      <c r="F26" s="180"/>
      <c r="G26" s="166">
        <f t="shared" si="0"/>
        <v>0</v>
      </c>
    </row>
    <row r="27" spans="1:7" s="23" customFormat="1" x14ac:dyDescent="0.2">
      <c r="A27" s="38" t="s">
        <v>184</v>
      </c>
      <c r="B27" s="404" t="s">
        <v>185</v>
      </c>
      <c r="C27" s="39"/>
      <c r="D27" s="40"/>
      <c r="E27" s="105"/>
      <c r="F27" s="180"/>
      <c r="G27" s="166">
        <f t="shared" si="0"/>
        <v>0</v>
      </c>
    </row>
    <row r="28" spans="1:7" s="23" customFormat="1" ht="36" customHeight="1" x14ac:dyDescent="0.2">
      <c r="A28" s="38" t="s">
        <v>7</v>
      </c>
      <c r="B28" s="169" t="s">
        <v>508</v>
      </c>
      <c r="C28" s="39" t="s">
        <v>0</v>
      </c>
      <c r="D28" s="40">
        <v>1</v>
      </c>
      <c r="E28" s="105"/>
      <c r="F28" s="180">
        <f>E28*20%</f>
        <v>0</v>
      </c>
      <c r="G28" s="166">
        <f t="shared" si="0"/>
        <v>0</v>
      </c>
    </row>
    <row r="29" spans="1:7" s="23" customFormat="1" x14ac:dyDescent="0.2">
      <c r="A29" s="38"/>
      <c r="B29" s="403"/>
      <c r="C29" s="39"/>
      <c r="D29" s="40"/>
      <c r="E29" s="105"/>
      <c r="F29" s="180">
        <f>E29*20%</f>
        <v>0</v>
      </c>
      <c r="G29" s="166">
        <f t="shared" si="0"/>
        <v>0</v>
      </c>
    </row>
    <row r="30" spans="1:7" s="23" customFormat="1" x14ac:dyDescent="0.2">
      <c r="A30" s="194" t="s">
        <v>199</v>
      </c>
      <c r="B30" s="405" t="s">
        <v>38</v>
      </c>
      <c r="C30" s="406"/>
      <c r="D30" s="407"/>
      <c r="E30" s="105"/>
      <c r="F30" s="180">
        <f>E30*20%</f>
        <v>0</v>
      </c>
      <c r="G30" s="166">
        <f t="shared" si="0"/>
        <v>0</v>
      </c>
    </row>
    <row r="31" spans="1:7" s="23" customFormat="1" ht="27.75" customHeight="1" x14ac:dyDescent="0.2">
      <c r="A31" s="38" t="s">
        <v>7</v>
      </c>
      <c r="B31" s="408" t="s">
        <v>39</v>
      </c>
      <c r="C31" s="39" t="s">
        <v>0</v>
      </c>
      <c r="D31" s="40">
        <v>1</v>
      </c>
      <c r="E31" s="105"/>
      <c r="F31" s="180">
        <f>E31*45%</f>
        <v>0</v>
      </c>
      <c r="G31" s="166">
        <f t="shared" si="0"/>
        <v>0</v>
      </c>
    </row>
    <row r="32" spans="1:7" s="23" customFormat="1" x14ac:dyDescent="0.2">
      <c r="A32" s="401"/>
      <c r="B32" s="408"/>
      <c r="C32" s="39"/>
      <c r="D32" s="40"/>
      <c r="E32" s="105"/>
      <c r="F32" s="34"/>
      <c r="G32" s="35"/>
    </row>
    <row r="33" spans="1:7" s="23" customFormat="1" x14ac:dyDescent="0.2">
      <c r="A33" s="401"/>
      <c r="B33" s="408"/>
      <c r="C33" s="39"/>
      <c r="D33" s="40"/>
      <c r="E33" s="105"/>
      <c r="F33" s="34"/>
      <c r="G33" s="35"/>
    </row>
    <row r="34" spans="1:7" s="23" customFormat="1" x14ac:dyDescent="0.2">
      <c r="A34" s="401"/>
      <c r="B34" s="408"/>
      <c r="C34" s="39"/>
      <c r="D34" s="40"/>
      <c r="E34" s="105"/>
      <c r="F34" s="34"/>
      <c r="G34" s="35"/>
    </row>
    <row r="35" spans="1:7" s="23" customFormat="1" x14ac:dyDescent="0.2">
      <c r="A35" s="401"/>
      <c r="B35" s="408"/>
      <c r="C35" s="39"/>
      <c r="D35" s="40"/>
      <c r="E35" s="105"/>
      <c r="F35" s="34"/>
      <c r="G35" s="35"/>
    </row>
    <row r="36" spans="1:7" s="23" customFormat="1" x14ac:dyDescent="0.2">
      <c r="A36" s="401"/>
      <c r="B36" s="408"/>
      <c r="C36" s="39"/>
      <c r="D36" s="40"/>
      <c r="E36" s="105"/>
      <c r="F36" s="34"/>
      <c r="G36" s="35"/>
    </row>
    <row r="37" spans="1:7" s="23" customFormat="1" x14ac:dyDescent="0.2">
      <c r="A37" s="401"/>
      <c r="B37" s="408"/>
      <c r="C37" s="39"/>
      <c r="D37" s="40"/>
      <c r="E37" s="105"/>
      <c r="F37" s="34"/>
      <c r="G37" s="35"/>
    </row>
    <row r="38" spans="1:7" s="23" customFormat="1" x14ac:dyDescent="0.2">
      <c r="A38" s="401"/>
      <c r="B38" s="408"/>
      <c r="C38" s="39"/>
      <c r="D38" s="40"/>
      <c r="E38" s="105"/>
      <c r="F38" s="34"/>
      <c r="G38" s="35"/>
    </row>
    <row r="39" spans="1:7" s="23" customFormat="1" x14ac:dyDescent="0.2">
      <c r="A39" s="401"/>
      <c r="B39" s="408"/>
      <c r="C39" s="39"/>
      <c r="D39" s="40"/>
      <c r="E39" s="105"/>
      <c r="F39" s="34"/>
      <c r="G39" s="35"/>
    </row>
    <row r="40" spans="1:7" s="23" customFormat="1" x14ac:dyDescent="0.2">
      <c r="A40" s="401"/>
      <c r="B40" s="408"/>
      <c r="C40" s="39"/>
      <c r="D40" s="40"/>
      <c r="E40" s="105"/>
      <c r="F40" s="34"/>
      <c r="G40" s="35"/>
    </row>
    <row r="41" spans="1:7" s="23" customFormat="1" x14ac:dyDescent="0.2">
      <c r="A41" s="401"/>
      <c r="B41" s="408"/>
      <c r="C41" s="39"/>
      <c r="D41" s="40"/>
      <c r="E41" s="105"/>
      <c r="F41" s="34"/>
      <c r="G41" s="35"/>
    </row>
    <row r="42" spans="1:7" s="23" customFormat="1" x14ac:dyDescent="0.2">
      <c r="A42" s="401"/>
      <c r="B42" s="408"/>
      <c r="C42" s="39"/>
      <c r="D42" s="40"/>
      <c r="E42" s="105"/>
      <c r="F42" s="34"/>
      <c r="G42" s="35"/>
    </row>
    <row r="43" spans="1:7" s="23" customFormat="1" x14ac:dyDescent="0.2">
      <c r="A43" s="401"/>
      <c r="B43" s="408"/>
      <c r="C43" s="39"/>
      <c r="D43" s="40"/>
      <c r="E43" s="105"/>
      <c r="F43" s="34"/>
      <c r="G43" s="35"/>
    </row>
    <row r="44" spans="1:7" s="23" customFormat="1" x14ac:dyDescent="0.2">
      <c r="A44" s="401"/>
      <c r="B44" s="408"/>
      <c r="C44" s="39"/>
      <c r="D44" s="40"/>
      <c r="E44" s="105"/>
      <c r="F44" s="34"/>
      <c r="G44" s="35"/>
    </row>
    <row r="45" spans="1:7" s="23" customFormat="1" x14ac:dyDescent="0.2">
      <c r="A45" s="401"/>
      <c r="B45" s="408"/>
      <c r="C45" s="39"/>
      <c r="D45" s="40"/>
      <c r="E45" s="105"/>
      <c r="F45" s="34"/>
      <c r="G45" s="35"/>
    </row>
    <row r="46" spans="1:7" s="23" customFormat="1" x14ac:dyDescent="0.2">
      <c r="A46" s="401"/>
      <c r="B46" s="408"/>
      <c r="C46" s="39"/>
      <c r="D46" s="40"/>
      <c r="E46" s="105"/>
      <c r="F46" s="34"/>
      <c r="G46" s="35"/>
    </row>
    <row r="47" spans="1:7" s="23" customFormat="1" x14ac:dyDescent="0.2">
      <c r="A47" s="401"/>
      <c r="B47" s="408"/>
      <c r="C47" s="39"/>
      <c r="D47" s="40"/>
      <c r="E47" s="105"/>
      <c r="F47" s="34"/>
      <c r="G47" s="35"/>
    </row>
    <row r="48" spans="1:7" s="23" customFormat="1" x14ac:dyDescent="0.2">
      <c r="A48" s="401"/>
      <c r="B48" s="408"/>
      <c r="C48" s="39"/>
      <c r="D48" s="40"/>
      <c r="E48" s="105"/>
      <c r="F48" s="34"/>
      <c r="G48" s="35"/>
    </row>
    <row r="49" spans="1:11" s="23" customFormat="1" x14ac:dyDescent="0.2">
      <c r="A49" s="401"/>
      <c r="B49" s="408"/>
      <c r="C49" s="39"/>
      <c r="D49" s="40"/>
      <c r="E49" s="105"/>
      <c r="F49" s="34"/>
      <c r="G49" s="35"/>
    </row>
    <row r="50" spans="1:11" s="23" customFormat="1" x14ac:dyDescent="0.2">
      <c r="A50" s="409"/>
      <c r="B50" s="410"/>
      <c r="C50" s="264"/>
      <c r="D50" s="265"/>
      <c r="E50" s="375"/>
      <c r="F50" s="376"/>
      <c r="G50" s="377"/>
    </row>
    <row r="51" spans="1:11" s="23" customFormat="1" x14ac:dyDescent="0.2">
      <c r="A51" s="290"/>
      <c r="B51" s="291" t="s">
        <v>40</v>
      </c>
      <c r="C51" s="378"/>
      <c r="D51" s="293"/>
      <c r="E51" s="294"/>
      <c r="F51" s="392"/>
      <c r="G51" s="357"/>
    </row>
    <row r="52" spans="1:11" s="23" customFormat="1" x14ac:dyDescent="0.2">
      <c r="A52" s="335"/>
      <c r="B52" s="387" t="s">
        <v>41</v>
      </c>
      <c r="C52" s="395"/>
      <c r="D52" s="389"/>
      <c r="E52" s="390"/>
      <c r="F52" s="393"/>
      <c r="G52" s="396">
        <f>SUM(G22:G51)</f>
        <v>0</v>
      </c>
    </row>
    <row r="53" spans="1:11" s="23" customFormat="1" x14ac:dyDescent="0.2">
      <c r="A53" s="290"/>
      <c r="B53" s="291"/>
      <c r="C53" s="378"/>
      <c r="D53" s="293"/>
      <c r="E53" s="294"/>
      <c r="F53" s="356"/>
      <c r="G53" s="357"/>
    </row>
    <row r="54" spans="1:11" s="23" customFormat="1" x14ac:dyDescent="0.2">
      <c r="A54" s="297"/>
      <c r="B54" s="302" t="s">
        <v>42</v>
      </c>
      <c r="C54" s="321"/>
      <c r="D54" s="94"/>
      <c r="E54" s="300"/>
      <c r="F54" s="358"/>
      <c r="G54" s="359"/>
    </row>
    <row r="55" spans="1:11" s="23" customFormat="1" x14ac:dyDescent="0.2">
      <c r="A55" s="297"/>
      <c r="B55" s="302" t="s">
        <v>43</v>
      </c>
      <c r="C55" s="321"/>
      <c r="D55" s="94"/>
      <c r="E55" s="300"/>
      <c r="F55" s="358"/>
      <c r="G55" s="359"/>
    </row>
    <row r="56" spans="1:11" s="23" customFormat="1" x14ac:dyDescent="0.2">
      <c r="A56" s="297">
        <v>2.1</v>
      </c>
      <c r="B56" s="320" t="s">
        <v>44</v>
      </c>
      <c r="C56" s="321"/>
      <c r="D56" s="94"/>
      <c r="E56" s="300"/>
      <c r="F56" s="358"/>
      <c r="G56" s="359"/>
    </row>
    <row r="57" spans="1:11" s="23" customFormat="1" ht="29.25" customHeight="1" x14ac:dyDescent="0.2">
      <c r="A57" s="335"/>
      <c r="B57" s="613" t="s">
        <v>155</v>
      </c>
      <c r="C57" s="614"/>
      <c r="D57" s="614"/>
      <c r="E57" s="614"/>
      <c r="F57" s="614"/>
      <c r="G57" s="615"/>
    </row>
    <row r="58" spans="1:11" s="23" customFormat="1" x14ac:dyDescent="0.25">
      <c r="A58" s="65"/>
      <c r="B58" s="66"/>
      <c r="C58" s="66"/>
      <c r="D58" s="67"/>
      <c r="E58" s="104"/>
      <c r="F58" s="66"/>
      <c r="G58" s="68"/>
    </row>
    <row r="59" spans="1:11" s="23" customFormat="1" x14ac:dyDescent="0.2">
      <c r="A59" s="38" t="s">
        <v>9</v>
      </c>
      <c r="B59" s="365" t="s">
        <v>60</v>
      </c>
      <c r="C59" s="39"/>
      <c r="D59" s="179"/>
      <c r="E59" s="180"/>
      <c r="F59" s="180"/>
      <c r="G59" s="166">
        <f t="shared" ref="G59:G68" si="1">(D59*E59)+(D59*F59)</f>
        <v>0</v>
      </c>
    </row>
    <row r="60" spans="1:11" s="23" customFormat="1" ht="48.75" customHeight="1" x14ac:dyDescent="0.2">
      <c r="A60" s="38"/>
      <c r="B60" s="366" t="s">
        <v>61</v>
      </c>
      <c r="C60" s="39" t="s">
        <v>45</v>
      </c>
      <c r="D60" s="367">
        <v>320</v>
      </c>
      <c r="E60" s="105"/>
      <c r="F60" s="180"/>
      <c r="G60" s="166">
        <f t="shared" si="1"/>
        <v>0</v>
      </c>
      <c r="J60" s="23">
        <f>7.01+7.315+7.069+6.4</f>
        <v>27.793999999999997</v>
      </c>
      <c r="K60" s="23">
        <f>J60*1.4</f>
        <v>38.911599999999993</v>
      </c>
    </row>
    <row r="61" spans="1:11" s="23" customFormat="1" x14ac:dyDescent="0.2">
      <c r="A61" s="38"/>
      <c r="B61" s="366"/>
      <c r="C61" s="39"/>
      <c r="D61" s="367"/>
      <c r="E61" s="105"/>
      <c r="F61" s="180"/>
      <c r="G61" s="166">
        <f t="shared" si="1"/>
        <v>0</v>
      </c>
    </row>
    <row r="62" spans="1:11" s="23" customFormat="1" x14ac:dyDescent="0.2">
      <c r="A62" s="38" t="s">
        <v>18</v>
      </c>
      <c r="B62" s="164" t="s">
        <v>295</v>
      </c>
      <c r="C62" s="39"/>
      <c r="D62" s="40"/>
      <c r="E62" s="105"/>
      <c r="F62" s="180"/>
      <c r="G62" s="166">
        <f t="shared" si="1"/>
        <v>0</v>
      </c>
    </row>
    <row r="63" spans="1:11" s="23" customFormat="1" ht="39.75" customHeight="1" x14ac:dyDescent="0.2">
      <c r="A63" s="65"/>
      <c r="B63" s="616" t="s">
        <v>297</v>
      </c>
      <c r="C63" s="616"/>
      <c r="D63" s="616"/>
      <c r="E63" s="616"/>
      <c r="F63" s="180"/>
      <c r="G63" s="166">
        <f t="shared" si="1"/>
        <v>0</v>
      </c>
    </row>
    <row r="64" spans="1:11" s="20" customFormat="1" ht="15" x14ac:dyDescent="0.25">
      <c r="A64" s="193" t="s">
        <v>188</v>
      </c>
      <c r="B64" s="368" t="s">
        <v>290</v>
      </c>
      <c r="C64" s="39"/>
      <c r="D64" s="40"/>
      <c r="E64" s="105"/>
      <c r="F64" s="238"/>
      <c r="G64" s="369">
        <f t="shared" si="1"/>
        <v>0</v>
      </c>
      <c r="J64" s="88"/>
    </row>
    <row r="65" spans="1:17" s="23" customFormat="1" x14ac:dyDescent="0.2">
      <c r="A65" s="38" t="s">
        <v>224</v>
      </c>
      <c r="B65" s="165" t="s">
        <v>291</v>
      </c>
      <c r="C65" s="39" t="s">
        <v>46</v>
      </c>
      <c r="D65" s="40">
        <v>62.92</v>
      </c>
      <c r="E65" s="105"/>
      <c r="F65" s="34"/>
      <c r="G65" s="166">
        <f t="shared" si="1"/>
        <v>0</v>
      </c>
      <c r="I65" s="23">
        <f>2.2*2.2*1.3*10</f>
        <v>62.920000000000016</v>
      </c>
    </row>
    <row r="66" spans="1:17" s="23" customFormat="1" x14ac:dyDescent="0.2">
      <c r="A66" s="38" t="s">
        <v>225</v>
      </c>
      <c r="B66" s="165" t="s">
        <v>292</v>
      </c>
      <c r="C66" s="39" t="s">
        <v>46</v>
      </c>
      <c r="D66" s="40">
        <v>26</v>
      </c>
      <c r="E66" s="105"/>
      <c r="F66" s="34"/>
      <c r="G66" s="166">
        <f t="shared" si="1"/>
        <v>0</v>
      </c>
      <c r="I66" s="23">
        <f>2*2*1.3*5</f>
        <v>26</v>
      </c>
    </row>
    <row r="67" spans="1:17" s="23" customFormat="1" x14ac:dyDescent="0.2">
      <c r="A67" s="38" t="s">
        <v>227</v>
      </c>
      <c r="B67" s="165" t="s">
        <v>293</v>
      </c>
      <c r="C67" s="39" t="s">
        <v>46</v>
      </c>
      <c r="D67" s="40">
        <v>3.2</v>
      </c>
      <c r="E67" s="105"/>
      <c r="F67" s="34"/>
      <c r="G67" s="166">
        <f t="shared" si="1"/>
        <v>0</v>
      </c>
      <c r="I67" s="23">
        <f>1.6*1.6*1.25*1</f>
        <v>3.2000000000000006</v>
      </c>
    </row>
    <row r="68" spans="1:17" s="23" customFormat="1" x14ac:dyDescent="0.2">
      <c r="A68" s="38" t="s">
        <v>226</v>
      </c>
      <c r="B68" s="165" t="s">
        <v>294</v>
      </c>
      <c r="C68" s="39" t="s">
        <v>46</v>
      </c>
      <c r="D68" s="40">
        <v>16.5</v>
      </c>
      <c r="E68" s="105"/>
      <c r="F68" s="34"/>
      <c r="G68" s="166">
        <f t="shared" si="1"/>
        <v>0</v>
      </c>
      <c r="I68" s="23">
        <f>1.4*1.4*1.2*7</f>
        <v>16.463999999999995</v>
      </c>
    </row>
    <row r="69" spans="1:17" s="23" customFormat="1" x14ac:dyDescent="0.2">
      <c r="A69" s="38"/>
      <c r="B69" s="165"/>
      <c r="C69" s="39"/>
      <c r="D69" s="40"/>
      <c r="E69" s="105"/>
      <c r="F69" s="34"/>
      <c r="G69" s="166"/>
    </row>
    <row r="70" spans="1:17" s="23" customFormat="1" x14ac:dyDescent="0.2">
      <c r="A70" s="193" t="s">
        <v>189</v>
      </c>
      <c r="B70" s="368" t="s">
        <v>296</v>
      </c>
      <c r="C70" s="39"/>
      <c r="D70" s="40"/>
      <c r="E70" s="105"/>
      <c r="F70" s="238"/>
      <c r="G70" s="369">
        <f t="shared" ref="G70:G71" si="2">(D70*E70)+(D70*F70)</f>
        <v>0</v>
      </c>
    </row>
    <row r="71" spans="1:17" s="23" customFormat="1" x14ac:dyDescent="0.2">
      <c r="A71" s="38" t="s">
        <v>224</v>
      </c>
      <c r="B71" s="370" t="s">
        <v>303</v>
      </c>
      <c r="C71" s="39" t="s">
        <v>46</v>
      </c>
      <c r="D71" s="40">
        <v>38.299999999999997</v>
      </c>
      <c r="E71" s="105"/>
      <c r="F71" s="104"/>
      <c r="G71" s="369">
        <f t="shared" si="2"/>
        <v>0</v>
      </c>
      <c r="I71" s="23">
        <f>0.77+1.9+1.8+1.8+1.8+1.05</f>
        <v>9.120000000000001</v>
      </c>
      <c r="J71" s="23">
        <f>6+1.8</f>
        <v>7.8</v>
      </c>
      <c r="K71" s="23">
        <f>2.05+2.6+2.6+2.6+2.6+1.27</f>
        <v>13.719999999999999</v>
      </c>
      <c r="L71" s="23">
        <f>(1.7+5.8)*4</f>
        <v>30</v>
      </c>
      <c r="M71" s="23">
        <f>1.7+2.23+1.47</f>
        <v>5.3999999999999995</v>
      </c>
      <c r="N71" s="23">
        <f>1.05+1.8+1.8+1.8+1.8+0.27</f>
        <v>8.52</v>
      </c>
      <c r="O71" s="23">
        <f>1.8+2.43+1.77</f>
        <v>6</v>
      </c>
      <c r="P71" s="23">
        <f>SUM(I71:O71)</f>
        <v>80.56</v>
      </c>
      <c r="Q71" s="23">
        <f>P71*0.5*0.95</f>
        <v>38.265999999999998</v>
      </c>
    </row>
    <row r="72" spans="1:17" s="23" customFormat="1" x14ac:dyDescent="0.2">
      <c r="A72" s="38"/>
      <c r="B72" s="165"/>
      <c r="C72" s="39"/>
      <c r="D72" s="40"/>
      <c r="E72" s="105"/>
      <c r="F72" s="34"/>
      <c r="G72" s="166"/>
    </row>
    <row r="73" spans="1:17" s="23" customFormat="1" x14ac:dyDescent="0.2">
      <c r="A73" s="38" t="s">
        <v>47</v>
      </c>
      <c r="B73" s="371" t="s">
        <v>48</v>
      </c>
      <c r="C73" s="39"/>
      <c r="D73" s="40"/>
      <c r="E73" s="105"/>
      <c r="F73" s="34"/>
      <c r="G73" s="35"/>
    </row>
    <row r="74" spans="1:17" s="23" customFormat="1" ht="15" customHeight="1" x14ac:dyDescent="0.25">
      <c r="A74" s="38"/>
      <c r="B74" s="617" t="s">
        <v>49</v>
      </c>
      <c r="C74" s="617"/>
      <c r="D74" s="617"/>
      <c r="E74" s="617"/>
      <c r="F74" s="34"/>
      <c r="G74" s="35"/>
    </row>
    <row r="75" spans="1:17" s="23" customFormat="1" ht="15" customHeight="1" x14ac:dyDescent="0.25">
      <c r="A75" s="38"/>
      <c r="B75" s="618" t="s">
        <v>62</v>
      </c>
      <c r="C75" s="618"/>
      <c r="D75" s="618"/>
      <c r="E75" s="618"/>
      <c r="F75" s="34"/>
      <c r="G75" s="35"/>
    </row>
    <row r="76" spans="1:17" s="23" customFormat="1" ht="24" x14ac:dyDescent="0.2">
      <c r="A76" s="38" t="s">
        <v>188</v>
      </c>
      <c r="B76" s="372" t="s">
        <v>509</v>
      </c>
      <c r="C76" s="39" t="s">
        <v>45</v>
      </c>
      <c r="D76" s="367">
        <v>168.1</v>
      </c>
      <c r="E76" s="105"/>
      <c r="F76" s="180"/>
      <c r="G76" s="166">
        <f t="shared" ref="G76:G82" si="3">(D76*E76)+(D76*F76)</f>
        <v>0</v>
      </c>
    </row>
    <row r="77" spans="1:17" s="23" customFormat="1" ht="24" x14ac:dyDescent="0.2">
      <c r="A77" s="38" t="s">
        <v>189</v>
      </c>
      <c r="B77" s="372" t="s">
        <v>510</v>
      </c>
      <c r="C77" s="39" t="s">
        <v>45</v>
      </c>
      <c r="D77" s="367">
        <v>87</v>
      </c>
      <c r="E77" s="105"/>
      <c r="F77" s="180"/>
      <c r="G77" s="166">
        <f t="shared" ref="G77" si="4">(D77*E77)+(D77*F77)</f>
        <v>0</v>
      </c>
      <c r="I77" s="23">
        <f>23.52*3.675</f>
        <v>86.435999999999993</v>
      </c>
      <c r="J77" s="23">
        <f>0.062*2</f>
        <v>0.124</v>
      </c>
      <c r="K77" s="23">
        <f>I77+J77</f>
        <v>86.559999999999988</v>
      </c>
    </row>
    <row r="78" spans="1:17" s="23" customFormat="1" ht="38.25" customHeight="1" x14ac:dyDescent="0.2">
      <c r="A78" s="38" t="s">
        <v>202</v>
      </c>
      <c r="B78" s="372" t="s">
        <v>235</v>
      </c>
      <c r="C78" s="39" t="s">
        <v>45</v>
      </c>
      <c r="D78" s="367">
        <v>280.10000000000002</v>
      </c>
      <c r="E78" s="105"/>
      <c r="F78" s="180"/>
      <c r="G78" s="166">
        <f t="shared" si="3"/>
        <v>0</v>
      </c>
    </row>
    <row r="79" spans="1:17" s="23" customFormat="1" x14ac:dyDescent="0.2">
      <c r="A79" s="38">
        <v>2.5</v>
      </c>
      <c r="B79" s="164" t="s">
        <v>50</v>
      </c>
      <c r="C79" s="39"/>
      <c r="D79" s="40"/>
      <c r="E79" s="105"/>
      <c r="F79" s="180"/>
      <c r="G79" s="166">
        <f t="shared" si="3"/>
        <v>0</v>
      </c>
    </row>
    <row r="80" spans="1:17" s="23" customFormat="1" ht="27" customHeight="1" x14ac:dyDescent="0.2">
      <c r="A80" s="38"/>
      <c r="B80" s="373" t="s">
        <v>51</v>
      </c>
      <c r="C80" s="39"/>
      <c r="D80" s="40"/>
      <c r="E80" s="105"/>
      <c r="F80" s="180"/>
      <c r="G80" s="166">
        <f t="shared" si="3"/>
        <v>0</v>
      </c>
    </row>
    <row r="81" spans="1:10" s="23" customFormat="1" ht="24" x14ac:dyDescent="0.2">
      <c r="A81" s="38" t="s">
        <v>188</v>
      </c>
      <c r="B81" s="373" t="s">
        <v>52</v>
      </c>
      <c r="C81" s="39" t="s">
        <v>45</v>
      </c>
      <c r="D81" s="40">
        <f>D78+D106+D107+D108+D109+D111+D223+D224+D225+D226+D228</f>
        <v>551.80000000000007</v>
      </c>
      <c r="E81" s="105"/>
      <c r="F81" s="180"/>
      <c r="G81" s="166">
        <f t="shared" si="3"/>
        <v>0</v>
      </c>
      <c r="I81" s="33" t="e">
        <f>D76+D106+D107+D223+D224+D225+D226+#REF!+#REF!+#REF!+#REF!+D228+#REF!+#REF!</f>
        <v>#REF!</v>
      </c>
      <c r="J81" s="33"/>
    </row>
    <row r="82" spans="1:10" s="23" customFormat="1" x14ac:dyDescent="0.2">
      <c r="A82" s="38"/>
      <c r="B82" s="373"/>
      <c r="C82" s="39"/>
      <c r="D82" s="40"/>
      <c r="E82" s="105"/>
      <c r="F82" s="34"/>
      <c r="G82" s="166">
        <f t="shared" si="3"/>
        <v>0</v>
      </c>
      <c r="I82" s="33" t="e">
        <f>SUM(I81:I81)</f>
        <v>#REF!</v>
      </c>
    </row>
    <row r="83" spans="1:10" s="23" customFormat="1" x14ac:dyDescent="0.2">
      <c r="A83" s="38"/>
      <c r="B83" s="373"/>
      <c r="C83" s="39"/>
      <c r="D83" s="40"/>
      <c r="E83" s="105"/>
      <c r="F83" s="34"/>
      <c r="G83" s="35"/>
    </row>
    <row r="84" spans="1:10" s="23" customFormat="1" x14ac:dyDescent="0.2">
      <c r="A84" s="38"/>
      <c r="B84" s="373"/>
      <c r="C84" s="39"/>
      <c r="D84" s="40"/>
      <c r="E84" s="105"/>
      <c r="F84" s="34"/>
      <c r="G84" s="35"/>
    </row>
    <row r="85" spans="1:10" s="23" customFormat="1" x14ac:dyDescent="0.2">
      <c r="A85" s="38"/>
      <c r="B85" s="373"/>
      <c r="C85" s="39"/>
      <c r="D85" s="40"/>
      <c r="E85" s="105"/>
      <c r="F85" s="34"/>
      <c r="G85" s="35"/>
    </row>
    <row r="86" spans="1:10" s="23" customFormat="1" x14ac:dyDescent="0.2">
      <c r="A86" s="38"/>
      <c r="B86" s="373"/>
      <c r="C86" s="39"/>
      <c r="D86" s="40"/>
      <c r="E86" s="105"/>
      <c r="F86" s="34"/>
      <c r="G86" s="35"/>
    </row>
    <row r="87" spans="1:10" s="23" customFormat="1" x14ac:dyDescent="0.2">
      <c r="A87" s="38"/>
      <c r="B87" s="373"/>
      <c r="C87" s="39"/>
      <c r="D87" s="40"/>
      <c r="E87" s="105"/>
      <c r="F87" s="34"/>
      <c r="G87" s="35"/>
    </row>
    <row r="88" spans="1:10" s="23" customFormat="1" x14ac:dyDescent="0.2">
      <c r="A88" s="38"/>
      <c r="B88" s="373"/>
      <c r="C88" s="39"/>
      <c r="D88" s="40"/>
      <c r="E88" s="105"/>
      <c r="F88" s="34"/>
      <c r="G88" s="35"/>
    </row>
    <row r="89" spans="1:10" s="23" customFormat="1" x14ac:dyDescent="0.2">
      <c r="A89" s="38"/>
      <c r="B89" s="373"/>
      <c r="C89" s="39"/>
      <c r="D89" s="40"/>
      <c r="E89" s="105"/>
      <c r="F89" s="34"/>
      <c r="G89" s="35"/>
    </row>
    <row r="90" spans="1:10" s="23" customFormat="1" x14ac:dyDescent="0.2">
      <c r="A90" s="38"/>
      <c r="B90" s="373"/>
      <c r="C90" s="39"/>
      <c r="D90" s="40"/>
      <c r="E90" s="105"/>
      <c r="F90" s="34"/>
      <c r="G90" s="35"/>
    </row>
    <row r="91" spans="1:10" s="23" customFormat="1" x14ac:dyDescent="0.2">
      <c r="A91" s="38"/>
      <c r="B91" s="373"/>
      <c r="C91" s="39"/>
      <c r="D91" s="40"/>
      <c r="E91" s="105"/>
      <c r="F91" s="34"/>
      <c r="G91" s="35"/>
    </row>
    <row r="92" spans="1:10" s="23" customFormat="1" x14ac:dyDescent="0.2">
      <c r="A92" s="38"/>
      <c r="B92" s="373"/>
      <c r="C92" s="39"/>
      <c r="D92" s="40"/>
      <c r="E92" s="105"/>
      <c r="F92" s="34"/>
      <c r="G92" s="35"/>
    </row>
    <row r="93" spans="1:10" s="23" customFormat="1" x14ac:dyDescent="0.2">
      <c r="A93" s="38"/>
      <c r="B93" s="373"/>
      <c r="C93" s="39"/>
      <c r="D93" s="40"/>
      <c r="E93" s="105"/>
      <c r="F93" s="34"/>
      <c r="G93" s="35"/>
    </row>
    <row r="94" spans="1:10" s="23" customFormat="1" x14ac:dyDescent="0.2">
      <c r="A94" s="325"/>
      <c r="B94" s="374"/>
      <c r="C94" s="264"/>
      <c r="D94" s="265"/>
      <c r="E94" s="375"/>
      <c r="F94" s="376"/>
      <c r="G94" s="377"/>
    </row>
    <row r="95" spans="1:10" s="23" customFormat="1" x14ac:dyDescent="0.2">
      <c r="A95" s="290"/>
      <c r="B95" s="291" t="s">
        <v>53</v>
      </c>
      <c r="C95" s="292"/>
      <c r="D95" s="293"/>
      <c r="E95" s="294"/>
      <c r="F95" s="392"/>
      <c r="G95" s="155"/>
    </row>
    <row r="96" spans="1:10" s="23" customFormat="1" x14ac:dyDescent="0.2">
      <c r="A96" s="335"/>
      <c r="B96" s="387" t="s">
        <v>54</v>
      </c>
      <c r="C96" s="388"/>
      <c r="D96" s="389"/>
      <c r="E96" s="390"/>
      <c r="F96" s="393"/>
      <c r="G96" s="394">
        <f>SUM(G60:G95)</f>
        <v>0</v>
      </c>
    </row>
    <row r="97" spans="1:17" s="23" customFormat="1" x14ac:dyDescent="0.2">
      <c r="A97" s="290"/>
      <c r="B97" s="291"/>
      <c r="C97" s="292"/>
      <c r="D97" s="293"/>
      <c r="E97" s="294"/>
      <c r="F97" s="356"/>
      <c r="G97" s="357"/>
    </row>
    <row r="98" spans="1:17" s="23" customFormat="1" x14ac:dyDescent="0.2">
      <c r="A98" s="297"/>
      <c r="B98" s="302" t="s">
        <v>55</v>
      </c>
      <c r="C98" s="299"/>
      <c r="D98" s="96"/>
      <c r="E98" s="300"/>
      <c r="F98" s="358"/>
      <c r="G98" s="359"/>
    </row>
    <row r="99" spans="1:17" s="23" customFormat="1" x14ac:dyDescent="0.2">
      <c r="A99" s="319" t="s">
        <v>56</v>
      </c>
      <c r="B99" s="360" t="s">
        <v>57</v>
      </c>
      <c r="C99" s="299"/>
      <c r="D99" s="96"/>
      <c r="E99" s="300"/>
      <c r="F99" s="358"/>
      <c r="G99" s="359"/>
    </row>
    <row r="100" spans="1:17" s="23" customFormat="1" ht="36" customHeight="1" x14ac:dyDescent="0.25">
      <c r="A100" s="297"/>
      <c r="B100" s="608" t="s">
        <v>533</v>
      </c>
      <c r="C100" s="608"/>
      <c r="D100" s="608"/>
      <c r="E100" s="608"/>
      <c r="F100" s="361"/>
      <c r="G100" s="362"/>
    </row>
    <row r="101" spans="1:17" s="23" customFormat="1" ht="26.25" customHeight="1" x14ac:dyDescent="0.25">
      <c r="A101" s="297"/>
      <c r="B101" s="608" t="s">
        <v>534</v>
      </c>
      <c r="C101" s="609"/>
      <c r="D101" s="609"/>
      <c r="E101" s="609"/>
      <c r="F101" s="361"/>
      <c r="G101" s="362"/>
    </row>
    <row r="102" spans="1:17" s="23" customFormat="1" ht="27" customHeight="1" x14ac:dyDescent="0.25">
      <c r="A102" s="335"/>
      <c r="B102" s="610" t="s">
        <v>535</v>
      </c>
      <c r="C102" s="610"/>
      <c r="D102" s="610"/>
      <c r="E102" s="610"/>
      <c r="F102" s="363"/>
      <c r="G102" s="364"/>
      <c r="I102" s="23">
        <f>2.2*2.2*1.3*10</f>
        <v>62.920000000000016</v>
      </c>
    </row>
    <row r="103" spans="1:17" s="23" customFormat="1" ht="15" customHeight="1" x14ac:dyDescent="0.2">
      <c r="A103" s="157" t="s">
        <v>63</v>
      </c>
      <c r="B103" s="158" t="s">
        <v>64</v>
      </c>
      <c r="C103" s="159"/>
      <c r="D103" s="160"/>
      <c r="E103" s="161"/>
      <c r="F103" s="162"/>
      <c r="G103" s="163"/>
      <c r="I103" s="23">
        <f>2*2*1.3*5</f>
        <v>26</v>
      </c>
    </row>
    <row r="104" spans="1:17" s="23" customFormat="1" ht="12.75" customHeight="1" x14ac:dyDescent="0.2">
      <c r="A104" s="38"/>
      <c r="B104" s="164" t="s">
        <v>247</v>
      </c>
      <c r="C104" s="39"/>
      <c r="D104" s="40"/>
      <c r="E104" s="105"/>
      <c r="F104" s="34"/>
      <c r="G104" s="35"/>
      <c r="I104" s="23">
        <f>1.6*1.6*1.25*1</f>
        <v>3.2000000000000006</v>
      </c>
    </row>
    <row r="105" spans="1:17" s="23" customFormat="1" ht="12.75" customHeight="1" x14ac:dyDescent="0.2">
      <c r="A105" s="411" t="s">
        <v>188</v>
      </c>
      <c r="B105" s="412" t="s">
        <v>287</v>
      </c>
      <c r="C105" s="413"/>
      <c r="D105" s="40"/>
      <c r="E105" s="209"/>
      <c r="F105" s="241"/>
      <c r="G105" s="414">
        <f t="shared" ref="G105" si="5">(D105*E105)+(D105*F105)</f>
        <v>0</v>
      </c>
    </row>
    <row r="106" spans="1:17" s="23" customFormat="1" ht="12" customHeight="1" x14ac:dyDescent="0.2">
      <c r="A106" s="218"/>
      <c r="B106" s="219" t="s">
        <v>298</v>
      </c>
      <c r="C106" s="413" t="s">
        <v>46</v>
      </c>
      <c r="D106" s="40">
        <v>48.4</v>
      </c>
      <c r="E106" s="209"/>
      <c r="F106" s="220"/>
      <c r="G106" s="200">
        <f t="shared" ref="G106:G109" si="6">(D106*E106)+(D106*F106)</f>
        <v>0</v>
      </c>
      <c r="I106" s="23">
        <f>2.2*2.2*10</f>
        <v>48.400000000000006</v>
      </c>
    </row>
    <row r="107" spans="1:17" s="23" customFormat="1" ht="12" customHeight="1" x14ac:dyDescent="0.2">
      <c r="A107" s="218"/>
      <c r="B107" s="219" t="s">
        <v>299</v>
      </c>
      <c r="C107" s="413" t="s">
        <v>46</v>
      </c>
      <c r="D107" s="40">
        <v>20</v>
      </c>
      <c r="E107" s="209"/>
      <c r="F107" s="220"/>
      <c r="G107" s="200">
        <f t="shared" si="6"/>
        <v>0</v>
      </c>
      <c r="I107" s="23">
        <f>2*2*5</f>
        <v>20</v>
      </c>
    </row>
    <row r="108" spans="1:17" s="23" customFormat="1" ht="12" customHeight="1" x14ac:dyDescent="0.2">
      <c r="A108" s="218"/>
      <c r="B108" s="219" t="s">
        <v>300</v>
      </c>
      <c r="C108" s="413" t="s">
        <v>46</v>
      </c>
      <c r="D108" s="40">
        <v>2.56</v>
      </c>
      <c r="E108" s="209"/>
      <c r="F108" s="220"/>
      <c r="G108" s="200">
        <f t="shared" si="6"/>
        <v>0</v>
      </c>
      <c r="I108" s="23">
        <f>1.6*1.6*1</f>
        <v>2.5600000000000005</v>
      </c>
    </row>
    <row r="109" spans="1:17" s="23" customFormat="1" ht="12" customHeight="1" x14ac:dyDescent="0.2">
      <c r="A109" s="218"/>
      <c r="B109" s="219" t="s">
        <v>301</v>
      </c>
      <c r="C109" s="413" t="s">
        <v>46</v>
      </c>
      <c r="D109" s="40">
        <v>13.72</v>
      </c>
      <c r="E109" s="209"/>
      <c r="F109" s="220"/>
      <c r="G109" s="200">
        <f t="shared" si="6"/>
        <v>0</v>
      </c>
      <c r="I109" s="23">
        <f>1.4*1.4*7</f>
        <v>13.719999999999999</v>
      </c>
    </row>
    <row r="110" spans="1:17" s="23" customFormat="1" ht="12" customHeight="1" x14ac:dyDescent="0.2">
      <c r="A110" s="411" t="s">
        <v>189</v>
      </c>
      <c r="B110" s="412" t="s">
        <v>296</v>
      </c>
      <c r="C110" s="413"/>
      <c r="D110" s="40"/>
      <c r="E110" s="209"/>
      <c r="F110" s="241"/>
      <c r="G110" s="414">
        <f t="shared" ref="G110:G111" si="7">(D110*E110)+(D110*F110)</f>
        <v>0</v>
      </c>
    </row>
    <row r="111" spans="1:17" s="23" customFormat="1" ht="12" customHeight="1" x14ac:dyDescent="0.2">
      <c r="A111" s="218"/>
      <c r="B111" s="219" t="s">
        <v>302</v>
      </c>
      <c r="C111" s="413" t="s">
        <v>46</v>
      </c>
      <c r="D111" s="40">
        <v>40.299999999999997</v>
      </c>
      <c r="E111" s="209"/>
      <c r="F111" s="220"/>
      <c r="G111" s="200">
        <f t="shared" si="7"/>
        <v>0</v>
      </c>
      <c r="I111" s="23">
        <f>0.77+1.9+1.8+1.8+1.8+1.05</f>
        <v>9.120000000000001</v>
      </c>
      <c r="J111" s="23">
        <f>6+1.8</f>
        <v>7.8</v>
      </c>
      <c r="K111" s="23">
        <f>2.05+2.6+2.6+2.6+2.6+1.27</f>
        <v>13.719999999999999</v>
      </c>
      <c r="L111" s="23">
        <f>(1.7+5.8)*4</f>
        <v>30</v>
      </c>
      <c r="M111" s="23">
        <f>1.7+2.23+1.47</f>
        <v>5.3999999999999995</v>
      </c>
      <c r="N111" s="23">
        <f>1.05+1.8+1.8+1.8+1.8+0.27</f>
        <v>8.52</v>
      </c>
      <c r="O111" s="23">
        <f>1.8+2.43+1.77</f>
        <v>6</v>
      </c>
      <c r="P111" s="23">
        <f>SUM(I111:O111)</f>
        <v>80.56</v>
      </c>
      <c r="Q111" s="23">
        <f>P111*0.5</f>
        <v>40.28</v>
      </c>
    </row>
    <row r="112" spans="1:17" s="23" customFormat="1" ht="15" customHeight="1" x14ac:dyDescent="0.2">
      <c r="A112" s="348" t="s">
        <v>67</v>
      </c>
      <c r="B112" s="349" t="s">
        <v>12</v>
      </c>
      <c r="C112" s="350"/>
      <c r="D112" s="351"/>
      <c r="E112" s="352"/>
      <c r="F112" s="353"/>
      <c r="G112" s="354"/>
      <c r="I112" s="23">
        <f>0.77+1.9+1.8+1.8+1.8+1.05</f>
        <v>9.120000000000001</v>
      </c>
      <c r="J112" s="23">
        <f>6+1.8</f>
        <v>7.8</v>
      </c>
      <c r="K112" s="23">
        <f>2.05+2.6+2.6+2.6+2.6+1.27</f>
        <v>13.719999999999999</v>
      </c>
      <c r="L112" s="23">
        <f>(1.7+5.8)*4</f>
        <v>30</v>
      </c>
      <c r="M112" s="23">
        <f>1.7+2.23+1.47</f>
        <v>5.3999999999999995</v>
      </c>
      <c r="N112" s="23">
        <f>1.05+1.8+1.8+1.8+1.8+0.27</f>
        <v>8.52</v>
      </c>
      <c r="O112" s="23">
        <f>1.8+2.43+1.77</f>
        <v>6</v>
      </c>
      <c r="P112" s="23">
        <f>SUM(I112:O112)</f>
        <v>80.56</v>
      </c>
      <c r="Q112" s="23">
        <f>P112*0.5*0.95</f>
        <v>38.265999999999998</v>
      </c>
    </row>
    <row r="113" spans="1:14" s="41" customFormat="1" ht="36" customHeight="1" x14ac:dyDescent="0.2">
      <c r="A113" s="355" t="s">
        <v>58</v>
      </c>
      <c r="B113" s="607" t="s">
        <v>59</v>
      </c>
      <c r="C113" s="607"/>
      <c r="D113" s="607"/>
      <c r="E113" s="607"/>
      <c r="F113" s="323"/>
      <c r="G113" s="324"/>
    </row>
    <row r="114" spans="1:14" s="41" customFormat="1" ht="15" customHeight="1" x14ac:dyDescent="0.2">
      <c r="A114" s="170" t="s">
        <v>169</v>
      </c>
      <c r="B114" s="171" t="s">
        <v>65</v>
      </c>
      <c r="C114" s="172"/>
      <c r="D114" s="173"/>
      <c r="E114" s="174"/>
      <c r="F114" s="174"/>
      <c r="G114" s="175"/>
    </row>
    <row r="115" spans="1:14" x14ac:dyDescent="0.2">
      <c r="A115" s="211" t="s">
        <v>170</v>
      </c>
      <c r="B115" s="215" t="s">
        <v>287</v>
      </c>
      <c r="C115" s="213"/>
      <c r="D115" s="214"/>
      <c r="E115" s="216"/>
      <c r="F115" s="216"/>
      <c r="G115" s="217"/>
    </row>
    <row r="116" spans="1:14" x14ac:dyDescent="0.2">
      <c r="A116" s="218"/>
      <c r="B116" s="219" t="s">
        <v>305</v>
      </c>
      <c r="C116" s="413" t="s">
        <v>46</v>
      </c>
      <c r="D116" s="40">
        <v>48.4</v>
      </c>
      <c r="E116" s="209"/>
      <c r="F116" s="220"/>
      <c r="G116" s="200">
        <f t="shared" ref="G116:G119" si="8">(D116*E116)+(D116*F116)</f>
        <v>0</v>
      </c>
      <c r="H116" s="23"/>
      <c r="I116" s="23">
        <f>2.2*2.2*0.35*10</f>
        <v>16.940000000000001</v>
      </c>
      <c r="K116" s="45"/>
    </row>
    <row r="117" spans="1:14" x14ac:dyDescent="0.2">
      <c r="A117" s="218"/>
      <c r="B117" s="219" t="s">
        <v>306</v>
      </c>
      <c r="C117" s="413" t="s">
        <v>46</v>
      </c>
      <c r="D117" s="40">
        <v>7</v>
      </c>
      <c r="E117" s="209"/>
      <c r="F117" s="220"/>
      <c r="G117" s="200">
        <f t="shared" si="8"/>
        <v>0</v>
      </c>
      <c r="H117" s="23"/>
      <c r="I117" s="23">
        <f>2*2*0.35*5</f>
        <v>7</v>
      </c>
      <c r="K117" s="45"/>
    </row>
    <row r="118" spans="1:14" x14ac:dyDescent="0.2">
      <c r="A118" s="218"/>
      <c r="B118" s="219" t="s">
        <v>307</v>
      </c>
      <c r="C118" s="413" t="s">
        <v>46</v>
      </c>
      <c r="D118" s="40">
        <v>0.77</v>
      </c>
      <c r="E118" s="209"/>
      <c r="F118" s="220"/>
      <c r="G118" s="200">
        <f t="shared" si="8"/>
        <v>0</v>
      </c>
      <c r="H118" s="23"/>
      <c r="I118" s="23">
        <f>1.6*1.6*0.3*1</f>
        <v>0.76800000000000013</v>
      </c>
      <c r="K118" s="45"/>
    </row>
    <row r="119" spans="1:14" x14ac:dyDescent="0.2">
      <c r="A119" s="218"/>
      <c r="B119" s="219" t="s">
        <v>308</v>
      </c>
      <c r="C119" s="413" t="s">
        <v>46</v>
      </c>
      <c r="D119" s="40">
        <v>4.12</v>
      </c>
      <c r="E119" s="209"/>
      <c r="F119" s="220"/>
      <c r="G119" s="200">
        <f t="shared" si="8"/>
        <v>0</v>
      </c>
      <c r="H119" s="23"/>
      <c r="I119" s="23">
        <f>1.4*1.4*0.3*7</f>
        <v>4.1159999999999988</v>
      </c>
      <c r="K119" s="45"/>
    </row>
    <row r="120" spans="1:14" x14ac:dyDescent="0.2">
      <c r="A120" s="211" t="s">
        <v>175</v>
      </c>
      <c r="B120" s="215" t="s">
        <v>304</v>
      </c>
      <c r="C120" s="213"/>
      <c r="D120" s="214"/>
      <c r="E120" s="216"/>
      <c r="F120" s="199"/>
      <c r="G120" s="200">
        <f t="shared" ref="G120:G121" si="9">(D120*E120)+(D120*F120)</f>
        <v>0</v>
      </c>
    </row>
    <row r="121" spans="1:14" ht="13.5" x14ac:dyDescent="0.2">
      <c r="A121" s="38"/>
      <c r="B121" s="177" t="s">
        <v>302</v>
      </c>
      <c r="C121" s="178" t="s">
        <v>156</v>
      </c>
      <c r="D121" s="179">
        <v>13.22</v>
      </c>
      <c r="E121" s="105"/>
      <c r="F121" s="180"/>
      <c r="G121" s="166">
        <f t="shared" si="9"/>
        <v>0</v>
      </c>
      <c r="I121" s="19">
        <f>23.52*2</f>
        <v>47.04</v>
      </c>
      <c r="J121" s="19">
        <f>11.2*7</f>
        <v>78.399999999999991</v>
      </c>
      <c r="K121" s="19">
        <f>3.7*5</f>
        <v>18.5</v>
      </c>
      <c r="L121" s="19">
        <f>2.92</f>
        <v>2.92</v>
      </c>
      <c r="M121" s="19">
        <f>SUM(I121:L121)</f>
        <v>146.85999999999999</v>
      </c>
      <c r="N121" s="19">
        <f>M121*0.3*0.3</f>
        <v>13.217399999999998</v>
      </c>
    </row>
    <row r="122" spans="1:14" x14ac:dyDescent="0.2">
      <c r="A122" s="176"/>
      <c r="B122" s="177"/>
      <c r="C122" s="178"/>
      <c r="D122" s="179"/>
      <c r="E122" s="180"/>
      <c r="F122" s="180"/>
      <c r="G122" s="166">
        <f>(D122*E122)+(D122*F122)</f>
        <v>0</v>
      </c>
    </row>
    <row r="123" spans="1:14" x14ac:dyDescent="0.2">
      <c r="A123" s="170" t="s">
        <v>171</v>
      </c>
      <c r="B123" s="171" t="s">
        <v>66</v>
      </c>
      <c r="C123" s="172"/>
      <c r="D123" s="173"/>
      <c r="E123" s="174"/>
      <c r="F123" s="174"/>
      <c r="G123" s="175"/>
    </row>
    <row r="124" spans="1:14" x14ac:dyDescent="0.2">
      <c r="A124" s="195" t="s">
        <v>174</v>
      </c>
      <c r="B124" s="201" t="s">
        <v>196</v>
      </c>
      <c r="C124" s="197"/>
      <c r="D124" s="198"/>
      <c r="E124" s="199"/>
      <c r="F124" s="199"/>
      <c r="G124" s="200"/>
    </row>
    <row r="125" spans="1:14" ht="13.5" x14ac:dyDescent="0.2">
      <c r="A125" s="195"/>
      <c r="B125" s="196" t="s">
        <v>309</v>
      </c>
      <c r="C125" s="197" t="s">
        <v>156</v>
      </c>
      <c r="D125" s="198">
        <v>5.5519999999999996</v>
      </c>
      <c r="E125" s="209"/>
      <c r="F125" s="199"/>
      <c r="G125" s="200">
        <f t="shared" ref="G125:G131" si="10">(D125*E125)+(D125*F125)</f>
        <v>0</v>
      </c>
      <c r="I125" s="19">
        <f>0.3*0.3*4.745*13</f>
        <v>5.5516499999999995</v>
      </c>
    </row>
    <row r="126" spans="1:14" ht="13.5" x14ac:dyDescent="0.2">
      <c r="A126" s="195"/>
      <c r="B126" s="196" t="s">
        <v>310</v>
      </c>
      <c r="C126" s="197" t="s">
        <v>156</v>
      </c>
      <c r="D126" s="198">
        <v>0.86</v>
      </c>
      <c r="E126" s="209"/>
      <c r="F126" s="199"/>
      <c r="G126" s="200">
        <f t="shared" si="10"/>
        <v>0</v>
      </c>
      <c r="I126" s="19">
        <f>0.3*0.3*4.745*2</f>
        <v>0.85409999999999997</v>
      </c>
      <c r="J126" s="19">
        <f>0.2*0.2*3.4*4</f>
        <v>0.54400000000000004</v>
      </c>
      <c r="K126" s="19">
        <f>SUM(I126:J126)</f>
        <v>1.3980999999999999</v>
      </c>
    </row>
    <row r="127" spans="1:14" ht="13.5" x14ac:dyDescent="0.2">
      <c r="A127" s="195"/>
      <c r="B127" s="196" t="s">
        <v>311</v>
      </c>
      <c r="C127" s="197" t="s">
        <v>156</v>
      </c>
      <c r="D127" s="198">
        <v>0.4</v>
      </c>
      <c r="E127" s="209"/>
      <c r="F127" s="199"/>
      <c r="G127" s="200">
        <f t="shared" si="10"/>
        <v>0</v>
      </c>
      <c r="I127" s="19">
        <f>0.4*0.2*4.745</f>
        <v>0.3796000000000001</v>
      </c>
    </row>
    <row r="128" spans="1:14" ht="13.5" x14ac:dyDescent="0.2">
      <c r="A128" s="195"/>
      <c r="B128" s="196" t="s">
        <v>511</v>
      </c>
      <c r="C128" s="197" t="s">
        <v>156</v>
      </c>
      <c r="D128" s="198">
        <v>2.8</v>
      </c>
      <c r="E128" s="209"/>
      <c r="F128" s="199"/>
      <c r="G128" s="200"/>
      <c r="I128" s="19">
        <f>0.3*0.3*7*4.45</f>
        <v>2.8035000000000001</v>
      </c>
    </row>
    <row r="129" spans="1:13" ht="13.5" x14ac:dyDescent="0.2">
      <c r="A129" s="195" t="s">
        <v>9</v>
      </c>
      <c r="B129" s="196" t="s">
        <v>249</v>
      </c>
      <c r="C129" s="197" t="s">
        <v>156</v>
      </c>
      <c r="D129" s="198">
        <v>5.5</v>
      </c>
      <c r="E129" s="209"/>
      <c r="F129" s="199"/>
      <c r="G129" s="200">
        <f t="shared" si="10"/>
        <v>0</v>
      </c>
      <c r="I129" s="19">
        <f>1.1*0.25*3.5</f>
        <v>0.96250000000000013</v>
      </c>
      <c r="J129" s="19">
        <f>1.26*3.47*0.2</f>
        <v>0.87444000000000011</v>
      </c>
      <c r="K129" s="19">
        <f>0.026*1.75*20</f>
        <v>0.90999999999999992</v>
      </c>
      <c r="L129" s="19">
        <f>3.6*3.47*0.2</f>
        <v>2.4984000000000002</v>
      </c>
      <c r="M129" s="19">
        <f>SUM(I129:L129)</f>
        <v>5.2453400000000006</v>
      </c>
    </row>
    <row r="130" spans="1:13" x14ac:dyDescent="0.2">
      <c r="A130" s="195" t="s">
        <v>18</v>
      </c>
      <c r="B130" s="201" t="s">
        <v>246</v>
      </c>
      <c r="C130" s="197"/>
      <c r="D130" s="198"/>
      <c r="E130" s="199"/>
      <c r="F130" s="199"/>
      <c r="G130" s="200">
        <f t="shared" si="10"/>
        <v>0</v>
      </c>
      <c r="L130" s="19">
        <f>5.5-0.91</f>
        <v>4.59</v>
      </c>
    </row>
    <row r="131" spans="1:13" ht="13.5" x14ac:dyDescent="0.2">
      <c r="A131" s="195"/>
      <c r="B131" s="196" t="s">
        <v>322</v>
      </c>
      <c r="C131" s="197" t="s">
        <v>156</v>
      </c>
      <c r="D131" s="198">
        <v>28.1</v>
      </c>
      <c r="E131" s="209"/>
      <c r="F131" s="199"/>
      <c r="G131" s="200">
        <f t="shared" si="10"/>
        <v>0</v>
      </c>
      <c r="I131" s="19">
        <f>280*0.1</f>
        <v>28</v>
      </c>
    </row>
    <row r="132" spans="1:13" x14ac:dyDescent="0.2">
      <c r="A132" s="195" t="s">
        <v>47</v>
      </c>
      <c r="B132" s="201" t="s">
        <v>540</v>
      </c>
      <c r="C132" s="197"/>
      <c r="D132" s="198"/>
      <c r="E132" s="199"/>
      <c r="F132" s="199"/>
      <c r="G132" s="200"/>
    </row>
    <row r="133" spans="1:13" ht="13.5" x14ac:dyDescent="0.2">
      <c r="A133" s="195"/>
      <c r="B133" s="196" t="s">
        <v>314</v>
      </c>
      <c r="C133" s="197" t="s">
        <v>156</v>
      </c>
      <c r="D133" s="198">
        <v>0.28000000000000003</v>
      </c>
      <c r="E133" s="209"/>
      <c r="F133" s="199"/>
      <c r="G133" s="200">
        <f t="shared" ref="G133:G136" si="11">(D133*E133)+(D133*F133)</f>
        <v>0</v>
      </c>
      <c r="I133" s="19">
        <f>3.52*0.3*0.265</f>
        <v>0.27984000000000003</v>
      </c>
    </row>
    <row r="134" spans="1:13" ht="13.5" x14ac:dyDescent="0.2">
      <c r="A134" s="195"/>
      <c r="B134" s="196" t="s">
        <v>315</v>
      </c>
      <c r="C134" s="197" t="s">
        <v>156</v>
      </c>
      <c r="D134" s="198">
        <v>0.18</v>
      </c>
      <c r="E134" s="209"/>
      <c r="F134" s="199"/>
      <c r="G134" s="200">
        <f t="shared" si="11"/>
        <v>0</v>
      </c>
      <c r="I134" s="19">
        <f>3.27*0.2*0.265</f>
        <v>0.17331000000000002</v>
      </c>
    </row>
    <row r="135" spans="1:13" ht="13.5" x14ac:dyDescent="0.2">
      <c r="A135" s="195"/>
      <c r="B135" s="196" t="s">
        <v>317</v>
      </c>
      <c r="C135" s="197" t="s">
        <v>156</v>
      </c>
      <c r="D135" s="198">
        <v>0.16</v>
      </c>
      <c r="E135" s="209"/>
      <c r="F135" s="199"/>
      <c r="G135" s="200">
        <f t="shared" si="11"/>
        <v>0</v>
      </c>
      <c r="I135" s="19">
        <f>2.92*0.2*0.265</f>
        <v>0.15476000000000001</v>
      </c>
      <c r="J135" s="19">
        <f>2.92*0.2*0.27</f>
        <v>0.15767999999999999</v>
      </c>
      <c r="K135" s="19">
        <f>SUM(I135:J135)</f>
        <v>0.31244</v>
      </c>
    </row>
    <row r="136" spans="1:13" ht="13.5" x14ac:dyDescent="0.2">
      <c r="A136" s="195"/>
      <c r="B136" s="196" t="s">
        <v>318</v>
      </c>
      <c r="C136" s="197" t="s">
        <v>156</v>
      </c>
      <c r="D136" s="198">
        <v>0.16</v>
      </c>
      <c r="E136" s="209"/>
      <c r="F136" s="199"/>
      <c r="G136" s="200">
        <f t="shared" si="11"/>
        <v>0</v>
      </c>
      <c r="I136" s="19">
        <f>2.97*0.2*0.265</f>
        <v>0.15741000000000002</v>
      </c>
    </row>
    <row r="137" spans="1:13" x14ac:dyDescent="0.2">
      <c r="A137" s="195" t="s">
        <v>236</v>
      </c>
      <c r="B137" s="201" t="s">
        <v>541</v>
      </c>
      <c r="C137" s="197"/>
      <c r="D137" s="198"/>
      <c r="E137" s="199"/>
      <c r="F137" s="199"/>
      <c r="G137" s="200"/>
    </row>
    <row r="138" spans="1:13" ht="13.5" x14ac:dyDescent="0.2">
      <c r="A138" s="195"/>
      <c r="B138" s="196" t="s">
        <v>321</v>
      </c>
      <c r="C138" s="197" t="s">
        <v>156</v>
      </c>
      <c r="D138" s="198">
        <v>1.83</v>
      </c>
      <c r="E138" s="209"/>
      <c r="F138" s="199"/>
      <c r="G138" s="200">
        <f>(D138*E138)+(D138*F138)</f>
        <v>0</v>
      </c>
      <c r="I138" s="19">
        <f>13.5*0.135</f>
        <v>1.8225000000000002</v>
      </c>
    </row>
    <row r="139" spans="1:13" x14ac:dyDescent="0.2">
      <c r="A139" s="176"/>
      <c r="B139" s="177"/>
      <c r="C139" s="178"/>
      <c r="D139" s="179"/>
      <c r="E139" s="180"/>
      <c r="F139" s="180"/>
      <c r="G139" s="166"/>
    </row>
    <row r="140" spans="1:13" x14ac:dyDescent="0.2">
      <c r="A140" s="170" t="s">
        <v>56</v>
      </c>
      <c r="B140" s="171" t="s">
        <v>68</v>
      </c>
      <c r="C140" s="182"/>
      <c r="D140" s="183"/>
      <c r="E140" s="184"/>
      <c r="F140" s="184"/>
      <c r="G140" s="185"/>
    </row>
    <row r="141" spans="1:13" x14ac:dyDescent="0.2">
      <c r="A141" s="195" t="s">
        <v>176</v>
      </c>
      <c r="B141" s="201" t="s">
        <v>250</v>
      </c>
      <c r="C141" s="197"/>
      <c r="D141" s="198"/>
      <c r="E141" s="199"/>
      <c r="F141" s="199"/>
      <c r="G141" s="200"/>
    </row>
    <row r="142" spans="1:13" ht="13.5" x14ac:dyDescent="0.2">
      <c r="A142" s="195"/>
      <c r="B142" s="196" t="s">
        <v>312</v>
      </c>
      <c r="C142" s="197" t="s">
        <v>156</v>
      </c>
      <c r="D142" s="198">
        <v>6.53</v>
      </c>
      <c r="E142" s="209"/>
      <c r="F142" s="199"/>
      <c r="G142" s="200">
        <f>(D142*E142)+(D142*F142)</f>
        <v>0</v>
      </c>
      <c r="I142" s="19">
        <f>7.7*5</f>
        <v>38.5</v>
      </c>
      <c r="J142" s="19">
        <f>I142*0.3*0.565</f>
        <v>6.5257499999999986</v>
      </c>
    </row>
    <row r="143" spans="1:13" ht="13.5" x14ac:dyDescent="0.2">
      <c r="A143" s="195"/>
      <c r="B143" s="196" t="s">
        <v>313</v>
      </c>
      <c r="C143" s="197" t="s">
        <v>156</v>
      </c>
      <c r="D143" s="198">
        <v>1.4</v>
      </c>
      <c r="E143" s="209"/>
      <c r="F143" s="199"/>
      <c r="G143" s="200">
        <f t="shared" ref="G143:G150" si="12">(D143*E143)+(D143*F143)</f>
        <v>0</v>
      </c>
      <c r="I143" s="19">
        <f>3.5*5</f>
        <v>17.5</v>
      </c>
      <c r="J143" s="19">
        <f>I143*0.3*0.265</f>
        <v>1.3912500000000001</v>
      </c>
      <c r="L143" s="19">
        <f>SUM(J143:K143)</f>
        <v>1.3912500000000001</v>
      </c>
    </row>
    <row r="144" spans="1:13" ht="13.5" x14ac:dyDescent="0.2">
      <c r="A144" s="195"/>
      <c r="B144" s="196" t="s">
        <v>314</v>
      </c>
      <c r="C144" s="197" t="s">
        <v>156</v>
      </c>
      <c r="D144" s="198">
        <v>0.63</v>
      </c>
      <c r="E144" s="209"/>
      <c r="F144" s="199"/>
      <c r="G144" s="200">
        <f t="shared" si="12"/>
        <v>0</v>
      </c>
      <c r="I144" s="19">
        <f>7.7</f>
        <v>7.7</v>
      </c>
      <c r="J144" s="19">
        <f>I144*0.3*0.265</f>
        <v>0.61215000000000008</v>
      </c>
    </row>
    <row r="145" spans="1:12" ht="13.5" x14ac:dyDescent="0.2">
      <c r="A145" s="195"/>
      <c r="B145" s="196" t="s">
        <v>315</v>
      </c>
      <c r="C145" s="197" t="s">
        <v>156</v>
      </c>
      <c r="D145" s="198">
        <v>0.22</v>
      </c>
      <c r="E145" s="209"/>
      <c r="F145" s="199"/>
      <c r="G145" s="200">
        <f t="shared" si="12"/>
        <v>0</v>
      </c>
      <c r="I145" s="19">
        <f>4.13</f>
        <v>4.13</v>
      </c>
      <c r="J145" s="19">
        <f>I145*0.2*0.265</f>
        <v>0.21889000000000003</v>
      </c>
    </row>
    <row r="146" spans="1:12" ht="13.5" x14ac:dyDescent="0.2">
      <c r="A146" s="195"/>
      <c r="B146" s="196" t="s">
        <v>316</v>
      </c>
      <c r="C146" s="197" t="s">
        <v>156</v>
      </c>
      <c r="D146" s="198">
        <v>0.38</v>
      </c>
      <c r="E146" s="209"/>
      <c r="F146" s="199"/>
      <c r="G146" s="200">
        <f t="shared" si="12"/>
        <v>0</v>
      </c>
      <c r="I146" s="19">
        <f>3.5*2</f>
        <v>7</v>
      </c>
      <c r="J146" s="19">
        <f>3.45*0.2*0.27*2</f>
        <v>0.37260000000000004</v>
      </c>
    </row>
    <row r="147" spans="1:12" ht="13.5" x14ac:dyDescent="0.2">
      <c r="A147" s="638"/>
      <c r="B147" s="639" t="s">
        <v>317</v>
      </c>
      <c r="C147" s="500" t="s">
        <v>156</v>
      </c>
      <c r="D147" s="640">
        <v>1.25</v>
      </c>
      <c r="E147" s="501"/>
      <c r="F147" s="641"/>
      <c r="G147" s="642">
        <f t="shared" si="12"/>
        <v>0</v>
      </c>
      <c r="I147" s="19">
        <f>23.52</f>
        <v>23.52</v>
      </c>
      <c r="J147" s="19">
        <f>I147*0.2*0.265</f>
        <v>1.2465599999999999</v>
      </c>
      <c r="L147" s="19">
        <f>SUM(J147:K147)</f>
        <v>1.2465599999999999</v>
      </c>
    </row>
    <row r="148" spans="1:12" ht="13.5" x14ac:dyDescent="0.2">
      <c r="A148" s="195"/>
      <c r="B148" s="196" t="s">
        <v>319</v>
      </c>
      <c r="C148" s="197" t="s">
        <v>156</v>
      </c>
      <c r="D148" s="198">
        <v>1</v>
      </c>
      <c r="E148" s="209"/>
      <c r="F148" s="199"/>
      <c r="G148" s="200">
        <f t="shared" si="12"/>
        <v>0</v>
      </c>
      <c r="I148" s="19">
        <f>3.7*5</f>
        <v>18.5</v>
      </c>
      <c r="J148" s="19">
        <f>I148*0.2*0.265</f>
        <v>0.98050000000000015</v>
      </c>
    </row>
    <row r="149" spans="1:12" ht="13.5" x14ac:dyDescent="0.2">
      <c r="A149" s="195"/>
      <c r="B149" s="196" t="s">
        <v>318</v>
      </c>
      <c r="C149" s="197" t="s">
        <v>156</v>
      </c>
      <c r="D149" s="198">
        <v>0.16</v>
      </c>
      <c r="E149" s="209"/>
      <c r="F149" s="199"/>
      <c r="G149" s="200">
        <f t="shared" si="12"/>
        <v>0</v>
      </c>
      <c r="I149" s="19">
        <f>3.02</f>
        <v>3.02</v>
      </c>
      <c r="J149" s="19">
        <f>I149*0.2*0.265</f>
        <v>0.16006000000000004</v>
      </c>
    </row>
    <row r="150" spans="1:12" ht="13.5" x14ac:dyDescent="0.2">
      <c r="A150" s="195"/>
      <c r="B150" s="196" t="s">
        <v>333</v>
      </c>
      <c r="C150" s="197" t="s">
        <v>156</v>
      </c>
      <c r="D150" s="198">
        <v>1.48</v>
      </c>
      <c r="E150" s="209"/>
      <c r="F150" s="199"/>
      <c r="G150" s="200">
        <f t="shared" si="12"/>
        <v>0</v>
      </c>
      <c r="I150" s="19">
        <f>3.7*5</f>
        <v>18.5</v>
      </c>
      <c r="J150" s="19">
        <f>I150*0.3*0.265</f>
        <v>1.47075</v>
      </c>
    </row>
    <row r="151" spans="1:12" x14ac:dyDescent="0.2">
      <c r="A151" s="195" t="s">
        <v>67</v>
      </c>
      <c r="B151" s="201" t="s">
        <v>143</v>
      </c>
      <c r="C151" s="197"/>
      <c r="D151" s="198"/>
      <c r="E151" s="199"/>
      <c r="F151" s="199"/>
      <c r="G151" s="200"/>
    </row>
    <row r="152" spans="1:12" ht="13.5" x14ac:dyDescent="0.2">
      <c r="A152" s="195"/>
      <c r="B152" s="196" t="s">
        <v>320</v>
      </c>
      <c r="C152" s="197" t="s">
        <v>156</v>
      </c>
      <c r="D152" s="198">
        <v>34.32</v>
      </c>
      <c r="E152" s="209"/>
      <c r="F152" s="199"/>
      <c r="G152" s="200"/>
      <c r="I152" s="19">
        <f>254.15*0.135</f>
        <v>34.310250000000003</v>
      </c>
    </row>
    <row r="153" spans="1:12" x14ac:dyDescent="0.2">
      <c r="A153" s="195" t="s">
        <v>70</v>
      </c>
      <c r="B153" s="201" t="s">
        <v>196</v>
      </c>
      <c r="C153" s="197"/>
      <c r="D153" s="198"/>
      <c r="E153" s="199"/>
      <c r="F153" s="199"/>
      <c r="G153" s="200"/>
    </row>
    <row r="154" spans="1:12" ht="13.5" x14ac:dyDescent="0.2">
      <c r="A154" s="195"/>
      <c r="B154" s="196" t="s">
        <v>309</v>
      </c>
      <c r="C154" s="197" t="s">
        <v>156</v>
      </c>
      <c r="D154" s="198">
        <v>5.5519999999999996</v>
      </c>
      <c r="E154" s="209"/>
      <c r="F154" s="199"/>
      <c r="G154" s="200">
        <f t="shared" ref="G154:G156" si="13">(D154*E154)+(D154*F154)</f>
        <v>0</v>
      </c>
      <c r="I154" s="19">
        <f>0.3*0.3*3.5*13</f>
        <v>4.0949999999999998</v>
      </c>
    </row>
    <row r="155" spans="1:12" ht="13.5" x14ac:dyDescent="0.2">
      <c r="A155" s="195"/>
      <c r="B155" s="196" t="s">
        <v>310</v>
      </c>
      <c r="C155" s="197" t="s">
        <v>156</v>
      </c>
      <c r="D155" s="198">
        <v>0.86</v>
      </c>
      <c r="E155" s="209"/>
      <c r="F155" s="199"/>
      <c r="G155" s="200">
        <f t="shared" si="13"/>
        <v>0</v>
      </c>
      <c r="I155" s="19">
        <f>0.3*0.3*3.5*2</f>
        <v>0.63</v>
      </c>
      <c r="J155" s="19">
        <f>0.2*0.2*3.4*4</f>
        <v>0.54400000000000004</v>
      </c>
      <c r="K155" s="19">
        <f>SUM(I155:J155)</f>
        <v>1.1739999999999999</v>
      </c>
    </row>
    <row r="156" spans="1:12" ht="13.5" x14ac:dyDescent="0.2">
      <c r="A156" s="195"/>
      <c r="B156" s="196" t="s">
        <v>311</v>
      </c>
      <c r="C156" s="197" t="s">
        <v>156</v>
      </c>
      <c r="D156" s="198">
        <v>0.4</v>
      </c>
      <c r="E156" s="209"/>
      <c r="F156" s="199"/>
      <c r="G156" s="200">
        <f t="shared" si="13"/>
        <v>0</v>
      </c>
      <c r="I156" s="19">
        <f>0.4*0.2*3.5</f>
        <v>0.28000000000000003</v>
      </c>
    </row>
    <row r="157" spans="1:12" ht="13.5" x14ac:dyDescent="0.2">
      <c r="A157" s="195"/>
      <c r="B157" s="196" t="s">
        <v>512</v>
      </c>
      <c r="C157" s="197" t="s">
        <v>156</v>
      </c>
      <c r="D157" s="198">
        <v>2.2050000000000001</v>
      </c>
      <c r="E157" s="209"/>
      <c r="F157" s="199"/>
      <c r="G157" s="200"/>
      <c r="I157" s="19">
        <f>0.3*0.3*3.5*7</f>
        <v>2.2050000000000001</v>
      </c>
    </row>
    <row r="158" spans="1:12" ht="13.5" x14ac:dyDescent="0.2">
      <c r="A158" s="195" t="s">
        <v>99</v>
      </c>
      <c r="B158" s="196" t="s">
        <v>249</v>
      </c>
      <c r="C158" s="197" t="s">
        <v>156</v>
      </c>
      <c r="D158" s="198">
        <v>4.7</v>
      </c>
      <c r="E158" s="209"/>
      <c r="F158" s="199"/>
      <c r="G158" s="200">
        <f t="shared" ref="G158" si="14">(D158*E158)+(D158*F158)</f>
        <v>0</v>
      </c>
    </row>
    <row r="159" spans="1:12" x14ac:dyDescent="0.2">
      <c r="A159" s="195" t="s">
        <v>191</v>
      </c>
      <c r="B159" s="201" t="s">
        <v>540</v>
      </c>
      <c r="C159" s="197"/>
      <c r="D159" s="198"/>
      <c r="E159" s="199"/>
      <c r="F159" s="199"/>
      <c r="G159" s="200"/>
    </row>
    <row r="160" spans="1:12" ht="13.5" x14ac:dyDescent="0.2">
      <c r="A160" s="195"/>
      <c r="B160" s="196" t="s">
        <v>314</v>
      </c>
      <c r="C160" s="197" t="s">
        <v>156</v>
      </c>
      <c r="D160" s="198">
        <v>0.28000000000000003</v>
      </c>
      <c r="E160" s="209"/>
      <c r="F160" s="199"/>
      <c r="G160" s="200">
        <f t="shared" ref="G160:G163" si="15">(D160*E160)+(D160*F160)</f>
        <v>0</v>
      </c>
      <c r="I160" s="19">
        <f>3.52*0.3*0.265</f>
        <v>0.27984000000000003</v>
      </c>
    </row>
    <row r="161" spans="1:12" ht="13.5" x14ac:dyDescent="0.2">
      <c r="A161" s="195"/>
      <c r="B161" s="196" t="s">
        <v>315</v>
      </c>
      <c r="C161" s="197" t="s">
        <v>156</v>
      </c>
      <c r="D161" s="198">
        <v>0.18</v>
      </c>
      <c r="E161" s="209"/>
      <c r="F161" s="199"/>
      <c r="G161" s="200">
        <f t="shared" si="15"/>
        <v>0</v>
      </c>
      <c r="I161" s="19">
        <f>3.27*0.2*0.265</f>
        <v>0.17331000000000002</v>
      </c>
    </row>
    <row r="162" spans="1:12" ht="13.5" x14ac:dyDescent="0.2">
      <c r="A162" s="195"/>
      <c r="B162" s="196" t="s">
        <v>317</v>
      </c>
      <c r="C162" s="197" t="s">
        <v>156</v>
      </c>
      <c r="D162" s="198">
        <v>0.16</v>
      </c>
      <c r="E162" s="209"/>
      <c r="F162" s="199"/>
      <c r="G162" s="200">
        <f t="shared" si="15"/>
        <v>0</v>
      </c>
      <c r="I162" s="19">
        <f>2.92*0.2*0.265</f>
        <v>0.15476000000000001</v>
      </c>
      <c r="J162" s="19">
        <f>2.92*0.2*0.27</f>
        <v>0.15767999999999999</v>
      </c>
      <c r="K162" s="19">
        <f>SUM(I162:J162)</f>
        <v>0.31244</v>
      </c>
    </row>
    <row r="163" spans="1:12" ht="13.5" x14ac:dyDescent="0.2">
      <c r="A163" s="195"/>
      <c r="B163" s="196" t="s">
        <v>318</v>
      </c>
      <c r="C163" s="197" t="s">
        <v>156</v>
      </c>
      <c r="D163" s="198">
        <v>0.16</v>
      </c>
      <c r="E163" s="209"/>
      <c r="F163" s="199"/>
      <c r="G163" s="200">
        <f t="shared" si="15"/>
        <v>0</v>
      </c>
      <c r="I163" s="19">
        <f>2.97*0.2*0.265</f>
        <v>0.15741000000000002</v>
      </c>
    </row>
    <row r="164" spans="1:12" x14ac:dyDescent="0.2">
      <c r="A164" s="195" t="s">
        <v>238</v>
      </c>
      <c r="B164" s="201" t="s">
        <v>541</v>
      </c>
      <c r="C164" s="197"/>
      <c r="D164" s="198"/>
      <c r="E164" s="199"/>
      <c r="F164" s="199"/>
      <c r="G164" s="200"/>
    </row>
    <row r="165" spans="1:12" ht="13.5" x14ac:dyDescent="0.2">
      <c r="A165" s="195" t="s">
        <v>188</v>
      </c>
      <c r="B165" s="196" t="s">
        <v>321</v>
      </c>
      <c r="C165" s="197" t="s">
        <v>156</v>
      </c>
      <c r="D165" s="198">
        <v>1.83</v>
      </c>
      <c r="E165" s="209"/>
      <c r="F165" s="199"/>
      <c r="G165" s="200">
        <f>(D165*E165)+(D165*F165)</f>
        <v>0</v>
      </c>
      <c r="I165" s="19">
        <f>13.5*0.135</f>
        <v>1.8225000000000002</v>
      </c>
    </row>
    <row r="166" spans="1:12" x14ac:dyDescent="0.2">
      <c r="A166" s="195"/>
      <c r="B166" s="196"/>
      <c r="C166" s="197"/>
      <c r="D166" s="198"/>
      <c r="E166" s="199"/>
      <c r="F166" s="199"/>
      <c r="G166" s="200"/>
    </row>
    <row r="167" spans="1:12" x14ac:dyDescent="0.2">
      <c r="A167" s="170" t="s">
        <v>172</v>
      </c>
      <c r="B167" s="171" t="s">
        <v>69</v>
      </c>
      <c r="C167" s="182"/>
      <c r="D167" s="183"/>
      <c r="E167" s="184"/>
      <c r="F167" s="184"/>
      <c r="G167" s="185"/>
    </row>
    <row r="168" spans="1:12" x14ac:dyDescent="0.2">
      <c r="A168" s="195" t="s">
        <v>102</v>
      </c>
      <c r="B168" s="201" t="s">
        <v>250</v>
      </c>
      <c r="C168" s="197"/>
      <c r="D168" s="198"/>
      <c r="E168" s="199"/>
      <c r="F168" s="199"/>
      <c r="G168" s="200"/>
    </row>
    <row r="169" spans="1:12" ht="13.5" x14ac:dyDescent="0.2">
      <c r="A169" s="195"/>
      <c r="B169" s="196" t="s">
        <v>312</v>
      </c>
      <c r="C169" s="197" t="s">
        <v>156</v>
      </c>
      <c r="D169" s="198">
        <v>6.53</v>
      </c>
      <c r="E169" s="209"/>
      <c r="F169" s="199"/>
      <c r="G169" s="200">
        <f>(D169*E169)+(D169*F169)</f>
        <v>0</v>
      </c>
      <c r="I169" s="19">
        <f>7.7*5</f>
        <v>38.5</v>
      </c>
      <c r="J169" s="19">
        <f>I169*0.3*0.565</f>
        <v>6.5257499999999986</v>
      </c>
    </row>
    <row r="170" spans="1:12" ht="13.5" x14ac:dyDescent="0.2">
      <c r="A170" s="195"/>
      <c r="B170" s="196" t="s">
        <v>313</v>
      </c>
      <c r="C170" s="197" t="s">
        <v>156</v>
      </c>
      <c r="D170" s="198">
        <v>1.4</v>
      </c>
      <c r="E170" s="209"/>
      <c r="F170" s="199"/>
      <c r="G170" s="200">
        <f t="shared" ref="G170:G177" si="16">(D170*E170)+(D170*F170)</f>
        <v>0</v>
      </c>
      <c r="I170" s="19">
        <f>3.5*5</f>
        <v>17.5</v>
      </c>
      <c r="J170" s="19">
        <f>I170*0.3*0.265</f>
        <v>1.3912500000000001</v>
      </c>
      <c r="L170" s="19">
        <f>SUM(J170:K170)</f>
        <v>1.3912500000000001</v>
      </c>
    </row>
    <row r="171" spans="1:12" ht="13.5" x14ac:dyDescent="0.2">
      <c r="A171" s="195"/>
      <c r="B171" s="196" t="s">
        <v>314</v>
      </c>
      <c r="C171" s="197" t="s">
        <v>156</v>
      </c>
      <c r="D171" s="198">
        <v>0.63</v>
      </c>
      <c r="E171" s="209"/>
      <c r="F171" s="199"/>
      <c r="G171" s="200">
        <f t="shared" si="16"/>
        <v>0</v>
      </c>
      <c r="I171" s="19">
        <f>7.7</f>
        <v>7.7</v>
      </c>
      <c r="J171" s="19">
        <f>I171*0.3*0.265</f>
        <v>0.61215000000000008</v>
      </c>
    </row>
    <row r="172" spans="1:12" ht="13.5" x14ac:dyDescent="0.2">
      <c r="A172" s="195"/>
      <c r="B172" s="196" t="s">
        <v>315</v>
      </c>
      <c r="C172" s="197" t="s">
        <v>156</v>
      </c>
      <c r="D172" s="198">
        <v>0.22</v>
      </c>
      <c r="E172" s="209"/>
      <c r="F172" s="199"/>
      <c r="G172" s="200">
        <f t="shared" si="16"/>
        <v>0</v>
      </c>
      <c r="I172" s="19">
        <f>4.13</f>
        <v>4.13</v>
      </c>
      <c r="J172" s="19">
        <f>I172*0.2*0.265</f>
        <v>0.21889000000000003</v>
      </c>
    </row>
    <row r="173" spans="1:12" ht="13.5" x14ac:dyDescent="0.2">
      <c r="A173" s="195"/>
      <c r="B173" s="196" t="s">
        <v>316</v>
      </c>
      <c r="C173" s="197" t="s">
        <v>156</v>
      </c>
      <c r="D173" s="198">
        <v>0.38</v>
      </c>
      <c r="E173" s="209"/>
      <c r="F173" s="199"/>
      <c r="G173" s="200">
        <f t="shared" si="16"/>
        <v>0</v>
      </c>
      <c r="I173" s="19">
        <f>3.5*2</f>
        <v>7</v>
      </c>
      <c r="J173" s="19">
        <f>3.45*0.2*0.27*2</f>
        <v>0.37260000000000004</v>
      </c>
    </row>
    <row r="174" spans="1:12" ht="13.5" x14ac:dyDescent="0.2">
      <c r="A174" s="195"/>
      <c r="B174" s="196" t="s">
        <v>317</v>
      </c>
      <c r="C174" s="197" t="s">
        <v>156</v>
      </c>
      <c r="D174" s="198">
        <v>1.25</v>
      </c>
      <c r="E174" s="209"/>
      <c r="F174" s="199"/>
      <c r="G174" s="200">
        <f t="shared" si="16"/>
        <v>0</v>
      </c>
      <c r="I174" s="19">
        <f>23.52</f>
        <v>23.52</v>
      </c>
      <c r="J174" s="19">
        <f>I174*0.2*0.265</f>
        <v>1.2465599999999999</v>
      </c>
      <c r="L174" s="19">
        <f>SUM(J174:K174)</f>
        <v>1.2465599999999999</v>
      </c>
    </row>
    <row r="175" spans="1:12" ht="13.5" x14ac:dyDescent="0.2">
      <c r="A175" s="195"/>
      <c r="B175" s="196" t="s">
        <v>319</v>
      </c>
      <c r="C175" s="197" t="s">
        <v>156</v>
      </c>
      <c r="D175" s="198">
        <v>1</v>
      </c>
      <c r="E175" s="209"/>
      <c r="F175" s="199"/>
      <c r="G175" s="200">
        <f t="shared" si="16"/>
        <v>0</v>
      </c>
      <c r="I175" s="19">
        <f>3.7*5</f>
        <v>18.5</v>
      </c>
      <c r="J175" s="19">
        <f>I175*0.2*0.265</f>
        <v>0.98050000000000015</v>
      </c>
    </row>
    <row r="176" spans="1:12" ht="13.5" x14ac:dyDescent="0.2">
      <c r="A176" s="195"/>
      <c r="B176" s="196" t="s">
        <v>318</v>
      </c>
      <c r="C176" s="197" t="s">
        <v>156</v>
      </c>
      <c r="D176" s="198">
        <v>0.16</v>
      </c>
      <c r="E176" s="209"/>
      <c r="F176" s="199"/>
      <c r="G176" s="200">
        <f t="shared" si="16"/>
        <v>0</v>
      </c>
      <c r="I176" s="19">
        <f>3.02</f>
        <v>3.02</v>
      </c>
      <c r="J176" s="19">
        <f>I176*0.2*0.265</f>
        <v>0.16006000000000004</v>
      </c>
    </row>
    <row r="177" spans="1:13" ht="13.5" x14ac:dyDescent="0.2">
      <c r="A177" s="195"/>
      <c r="B177" s="196" t="s">
        <v>333</v>
      </c>
      <c r="C177" s="197" t="s">
        <v>156</v>
      </c>
      <c r="D177" s="198">
        <v>1.48</v>
      </c>
      <c r="E177" s="209"/>
      <c r="F177" s="199"/>
      <c r="G177" s="200">
        <f t="shared" si="16"/>
        <v>0</v>
      </c>
      <c r="I177" s="19">
        <f>3.7*5</f>
        <v>18.5</v>
      </c>
      <c r="J177" s="19">
        <f>I177*0.3*0.265</f>
        <v>1.47075</v>
      </c>
    </row>
    <row r="178" spans="1:13" x14ac:dyDescent="0.2">
      <c r="A178" s="195" t="s">
        <v>146</v>
      </c>
      <c r="B178" s="201" t="s">
        <v>143</v>
      </c>
      <c r="C178" s="197"/>
      <c r="D178" s="198"/>
      <c r="E178" s="199"/>
      <c r="F178" s="199"/>
      <c r="G178" s="200"/>
    </row>
    <row r="179" spans="1:13" ht="13.5" x14ac:dyDescent="0.2">
      <c r="A179" s="195"/>
      <c r="B179" s="196" t="s">
        <v>320</v>
      </c>
      <c r="C179" s="197" t="s">
        <v>156</v>
      </c>
      <c r="D179" s="198">
        <v>34.32</v>
      </c>
      <c r="E179" s="209"/>
      <c r="F179" s="199"/>
      <c r="G179" s="200"/>
      <c r="I179" s="19">
        <f>280*0.135</f>
        <v>37.800000000000004</v>
      </c>
      <c r="J179" s="19" t="e">
        <f>#REF!</f>
        <v>#REF!</v>
      </c>
      <c r="K179" s="19">
        <f>12.35*0.135</f>
        <v>1.6672500000000001</v>
      </c>
      <c r="L179" s="19" t="e">
        <f>J179+K179</f>
        <v>#REF!</v>
      </c>
      <c r="M179" s="19" t="e">
        <f>I179-L179</f>
        <v>#REF!</v>
      </c>
    </row>
    <row r="180" spans="1:13" x14ac:dyDescent="0.2">
      <c r="A180" s="195" t="s">
        <v>147</v>
      </c>
      <c r="B180" s="201" t="s">
        <v>196</v>
      </c>
      <c r="C180" s="197"/>
      <c r="D180" s="198"/>
      <c r="E180" s="199"/>
      <c r="F180" s="199"/>
      <c r="G180" s="200"/>
    </row>
    <row r="181" spans="1:13" ht="13.5" x14ac:dyDescent="0.2">
      <c r="A181" s="195"/>
      <c r="B181" s="196" t="s">
        <v>309</v>
      </c>
      <c r="C181" s="197" t="s">
        <v>156</v>
      </c>
      <c r="D181" s="198">
        <v>5.5519999999999996</v>
      </c>
      <c r="E181" s="209"/>
      <c r="F181" s="199"/>
      <c r="G181" s="200">
        <f t="shared" ref="G181:G183" si="17">(D181*E181)+(D181*F181)</f>
        <v>0</v>
      </c>
      <c r="I181" s="19">
        <f>0.3*0.3*3.5*13</f>
        <v>4.0949999999999998</v>
      </c>
    </row>
    <row r="182" spans="1:13" ht="13.5" x14ac:dyDescent="0.2">
      <c r="A182" s="195"/>
      <c r="B182" s="196" t="s">
        <v>310</v>
      </c>
      <c r="C182" s="197" t="s">
        <v>156</v>
      </c>
      <c r="D182" s="198">
        <v>0.86</v>
      </c>
      <c r="E182" s="209"/>
      <c r="F182" s="199"/>
      <c r="G182" s="200">
        <f t="shared" si="17"/>
        <v>0</v>
      </c>
      <c r="I182" s="19">
        <f>0.3*0.3*3.5*2</f>
        <v>0.63</v>
      </c>
      <c r="J182" s="19">
        <f>0.2*0.2*3.4*4</f>
        <v>0.54400000000000004</v>
      </c>
      <c r="K182" s="19">
        <f>SUM(I182:J182)</f>
        <v>1.1739999999999999</v>
      </c>
    </row>
    <row r="183" spans="1:13" ht="13.5" x14ac:dyDescent="0.2">
      <c r="A183" s="195"/>
      <c r="B183" s="196" t="s">
        <v>311</v>
      </c>
      <c r="C183" s="197" t="s">
        <v>156</v>
      </c>
      <c r="D183" s="198">
        <v>0.4</v>
      </c>
      <c r="E183" s="209"/>
      <c r="F183" s="199"/>
      <c r="G183" s="200">
        <f t="shared" si="17"/>
        <v>0</v>
      </c>
      <c r="I183" s="19">
        <f>0.4*0.2*3.5</f>
        <v>0.28000000000000003</v>
      </c>
    </row>
    <row r="184" spans="1:13" ht="13.5" x14ac:dyDescent="0.2">
      <c r="A184" s="195"/>
      <c r="B184" s="196" t="s">
        <v>512</v>
      </c>
      <c r="C184" s="197" t="s">
        <v>156</v>
      </c>
      <c r="D184" s="198">
        <v>2.2050000000000001</v>
      </c>
      <c r="E184" s="209"/>
      <c r="F184" s="199"/>
      <c r="G184" s="200"/>
      <c r="I184" s="19">
        <f>0.3*0.3*3.5*7</f>
        <v>2.2050000000000001</v>
      </c>
    </row>
    <row r="185" spans="1:13" ht="13.5" x14ac:dyDescent="0.2">
      <c r="A185" s="195" t="s">
        <v>148</v>
      </c>
      <c r="B185" s="196" t="s">
        <v>249</v>
      </c>
      <c r="C185" s="197" t="s">
        <v>156</v>
      </c>
      <c r="D185" s="198">
        <v>2.5</v>
      </c>
      <c r="E185" s="209"/>
      <c r="F185" s="199"/>
      <c r="G185" s="200">
        <f t="shared" ref="G185" si="18">(D185*E185)+(D185*F185)</f>
        <v>0</v>
      </c>
    </row>
    <row r="186" spans="1:13" x14ac:dyDescent="0.2">
      <c r="A186" s="195" t="s">
        <v>149</v>
      </c>
      <c r="B186" s="201" t="s">
        <v>542</v>
      </c>
      <c r="C186" s="197"/>
      <c r="D186" s="198"/>
      <c r="E186" s="199"/>
      <c r="F186" s="199"/>
      <c r="G186" s="200"/>
    </row>
    <row r="187" spans="1:13" ht="13.5" x14ac:dyDescent="0.2">
      <c r="A187" s="195"/>
      <c r="B187" s="196" t="s">
        <v>314</v>
      </c>
      <c r="C187" s="197" t="s">
        <v>156</v>
      </c>
      <c r="D187" s="198">
        <v>0.28000000000000003</v>
      </c>
      <c r="E187" s="209"/>
      <c r="F187" s="199"/>
      <c r="G187" s="200">
        <f t="shared" ref="G187:G190" si="19">(D187*E187)+(D187*F187)</f>
        <v>0</v>
      </c>
      <c r="I187" s="19">
        <f>3.52*0.3*0.265</f>
        <v>0.27984000000000003</v>
      </c>
    </row>
    <row r="188" spans="1:13" ht="13.5" x14ac:dyDescent="0.2">
      <c r="A188" s="195"/>
      <c r="B188" s="196" t="s">
        <v>315</v>
      </c>
      <c r="C188" s="197" t="s">
        <v>156</v>
      </c>
      <c r="D188" s="198">
        <v>0.18</v>
      </c>
      <c r="E188" s="209"/>
      <c r="F188" s="199"/>
      <c r="G188" s="200">
        <f t="shared" si="19"/>
        <v>0</v>
      </c>
      <c r="I188" s="19">
        <f>3.27*0.2*0.265</f>
        <v>0.17331000000000002</v>
      </c>
    </row>
    <row r="189" spans="1:13" ht="13.5" x14ac:dyDescent="0.2">
      <c r="A189" s="195"/>
      <c r="B189" s="196" t="s">
        <v>317</v>
      </c>
      <c r="C189" s="197" t="s">
        <v>156</v>
      </c>
      <c r="D189" s="198">
        <v>0.16</v>
      </c>
      <c r="E189" s="209"/>
      <c r="F189" s="199"/>
      <c r="G189" s="200">
        <f t="shared" si="19"/>
        <v>0</v>
      </c>
      <c r="I189" s="19">
        <f>2.92*0.2*0.265</f>
        <v>0.15476000000000001</v>
      </c>
      <c r="J189" s="19">
        <f>2.92*0.2*0.27</f>
        <v>0.15767999999999999</v>
      </c>
    </row>
    <row r="190" spans="1:13" ht="13.5" x14ac:dyDescent="0.2">
      <c r="A190" s="195"/>
      <c r="B190" s="196" t="s">
        <v>318</v>
      </c>
      <c r="C190" s="197" t="s">
        <v>156</v>
      </c>
      <c r="D190" s="198">
        <v>0.16</v>
      </c>
      <c r="E190" s="209"/>
      <c r="F190" s="199"/>
      <c r="G190" s="200">
        <f t="shared" si="19"/>
        <v>0</v>
      </c>
      <c r="I190" s="19">
        <f>2.97*0.2*0.265</f>
        <v>0.15741000000000002</v>
      </c>
    </row>
    <row r="191" spans="1:13" x14ac:dyDescent="0.2">
      <c r="A191" s="195" t="s">
        <v>502</v>
      </c>
      <c r="B191" s="201" t="s">
        <v>543</v>
      </c>
      <c r="C191" s="197"/>
      <c r="D191" s="198"/>
      <c r="E191" s="199"/>
      <c r="F191" s="199"/>
      <c r="G191" s="200"/>
    </row>
    <row r="192" spans="1:13" ht="13.5" x14ac:dyDescent="0.2">
      <c r="A192" s="195"/>
      <c r="B192" s="196" t="s">
        <v>544</v>
      </c>
      <c r="C192" s="197" t="s">
        <v>156</v>
      </c>
      <c r="D192" s="198">
        <v>2.52</v>
      </c>
      <c r="E192" s="209"/>
      <c r="F192" s="199"/>
      <c r="G192" s="200">
        <f>(D192*E192)+(D192*F192)</f>
        <v>0</v>
      </c>
      <c r="I192" s="19">
        <f>5.3*3.52*0.135</f>
        <v>2.5185599999999999</v>
      </c>
      <c r="J192" s="19">
        <f>5.3*3.52</f>
        <v>18.655999999999999</v>
      </c>
    </row>
    <row r="193" spans="1:15" x14ac:dyDescent="0.2">
      <c r="A193" s="186"/>
      <c r="B193" s="187"/>
      <c r="C193" s="188"/>
      <c r="D193" s="189"/>
      <c r="E193" s="190"/>
      <c r="F193" s="180"/>
      <c r="G193" s="166"/>
    </row>
    <row r="194" spans="1:15" x14ac:dyDescent="0.2">
      <c r="A194" s="170" t="s">
        <v>173</v>
      </c>
      <c r="B194" s="171" t="s">
        <v>253</v>
      </c>
      <c r="C194" s="182"/>
      <c r="D194" s="183"/>
      <c r="E194" s="184"/>
      <c r="F194" s="184"/>
      <c r="G194" s="185"/>
    </row>
    <row r="195" spans="1:15" x14ac:dyDescent="0.2">
      <c r="A195" s="195" t="s">
        <v>109</v>
      </c>
      <c r="B195" s="201" t="s">
        <v>254</v>
      </c>
      <c r="C195" s="197"/>
      <c r="D195" s="198"/>
      <c r="E195" s="199"/>
      <c r="F195" s="199"/>
      <c r="G195" s="200"/>
    </row>
    <row r="196" spans="1:15" ht="13.5" x14ac:dyDescent="0.2">
      <c r="A196" s="195"/>
      <c r="B196" s="196" t="s">
        <v>323</v>
      </c>
      <c r="C196" s="197" t="s">
        <v>156</v>
      </c>
      <c r="D196" s="198">
        <v>0.62</v>
      </c>
      <c r="E196" s="209"/>
      <c r="F196" s="199"/>
      <c r="G196" s="200">
        <f>(D196*E196)+(D196*F196)</f>
        <v>0</v>
      </c>
      <c r="I196" s="19">
        <f>7.7*0.4*0.2</f>
        <v>0.6160000000000001</v>
      </c>
    </row>
    <row r="197" spans="1:15" ht="13.5" x14ac:dyDescent="0.2">
      <c r="A197" s="195"/>
      <c r="B197" s="196" t="s">
        <v>324</v>
      </c>
      <c r="C197" s="197" t="s">
        <v>156</v>
      </c>
      <c r="D197" s="198">
        <v>3.45</v>
      </c>
      <c r="E197" s="209"/>
      <c r="F197" s="199"/>
      <c r="G197" s="200">
        <f t="shared" ref="G197:G198" si="20">(D197*E197)+(D197*F197)</f>
        <v>0</v>
      </c>
      <c r="I197" s="19">
        <f>3.5*0.2*0.4*7</f>
        <v>1.9600000000000002</v>
      </c>
      <c r="J197" s="19">
        <f>3.7*0.2*0.4*5</f>
        <v>1.4800000000000002</v>
      </c>
      <c r="K197" s="19">
        <f>SUM(I197:J197)</f>
        <v>3.4400000000000004</v>
      </c>
    </row>
    <row r="198" spans="1:15" ht="13.5" x14ac:dyDescent="0.2">
      <c r="A198" s="195"/>
      <c r="B198" s="196" t="s">
        <v>317</v>
      </c>
      <c r="C198" s="197" t="s">
        <v>156</v>
      </c>
      <c r="D198" s="198">
        <v>2.85</v>
      </c>
      <c r="E198" s="209"/>
      <c r="F198" s="199"/>
      <c r="G198" s="200">
        <f t="shared" si="20"/>
        <v>0</v>
      </c>
      <c r="I198" s="19">
        <f>3.7*0.2*0.25*5</f>
        <v>0.92500000000000016</v>
      </c>
      <c r="J198" s="19">
        <f>(4.08+3.22+2.92)*0.2*0.4</f>
        <v>0.8176000000000001</v>
      </c>
      <c r="K198" s="19">
        <f>3.775*0.2*0.25*5</f>
        <v>0.94374999999999998</v>
      </c>
      <c r="L198" s="19">
        <f>3*0.2*0.25</f>
        <v>0.15000000000000002</v>
      </c>
      <c r="M198" s="19">
        <f>SUM(I198:L198)</f>
        <v>2.8363500000000004</v>
      </c>
    </row>
    <row r="199" spans="1:15" x14ac:dyDescent="0.2">
      <c r="A199" s="195" t="s">
        <v>161</v>
      </c>
      <c r="B199" s="201" t="s">
        <v>325</v>
      </c>
      <c r="C199" s="197"/>
      <c r="D199" s="198"/>
      <c r="E199" s="199"/>
      <c r="F199" s="199"/>
      <c r="G199" s="200"/>
    </row>
    <row r="200" spans="1:15" ht="13.5" x14ac:dyDescent="0.2">
      <c r="A200" s="195"/>
      <c r="B200" s="196" t="s">
        <v>331</v>
      </c>
      <c r="C200" s="197" t="s">
        <v>156</v>
      </c>
      <c r="D200" s="198">
        <v>4.5</v>
      </c>
      <c r="E200" s="209"/>
      <c r="F200" s="199"/>
      <c r="G200" s="200">
        <f>(D200*E200)+(D200*F200)</f>
        <v>0</v>
      </c>
      <c r="I200" s="19">
        <f>23.72*0.68*0.135</f>
        <v>2.1774960000000001</v>
      </c>
      <c r="J200" s="19">
        <f>20.3*0.83*0.135</f>
        <v>2.2746150000000003</v>
      </c>
      <c r="K200" s="19">
        <f>SUM(I200:J200)</f>
        <v>4.4521110000000004</v>
      </c>
    </row>
    <row r="201" spans="1:15" ht="13.5" x14ac:dyDescent="0.2">
      <c r="A201" s="195"/>
      <c r="B201" s="196" t="s">
        <v>332</v>
      </c>
      <c r="C201" s="197" t="s">
        <v>156</v>
      </c>
      <c r="D201" s="198">
        <v>4.95</v>
      </c>
      <c r="E201" s="209"/>
      <c r="F201" s="199"/>
      <c r="G201" s="200">
        <f>(D201*E201)+(D201*F201)</f>
        <v>0</v>
      </c>
      <c r="I201" s="19">
        <f>20.3*0.4*0.1</f>
        <v>0.81200000000000017</v>
      </c>
      <c r="J201" s="19">
        <f>20.3*0.95*0.1</f>
        <v>1.9285000000000001</v>
      </c>
      <c r="K201" s="19">
        <f>23.72*0.4*0.1</f>
        <v>0.94879999999999998</v>
      </c>
      <c r="L201" s="19">
        <f>23.72*0.48*0.1</f>
        <v>1.1385599999999998</v>
      </c>
      <c r="M201" s="19">
        <f>0.48*0.45*0.1*2</f>
        <v>4.3200000000000002E-2</v>
      </c>
      <c r="N201" s="19">
        <f>0.63*0.43*0.1*2</f>
        <v>5.4179999999999999E-2</v>
      </c>
      <c r="O201" s="19">
        <f>SUM(I201:N201)</f>
        <v>4.9252399999999996</v>
      </c>
    </row>
    <row r="202" spans="1:15" x14ac:dyDescent="0.2">
      <c r="A202" s="195" t="s">
        <v>163</v>
      </c>
      <c r="B202" s="201" t="s">
        <v>196</v>
      </c>
      <c r="C202" s="197"/>
      <c r="D202" s="198"/>
      <c r="E202" s="209"/>
      <c r="F202" s="199"/>
      <c r="G202" s="200"/>
    </row>
    <row r="203" spans="1:15" ht="13.5" x14ac:dyDescent="0.2">
      <c r="A203" s="638"/>
      <c r="B203" s="639" t="s">
        <v>326</v>
      </c>
      <c r="C203" s="500" t="s">
        <v>156</v>
      </c>
      <c r="D203" s="640">
        <v>0.45</v>
      </c>
      <c r="E203" s="501"/>
      <c r="F203" s="641"/>
      <c r="G203" s="642">
        <f t="shared" ref="G203:G205" si="21">(D203*E203)+(D203*F203)</f>
        <v>0</v>
      </c>
      <c r="I203" s="19">
        <f>0.3*0.3*1.66*3</f>
        <v>0.44819999999999993</v>
      </c>
    </row>
    <row r="204" spans="1:15" ht="13.5" x14ac:dyDescent="0.2">
      <c r="A204" s="195"/>
      <c r="B204" s="196" t="s">
        <v>310</v>
      </c>
      <c r="C204" s="197" t="s">
        <v>156</v>
      </c>
      <c r="D204" s="198">
        <v>0.3</v>
      </c>
      <c r="E204" s="209"/>
      <c r="F204" s="199"/>
      <c r="G204" s="200">
        <f t="shared" si="21"/>
        <v>0</v>
      </c>
      <c r="I204" s="19">
        <f>0.3*0.3*1.66*2</f>
        <v>0.29879999999999995</v>
      </c>
      <c r="J204" s="19">
        <f>0.2*0.2*3.4*4</f>
        <v>0.54400000000000004</v>
      </c>
      <c r="K204" s="19">
        <f>SUM(I204:J204)</f>
        <v>0.84279999999999999</v>
      </c>
    </row>
    <row r="205" spans="1:15" ht="13.5" x14ac:dyDescent="0.2">
      <c r="A205" s="195"/>
      <c r="B205" s="196" t="s">
        <v>311</v>
      </c>
      <c r="C205" s="197" t="s">
        <v>156</v>
      </c>
      <c r="D205" s="198">
        <v>0.153</v>
      </c>
      <c r="E205" s="209"/>
      <c r="F205" s="199"/>
      <c r="G205" s="200">
        <f t="shared" si="21"/>
        <v>0</v>
      </c>
      <c r="I205" s="19">
        <f>0.4*0.2*1.66</f>
        <v>0.13280000000000003</v>
      </c>
    </row>
    <row r="206" spans="1:15" x14ac:dyDescent="0.2">
      <c r="A206" s="195" t="s">
        <v>193</v>
      </c>
      <c r="B206" s="201" t="s">
        <v>327</v>
      </c>
      <c r="C206" s="197"/>
      <c r="D206" s="198"/>
      <c r="E206" s="199"/>
      <c r="F206" s="199"/>
      <c r="G206" s="200"/>
    </row>
    <row r="207" spans="1:15" ht="13.5" x14ac:dyDescent="0.2">
      <c r="A207" s="195"/>
      <c r="B207" s="196" t="s">
        <v>317</v>
      </c>
      <c r="C207" s="197" t="s">
        <v>156</v>
      </c>
      <c r="D207" s="198">
        <v>1.25</v>
      </c>
      <c r="E207" s="209"/>
      <c r="F207" s="199"/>
      <c r="G207" s="200">
        <f t="shared" ref="G207" si="22">(D207*E207)+(D207*F207)</f>
        <v>0</v>
      </c>
      <c r="I207" s="19">
        <f>(2.92*2)+4.08+3.22+4.13+3.27+2.97</f>
        <v>23.509999999999998</v>
      </c>
      <c r="J207" s="19">
        <f>I207*0.2*0.265</f>
        <v>1.24603</v>
      </c>
    </row>
    <row r="208" spans="1:15" x14ac:dyDescent="0.2">
      <c r="A208" s="195" t="s">
        <v>329</v>
      </c>
      <c r="B208" s="201" t="s">
        <v>288</v>
      </c>
      <c r="C208" s="197"/>
      <c r="D208" s="198"/>
      <c r="E208" s="199"/>
      <c r="F208" s="199"/>
      <c r="G208" s="200"/>
    </row>
    <row r="209" spans="1:12" ht="24" x14ac:dyDescent="0.2">
      <c r="A209" s="195"/>
      <c r="B209" s="196" t="s">
        <v>475</v>
      </c>
      <c r="C209" s="197" t="s">
        <v>156</v>
      </c>
      <c r="D209" s="198">
        <v>2.1</v>
      </c>
      <c r="E209" s="209"/>
      <c r="F209" s="199"/>
      <c r="G209" s="200">
        <f>(D209*E209)+(D209*F209)</f>
        <v>0</v>
      </c>
      <c r="I209" s="19">
        <f>3.47*3.28*0.135</f>
        <v>1.5365160000000002</v>
      </c>
      <c r="J209" s="19">
        <f>(3.47+3.28)*2</f>
        <v>13.5</v>
      </c>
      <c r="K209" s="19">
        <f>J209*0.15*0.265</f>
        <v>0.53662500000000002</v>
      </c>
      <c r="L209" s="19">
        <f>I209+K209</f>
        <v>2.0731410000000001</v>
      </c>
    </row>
    <row r="210" spans="1:12" ht="24" x14ac:dyDescent="0.2">
      <c r="A210" s="195"/>
      <c r="B210" s="196" t="s">
        <v>474</v>
      </c>
      <c r="C210" s="197" t="s">
        <v>156</v>
      </c>
      <c r="D210" s="198">
        <v>3.9</v>
      </c>
      <c r="E210" s="209"/>
      <c r="F210" s="199"/>
      <c r="G210" s="200">
        <f>(D210*E210)+(D210*F210)</f>
        <v>0</v>
      </c>
      <c r="I210" s="19">
        <f>8.25*3.47*0.135</f>
        <v>3.8647125000000004</v>
      </c>
    </row>
    <row r="211" spans="1:12" x14ac:dyDescent="0.2">
      <c r="A211" s="195"/>
      <c r="B211" s="196"/>
      <c r="C211" s="197"/>
      <c r="D211" s="198"/>
      <c r="E211" s="209"/>
      <c r="F211" s="199"/>
      <c r="G211" s="200"/>
    </row>
    <row r="212" spans="1:12" x14ac:dyDescent="0.2">
      <c r="A212" s="195" t="s">
        <v>330</v>
      </c>
      <c r="B212" s="201" t="s">
        <v>328</v>
      </c>
      <c r="C212" s="197"/>
      <c r="D212" s="198"/>
      <c r="E212" s="199"/>
      <c r="F212" s="199"/>
      <c r="G212" s="200"/>
    </row>
    <row r="213" spans="1:12" ht="13.5" x14ac:dyDescent="0.2">
      <c r="A213" s="195" t="s">
        <v>188</v>
      </c>
      <c r="B213" s="196" t="s">
        <v>473</v>
      </c>
      <c r="C213" s="197" t="s">
        <v>156</v>
      </c>
      <c r="D213" s="198">
        <v>1.45</v>
      </c>
      <c r="E213" s="209"/>
      <c r="F213" s="199"/>
      <c r="G213" s="200">
        <f>(D213*E213)+(D213*F213)</f>
        <v>0</v>
      </c>
      <c r="I213" s="19">
        <f>3.52+8.3+8.3+0.05+0.05+0.05+3.52</f>
        <v>23.790000000000003</v>
      </c>
      <c r="J213" s="19">
        <f>I213*0.1*0.6</f>
        <v>1.4274000000000002</v>
      </c>
    </row>
    <row r="214" spans="1:12" x14ac:dyDescent="0.2">
      <c r="A214" s="176"/>
      <c r="B214" s="177"/>
      <c r="C214" s="178"/>
      <c r="D214" s="179"/>
      <c r="E214" s="105"/>
      <c r="F214" s="180"/>
      <c r="G214" s="166"/>
    </row>
    <row r="215" spans="1:12" x14ac:dyDescent="0.2">
      <c r="A215" s="379"/>
      <c r="B215" s="380"/>
      <c r="C215" s="381"/>
      <c r="D215" s="382"/>
      <c r="E215" s="383"/>
      <c r="F215" s="383"/>
      <c r="G215" s="384"/>
    </row>
    <row r="216" spans="1:12" x14ac:dyDescent="0.2">
      <c r="A216" s="329" t="s">
        <v>70</v>
      </c>
      <c r="B216" s="341" t="s">
        <v>11</v>
      </c>
      <c r="C216" s="330"/>
      <c r="D216" s="331"/>
      <c r="E216" s="332"/>
      <c r="F216" s="331"/>
      <c r="G216" s="342"/>
    </row>
    <row r="217" spans="1:12" ht="15" customHeight="1" x14ac:dyDescent="0.2">
      <c r="A217" s="297"/>
      <c r="B217" s="624" t="s">
        <v>144</v>
      </c>
      <c r="C217" s="624"/>
      <c r="D217" s="624"/>
      <c r="E217" s="624"/>
      <c r="F217" s="346"/>
      <c r="G217" s="347"/>
    </row>
    <row r="218" spans="1:12" ht="38.25" customHeight="1" x14ac:dyDescent="0.2">
      <c r="A218" s="297"/>
      <c r="B218" s="624" t="s">
        <v>71</v>
      </c>
      <c r="C218" s="624"/>
      <c r="D218" s="624"/>
      <c r="E218" s="624"/>
      <c r="F218" s="346"/>
      <c r="G218" s="347"/>
    </row>
    <row r="219" spans="1:12" ht="30" customHeight="1" x14ac:dyDescent="0.2">
      <c r="A219" s="297"/>
      <c r="B219" s="624" t="s">
        <v>72</v>
      </c>
      <c r="C219" s="624"/>
      <c r="D219" s="624"/>
      <c r="E219" s="624"/>
      <c r="F219" s="346"/>
      <c r="G219" s="347"/>
    </row>
    <row r="220" spans="1:12" ht="36.75" customHeight="1" x14ac:dyDescent="0.2">
      <c r="A220" s="335"/>
      <c r="B220" s="607" t="s">
        <v>73</v>
      </c>
      <c r="C220" s="607"/>
      <c r="D220" s="607"/>
      <c r="E220" s="607"/>
      <c r="F220" s="323"/>
      <c r="G220" s="324"/>
    </row>
    <row r="221" spans="1:12" x14ac:dyDescent="0.2">
      <c r="A221" s="170" t="s">
        <v>169</v>
      </c>
      <c r="B221" s="171" t="s">
        <v>65</v>
      </c>
      <c r="C221" s="172"/>
      <c r="D221" s="173"/>
      <c r="E221" s="174"/>
      <c r="F221" s="174"/>
      <c r="G221" s="175"/>
    </row>
    <row r="222" spans="1:12" x14ac:dyDescent="0.2">
      <c r="A222" s="211" t="s">
        <v>170</v>
      </c>
      <c r="B222" s="215" t="s">
        <v>287</v>
      </c>
      <c r="C222" s="213"/>
      <c r="D222" s="214"/>
      <c r="E222" s="216"/>
      <c r="F222" s="216"/>
      <c r="G222" s="217"/>
    </row>
    <row r="223" spans="1:12" ht="13.5" x14ac:dyDescent="0.2">
      <c r="A223" s="218" t="s">
        <v>224</v>
      </c>
      <c r="B223" s="219" t="s">
        <v>305</v>
      </c>
      <c r="C223" s="197" t="s">
        <v>157</v>
      </c>
      <c r="D223" s="40">
        <v>30.8</v>
      </c>
      <c r="E223" s="209"/>
      <c r="F223" s="220"/>
      <c r="G223" s="200">
        <f t="shared" ref="G223:G226" si="23">(D223*E223)+(D223*F223)</f>
        <v>0</v>
      </c>
      <c r="H223" s="23"/>
      <c r="I223" s="23">
        <f>2.2*4*0.35*10</f>
        <v>30.8</v>
      </c>
      <c r="K223" s="45"/>
    </row>
    <row r="224" spans="1:12" ht="13.5" x14ac:dyDescent="0.2">
      <c r="A224" s="218" t="s">
        <v>225</v>
      </c>
      <c r="B224" s="219" t="s">
        <v>306</v>
      </c>
      <c r="C224" s="197" t="s">
        <v>157</v>
      </c>
      <c r="D224" s="40">
        <v>14</v>
      </c>
      <c r="E224" s="209"/>
      <c r="F224" s="220"/>
      <c r="G224" s="200">
        <f t="shared" si="23"/>
        <v>0</v>
      </c>
      <c r="H224" s="23"/>
      <c r="I224" s="23">
        <f>2*4*0.35*5</f>
        <v>14</v>
      </c>
      <c r="K224" s="45"/>
    </row>
    <row r="225" spans="1:14" ht="13.5" x14ac:dyDescent="0.2">
      <c r="A225" s="218" t="s">
        <v>227</v>
      </c>
      <c r="B225" s="219" t="s">
        <v>307</v>
      </c>
      <c r="C225" s="197" t="s">
        <v>157</v>
      </c>
      <c r="D225" s="40">
        <v>1.92</v>
      </c>
      <c r="E225" s="209"/>
      <c r="F225" s="220"/>
      <c r="G225" s="200">
        <f t="shared" si="23"/>
        <v>0</v>
      </c>
      <c r="H225" s="23"/>
      <c r="I225" s="23">
        <f>1.6*4*0.3*1</f>
        <v>1.92</v>
      </c>
      <c r="K225" s="45"/>
    </row>
    <row r="226" spans="1:14" ht="13.5" x14ac:dyDescent="0.2">
      <c r="A226" s="218" t="s">
        <v>226</v>
      </c>
      <c r="B226" s="219" t="s">
        <v>308</v>
      </c>
      <c r="C226" s="197" t="s">
        <v>157</v>
      </c>
      <c r="D226" s="40">
        <v>11.8</v>
      </c>
      <c r="E226" s="209"/>
      <c r="F226" s="220"/>
      <c r="G226" s="200">
        <f t="shared" si="23"/>
        <v>0</v>
      </c>
      <c r="H226" s="23"/>
      <c r="I226" s="23">
        <f>1.4*4*0.3*7</f>
        <v>11.76</v>
      </c>
      <c r="K226" s="45"/>
    </row>
    <row r="227" spans="1:14" x14ac:dyDescent="0.2">
      <c r="A227" s="211" t="s">
        <v>175</v>
      </c>
      <c r="B227" s="215" t="s">
        <v>304</v>
      </c>
      <c r="C227" s="213"/>
      <c r="D227" s="214"/>
      <c r="E227" s="216"/>
      <c r="F227" s="199"/>
      <c r="G227" s="200">
        <f t="shared" ref="G227:G228" si="24">(D227*E227)+(D227*F227)</f>
        <v>0</v>
      </c>
    </row>
    <row r="228" spans="1:14" ht="13.5" x14ac:dyDescent="0.2">
      <c r="A228" s="218" t="s">
        <v>188</v>
      </c>
      <c r="B228" s="196" t="s">
        <v>302</v>
      </c>
      <c r="C228" s="197" t="s">
        <v>157</v>
      </c>
      <c r="D228" s="198">
        <v>88.2</v>
      </c>
      <c r="E228" s="209"/>
      <c r="F228" s="199"/>
      <c r="G228" s="200">
        <f t="shared" si="24"/>
        <v>0</v>
      </c>
      <c r="I228" s="19">
        <f>23.52*2</f>
        <v>47.04</v>
      </c>
      <c r="J228" s="19">
        <f>11.2*7</f>
        <v>78.399999999999991</v>
      </c>
      <c r="K228" s="19">
        <f>3.7*5</f>
        <v>18.5</v>
      </c>
      <c r="L228" s="19">
        <f>2.92</f>
        <v>2.92</v>
      </c>
      <c r="M228" s="19">
        <f>SUM(I228:L228)</f>
        <v>146.85999999999999</v>
      </c>
      <c r="N228" s="19">
        <f>M228*0.3*2</f>
        <v>88.115999999999985</v>
      </c>
    </row>
    <row r="229" spans="1:14" x14ac:dyDescent="0.2">
      <c r="A229" s="176"/>
      <c r="B229" s="177"/>
      <c r="C229" s="178"/>
      <c r="D229" s="179"/>
      <c r="E229" s="180"/>
      <c r="F229" s="180"/>
      <c r="G229" s="166">
        <f>(D229*E229)+(D229*F229)</f>
        <v>0</v>
      </c>
    </row>
    <row r="230" spans="1:14" x14ac:dyDescent="0.2">
      <c r="A230" s="170" t="s">
        <v>171</v>
      </c>
      <c r="B230" s="171" t="s">
        <v>66</v>
      </c>
      <c r="C230" s="172"/>
      <c r="D230" s="173"/>
      <c r="E230" s="174"/>
      <c r="F230" s="174"/>
      <c r="G230" s="175"/>
    </row>
    <row r="231" spans="1:14" x14ac:dyDescent="0.2">
      <c r="A231" s="195" t="s">
        <v>174</v>
      </c>
      <c r="B231" s="201" t="s">
        <v>335</v>
      </c>
      <c r="C231" s="197"/>
      <c r="D231" s="198"/>
      <c r="E231" s="199"/>
      <c r="F231" s="199"/>
      <c r="G231" s="200"/>
    </row>
    <row r="232" spans="1:14" ht="13.5" x14ac:dyDescent="0.2">
      <c r="A232" s="195" t="s">
        <v>188</v>
      </c>
      <c r="B232" s="196" t="s">
        <v>309</v>
      </c>
      <c r="C232" s="197" t="s">
        <v>157</v>
      </c>
      <c r="D232" s="198">
        <v>86.4</v>
      </c>
      <c r="E232" s="209"/>
      <c r="F232" s="199"/>
      <c r="G232" s="200">
        <f t="shared" ref="G232:G234" si="25">(D232*E232)+(D232*F232)</f>
        <v>0</v>
      </c>
      <c r="I232" s="19">
        <f>0.7*2*4.745*13</f>
        <v>86.358999999999995</v>
      </c>
    </row>
    <row r="233" spans="1:14" ht="13.5" x14ac:dyDescent="0.2">
      <c r="A233" s="195" t="s">
        <v>189</v>
      </c>
      <c r="B233" s="196" t="s">
        <v>310</v>
      </c>
      <c r="C233" s="197" t="s">
        <v>157</v>
      </c>
      <c r="D233" s="198">
        <v>13.3</v>
      </c>
      <c r="E233" s="209"/>
      <c r="F233" s="199"/>
      <c r="G233" s="200">
        <f t="shared" si="25"/>
        <v>0</v>
      </c>
      <c r="I233" s="19">
        <f>0.7*2*4.745*2</f>
        <v>13.286</v>
      </c>
      <c r="J233" s="19">
        <f>0.2*0.2*3.4*4</f>
        <v>0.54400000000000004</v>
      </c>
      <c r="K233" s="19">
        <f>SUM(I233:J233)</f>
        <v>13.83</v>
      </c>
    </row>
    <row r="234" spans="1:14" ht="13.5" x14ac:dyDescent="0.2">
      <c r="A234" s="195" t="s">
        <v>202</v>
      </c>
      <c r="B234" s="196" t="s">
        <v>311</v>
      </c>
      <c r="C234" s="197" t="s">
        <v>157</v>
      </c>
      <c r="D234" s="198">
        <v>6.65</v>
      </c>
      <c r="E234" s="209"/>
      <c r="F234" s="199"/>
      <c r="G234" s="200">
        <f t="shared" si="25"/>
        <v>0</v>
      </c>
      <c r="I234" s="19">
        <f>0.7*2*4.745</f>
        <v>6.6429999999999998</v>
      </c>
    </row>
    <row r="235" spans="1:14" ht="13.5" x14ac:dyDescent="0.2">
      <c r="A235" s="195" t="s">
        <v>203</v>
      </c>
      <c r="B235" s="196" t="s">
        <v>511</v>
      </c>
      <c r="C235" s="197" t="s">
        <v>157</v>
      </c>
      <c r="D235" s="198">
        <v>43.6</v>
      </c>
      <c r="E235" s="209"/>
      <c r="F235" s="199"/>
      <c r="G235" s="200"/>
      <c r="I235" s="19">
        <f>1.4*4.45*7</f>
        <v>43.61</v>
      </c>
    </row>
    <row r="236" spans="1:14" ht="13.5" x14ac:dyDescent="0.2">
      <c r="A236" s="195" t="s">
        <v>9</v>
      </c>
      <c r="B236" s="196" t="s">
        <v>249</v>
      </c>
      <c r="C236" s="197" t="s">
        <v>157</v>
      </c>
      <c r="D236" s="198">
        <v>33</v>
      </c>
      <c r="E236" s="209"/>
      <c r="F236" s="199"/>
      <c r="G236" s="200">
        <f t="shared" ref="G236" si="26">(D236*E236)+(D236*F236)</f>
        <v>0</v>
      </c>
      <c r="I236" s="19">
        <f>1.6*3.5</f>
        <v>5.6000000000000005</v>
      </c>
      <c r="J236" s="19">
        <f>1.66*3.47</f>
        <v>5.7602000000000002</v>
      </c>
      <c r="K236" s="19">
        <f>0.167*1.75*21</f>
        <v>6.1372499999999999</v>
      </c>
      <c r="L236" s="19">
        <f>4*3.87</f>
        <v>15.48</v>
      </c>
      <c r="M236" s="19">
        <f>SUM(I236:L236)</f>
        <v>32.977450000000005</v>
      </c>
    </row>
    <row r="237" spans="1:14" x14ac:dyDescent="0.2">
      <c r="A237" s="195" t="s">
        <v>18</v>
      </c>
      <c r="B237" s="201" t="s">
        <v>246</v>
      </c>
      <c r="C237" s="197"/>
      <c r="D237" s="198"/>
      <c r="E237" s="199"/>
      <c r="F237" s="199"/>
      <c r="G237" s="200">
        <f t="shared" ref="G237:G238" si="27">(D237*E237)+(D237*F237)</f>
        <v>0</v>
      </c>
    </row>
    <row r="238" spans="1:14" ht="13.5" x14ac:dyDescent="0.2">
      <c r="A238" s="195" t="s">
        <v>188</v>
      </c>
      <c r="B238" s="196" t="s">
        <v>322</v>
      </c>
      <c r="C238" s="197" t="s">
        <v>157</v>
      </c>
      <c r="D238" s="198">
        <v>280</v>
      </c>
      <c r="E238" s="209"/>
      <c r="F238" s="199"/>
      <c r="G238" s="200">
        <f t="shared" si="27"/>
        <v>0</v>
      </c>
      <c r="I238" s="19">
        <f>11.9*23.52</f>
        <v>279.88799999999998</v>
      </c>
    </row>
    <row r="239" spans="1:14" ht="13.5" customHeight="1" x14ac:dyDescent="0.2">
      <c r="A239" s="195" t="s">
        <v>47</v>
      </c>
      <c r="B239" s="201" t="s">
        <v>540</v>
      </c>
      <c r="C239" s="197"/>
      <c r="D239" s="198"/>
      <c r="E239" s="209"/>
      <c r="F239" s="199"/>
      <c r="G239" s="200">
        <f t="shared" ref="G239:G245" si="28">(D239*E239)+(D239*F239)</f>
        <v>0</v>
      </c>
    </row>
    <row r="240" spans="1:14" ht="13.5" customHeight="1" x14ac:dyDescent="0.2">
      <c r="A240" s="195"/>
      <c r="B240" s="196" t="s">
        <v>314</v>
      </c>
      <c r="C240" s="197" t="s">
        <v>157</v>
      </c>
      <c r="D240" s="198">
        <v>3.75</v>
      </c>
      <c r="E240" s="209"/>
      <c r="F240" s="199"/>
      <c r="G240" s="200">
        <f t="shared" si="28"/>
        <v>0</v>
      </c>
      <c r="I240" s="19">
        <f>3.52*1.065</f>
        <v>3.7487999999999997</v>
      </c>
    </row>
    <row r="241" spans="1:12" ht="13.5" customHeight="1" x14ac:dyDescent="0.2">
      <c r="A241" s="195"/>
      <c r="B241" s="196" t="s">
        <v>315</v>
      </c>
      <c r="C241" s="197" t="s">
        <v>157</v>
      </c>
      <c r="D241" s="198">
        <v>3.16</v>
      </c>
      <c r="E241" s="209"/>
      <c r="F241" s="199"/>
      <c r="G241" s="200">
        <f t="shared" si="28"/>
        <v>0</v>
      </c>
      <c r="I241" s="19">
        <f>3.27*0.965</f>
        <v>3.1555499999999999</v>
      </c>
    </row>
    <row r="242" spans="1:12" ht="13.5" customHeight="1" x14ac:dyDescent="0.2">
      <c r="A242" s="195"/>
      <c r="B242" s="196" t="s">
        <v>317</v>
      </c>
      <c r="C242" s="197" t="s">
        <v>157</v>
      </c>
      <c r="D242" s="198">
        <v>2.82</v>
      </c>
      <c r="E242" s="209"/>
      <c r="F242" s="199"/>
      <c r="G242" s="200">
        <f t="shared" si="28"/>
        <v>0</v>
      </c>
      <c r="I242" s="19">
        <f>2.92*0.965</f>
        <v>2.8177999999999996</v>
      </c>
    </row>
    <row r="243" spans="1:12" ht="13.5" customHeight="1" x14ac:dyDescent="0.2">
      <c r="A243" s="638"/>
      <c r="B243" s="639" t="s">
        <v>318</v>
      </c>
      <c r="C243" s="500" t="s">
        <v>157</v>
      </c>
      <c r="D243" s="640">
        <v>2.87</v>
      </c>
      <c r="E243" s="501"/>
      <c r="F243" s="641"/>
      <c r="G243" s="642">
        <f t="shared" si="28"/>
        <v>0</v>
      </c>
      <c r="I243" s="19">
        <f>2.97*0.965</f>
        <v>2.86605</v>
      </c>
    </row>
    <row r="244" spans="1:12" ht="13.5" customHeight="1" x14ac:dyDescent="0.2">
      <c r="A244" s="195" t="s">
        <v>236</v>
      </c>
      <c r="B244" s="201" t="s">
        <v>541</v>
      </c>
      <c r="C244" s="197"/>
      <c r="D244" s="198"/>
      <c r="E244" s="209"/>
      <c r="F244" s="199"/>
      <c r="G244" s="200">
        <f t="shared" si="28"/>
        <v>0</v>
      </c>
    </row>
    <row r="245" spans="1:12" ht="13.5" customHeight="1" x14ac:dyDescent="0.2">
      <c r="A245" s="195" t="s">
        <v>188</v>
      </c>
      <c r="B245" s="196" t="s">
        <v>321</v>
      </c>
      <c r="C245" s="197" t="s">
        <v>157</v>
      </c>
      <c r="D245" s="198">
        <v>13.63</v>
      </c>
      <c r="E245" s="209"/>
      <c r="F245" s="199"/>
      <c r="G245" s="200">
        <f t="shared" si="28"/>
        <v>0</v>
      </c>
      <c r="I245" s="19">
        <f>3.87*3.52</f>
        <v>13.622400000000001</v>
      </c>
    </row>
    <row r="246" spans="1:12" ht="13.5" customHeight="1" x14ac:dyDescent="0.2">
      <c r="A246" s="195"/>
      <c r="B246" s="196"/>
      <c r="C246" s="197"/>
      <c r="D246" s="198"/>
      <c r="E246" s="209"/>
      <c r="F246" s="199"/>
      <c r="G246" s="200"/>
    </row>
    <row r="247" spans="1:12" x14ac:dyDescent="0.2">
      <c r="A247" s="170" t="s">
        <v>56</v>
      </c>
      <c r="B247" s="171" t="s">
        <v>68</v>
      </c>
      <c r="C247" s="182"/>
      <c r="D247" s="183"/>
      <c r="E247" s="184"/>
      <c r="F247" s="184"/>
      <c r="G247" s="185"/>
    </row>
    <row r="248" spans="1:12" x14ac:dyDescent="0.2">
      <c r="A248" s="195" t="s">
        <v>176</v>
      </c>
      <c r="B248" s="201" t="s">
        <v>250</v>
      </c>
      <c r="C248" s="197"/>
      <c r="D248" s="198"/>
      <c r="E248" s="199"/>
      <c r="F248" s="199"/>
      <c r="G248" s="200"/>
    </row>
    <row r="249" spans="1:12" ht="13.5" x14ac:dyDescent="0.2">
      <c r="A249" s="195"/>
      <c r="B249" s="196" t="s">
        <v>312</v>
      </c>
      <c r="C249" s="197" t="s">
        <v>157</v>
      </c>
      <c r="D249" s="198">
        <v>59.95</v>
      </c>
      <c r="E249" s="209"/>
      <c r="F249" s="199"/>
      <c r="G249" s="200">
        <f>(D249*E249)+(D249*F249)</f>
        <v>0</v>
      </c>
      <c r="I249" s="19">
        <f>7.7*5</f>
        <v>38.5</v>
      </c>
      <c r="J249" s="19">
        <f>7.7*1.665</f>
        <v>12.820500000000001</v>
      </c>
      <c r="K249" s="19">
        <f>7.7*1.53*4</f>
        <v>47.124000000000002</v>
      </c>
      <c r="L249" s="19">
        <f>SUM(J249:K249)</f>
        <v>59.944500000000005</v>
      </c>
    </row>
    <row r="250" spans="1:12" ht="13.5" x14ac:dyDescent="0.2">
      <c r="A250" s="195"/>
      <c r="B250" s="196" t="s">
        <v>313</v>
      </c>
      <c r="C250" s="197" t="s">
        <v>157</v>
      </c>
      <c r="D250" s="198">
        <v>16.75</v>
      </c>
      <c r="E250" s="209"/>
      <c r="F250" s="199"/>
      <c r="G250" s="200">
        <f t="shared" ref="G250:G257" si="29">(D250*E250)+(D250*F250)</f>
        <v>0</v>
      </c>
      <c r="I250" s="19">
        <f>3.5*5</f>
        <v>17.5</v>
      </c>
      <c r="J250" s="19">
        <f>I250*0.93</f>
        <v>16.275000000000002</v>
      </c>
      <c r="K250" s="19">
        <f>3.5*0.135</f>
        <v>0.47250000000000003</v>
      </c>
      <c r="L250" s="19">
        <f>SUM(J250:K250)</f>
        <v>16.747500000000002</v>
      </c>
    </row>
    <row r="251" spans="1:12" ht="13.5" x14ac:dyDescent="0.2">
      <c r="A251" s="195"/>
      <c r="B251" s="196" t="s">
        <v>314</v>
      </c>
      <c r="C251" s="197" t="s">
        <v>157</v>
      </c>
      <c r="D251" s="198">
        <v>7.17</v>
      </c>
      <c r="E251" s="209"/>
      <c r="F251" s="199"/>
      <c r="G251" s="200">
        <f t="shared" si="29"/>
        <v>0</v>
      </c>
      <c r="I251" s="19">
        <f>7.7</f>
        <v>7.7</v>
      </c>
      <c r="J251" s="19">
        <f>0.93*I251</f>
        <v>7.1610000000000005</v>
      </c>
    </row>
    <row r="252" spans="1:12" ht="13.5" x14ac:dyDescent="0.2">
      <c r="A252" s="195"/>
      <c r="B252" s="196" t="s">
        <v>315</v>
      </c>
      <c r="C252" s="197" t="s">
        <v>157</v>
      </c>
      <c r="D252" s="198">
        <v>4.55</v>
      </c>
      <c r="E252" s="209"/>
      <c r="F252" s="199"/>
      <c r="G252" s="200">
        <f t="shared" si="29"/>
        <v>0</v>
      </c>
      <c r="I252" s="19">
        <f>4.13</f>
        <v>4.13</v>
      </c>
      <c r="J252" s="19">
        <f>I252*1.1</f>
        <v>4.5430000000000001</v>
      </c>
    </row>
    <row r="253" spans="1:12" ht="13.5" x14ac:dyDescent="0.2">
      <c r="A253" s="195"/>
      <c r="B253" s="196" t="s">
        <v>316</v>
      </c>
      <c r="C253" s="197" t="s">
        <v>157</v>
      </c>
      <c r="D253" s="198">
        <v>5.81</v>
      </c>
      <c r="E253" s="209"/>
      <c r="F253" s="199"/>
      <c r="G253" s="200">
        <f t="shared" si="29"/>
        <v>0</v>
      </c>
      <c r="I253" s="19">
        <f>3.5*2</f>
        <v>7</v>
      </c>
      <c r="J253" s="19">
        <f>I253*0.83</f>
        <v>5.81</v>
      </c>
    </row>
    <row r="254" spans="1:12" ht="13.5" x14ac:dyDescent="0.2">
      <c r="A254" s="195"/>
      <c r="B254" s="196" t="s">
        <v>317</v>
      </c>
      <c r="C254" s="197" t="s">
        <v>157</v>
      </c>
      <c r="D254" s="198">
        <v>19.52</v>
      </c>
      <c r="E254" s="209"/>
      <c r="F254" s="199"/>
      <c r="G254" s="200">
        <f t="shared" si="29"/>
        <v>0</v>
      </c>
      <c r="I254" s="19">
        <f>23.52</f>
        <v>23.52</v>
      </c>
      <c r="J254" s="19">
        <f>I254*0.83</f>
        <v>19.521599999999999</v>
      </c>
    </row>
    <row r="255" spans="1:12" ht="13.5" x14ac:dyDescent="0.2">
      <c r="A255" s="195"/>
      <c r="B255" s="196" t="s">
        <v>319</v>
      </c>
      <c r="C255" s="197" t="s">
        <v>157</v>
      </c>
      <c r="D255" s="198">
        <v>15.36</v>
      </c>
      <c r="E255" s="209"/>
      <c r="F255" s="199"/>
      <c r="G255" s="200">
        <f t="shared" si="29"/>
        <v>0</v>
      </c>
      <c r="I255" s="19">
        <f>3.7*5</f>
        <v>18.5</v>
      </c>
      <c r="J255" s="19">
        <f>I255*0.83</f>
        <v>15.354999999999999</v>
      </c>
    </row>
    <row r="256" spans="1:12" ht="13.5" x14ac:dyDescent="0.2">
      <c r="A256" s="195"/>
      <c r="B256" s="196" t="s">
        <v>318</v>
      </c>
      <c r="C256" s="197" t="s">
        <v>157</v>
      </c>
      <c r="D256" s="198">
        <v>2.5099999999999998</v>
      </c>
      <c r="E256" s="209"/>
      <c r="F256" s="199"/>
      <c r="G256" s="200">
        <f t="shared" si="29"/>
        <v>0</v>
      </c>
      <c r="I256" s="19">
        <f>3.02</f>
        <v>3.02</v>
      </c>
      <c r="J256" s="19">
        <f>I256*0.83</f>
        <v>2.5065999999999997</v>
      </c>
    </row>
    <row r="257" spans="1:10" ht="13.5" x14ac:dyDescent="0.2">
      <c r="A257" s="195"/>
      <c r="B257" s="196" t="s">
        <v>333</v>
      </c>
      <c r="C257" s="197" t="s">
        <v>157</v>
      </c>
      <c r="D257" s="198">
        <v>19.71</v>
      </c>
      <c r="E257" s="209"/>
      <c r="F257" s="199"/>
      <c r="G257" s="200">
        <f t="shared" si="29"/>
        <v>0</v>
      </c>
      <c r="I257" s="19">
        <f>3.7*5</f>
        <v>18.5</v>
      </c>
      <c r="J257" s="19">
        <f>I257*1.065</f>
        <v>19.702500000000001</v>
      </c>
    </row>
    <row r="258" spans="1:10" x14ac:dyDescent="0.2">
      <c r="A258" s="195" t="s">
        <v>67</v>
      </c>
      <c r="B258" s="201" t="s">
        <v>143</v>
      </c>
      <c r="C258" s="197"/>
      <c r="D258" s="198"/>
      <c r="E258" s="199"/>
      <c r="F258" s="199"/>
      <c r="G258" s="200"/>
    </row>
    <row r="259" spans="1:10" ht="13.5" x14ac:dyDescent="0.2">
      <c r="A259" s="195"/>
      <c r="B259" s="196" t="s">
        <v>320</v>
      </c>
      <c r="C259" s="197" t="s">
        <v>157</v>
      </c>
      <c r="D259" s="198">
        <v>255</v>
      </c>
      <c r="E259" s="209"/>
      <c r="F259" s="199"/>
      <c r="G259" s="200"/>
    </row>
    <row r="260" spans="1:10" x14ac:dyDescent="0.2">
      <c r="A260" s="195" t="s">
        <v>70</v>
      </c>
      <c r="B260" s="201" t="s">
        <v>334</v>
      </c>
      <c r="C260" s="197"/>
      <c r="D260" s="198"/>
      <c r="E260" s="199"/>
      <c r="F260" s="199"/>
      <c r="G260" s="200"/>
    </row>
    <row r="261" spans="1:10" ht="13.5" x14ac:dyDescent="0.2">
      <c r="A261" s="195"/>
      <c r="B261" s="196" t="s">
        <v>309</v>
      </c>
      <c r="C261" s="197" t="s">
        <v>157</v>
      </c>
      <c r="D261" s="198">
        <v>63.7</v>
      </c>
      <c r="E261" s="209"/>
      <c r="F261" s="199"/>
      <c r="G261" s="200">
        <f t="shared" ref="G261:G263" si="30">(D261*E261)+(D261*F261)</f>
        <v>0</v>
      </c>
      <c r="I261" s="19">
        <f>0.7*2*3.5*13</f>
        <v>63.699999999999996</v>
      </c>
    </row>
    <row r="262" spans="1:10" ht="13.5" x14ac:dyDescent="0.2">
      <c r="A262" s="195"/>
      <c r="B262" s="196" t="s">
        <v>310</v>
      </c>
      <c r="C262" s="197" t="s">
        <v>157</v>
      </c>
      <c r="D262" s="198">
        <v>9.8000000000000007</v>
      </c>
      <c r="E262" s="209"/>
      <c r="F262" s="199"/>
      <c r="G262" s="200">
        <f t="shared" si="30"/>
        <v>0</v>
      </c>
      <c r="I262" s="19">
        <f>0.7*2*3.5*2</f>
        <v>9.7999999999999989</v>
      </c>
    </row>
    <row r="263" spans="1:10" ht="13.5" x14ac:dyDescent="0.2">
      <c r="A263" s="195"/>
      <c r="B263" s="196" t="s">
        <v>311</v>
      </c>
      <c r="C263" s="197" t="s">
        <v>157</v>
      </c>
      <c r="D263" s="198">
        <v>4.9000000000000004</v>
      </c>
      <c r="E263" s="209"/>
      <c r="F263" s="199"/>
      <c r="G263" s="200">
        <f t="shared" si="30"/>
        <v>0</v>
      </c>
      <c r="I263" s="19">
        <f>0.7*2*3.5</f>
        <v>4.8999999999999995</v>
      </c>
    </row>
    <row r="264" spans="1:10" ht="13.5" x14ac:dyDescent="0.2">
      <c r="A264" s="195"/>
      <c r="B264" s="196" t="s">
        <v>511</v>
      </c>
      <c r="C264" s="197" t="s">
        <v>157</v>
      </c>
      <c r="D264" s="198">
        <v>34.299999999999997</v>
      </c>
      <c r="E264" s="209"/>
      <c r="F264" s="199"/>
      <c r="G264" s="200"/>
      <c r="I264" s="19">
        <f>1.4*3.5*7</f>
        <v>34.299999999999997</v>
      </c>
    </row>
    <row r="265" spans="1:10" ht="13.5" x14ac:dyDescent="0.2">
      <c r="A265" s="195" t="s">
        <v>99</v>
      </c>
      <c r="B265" s="196" t="s">
        <v>249</v>
      </c>
      <c r="C265" s="197" t="s">
        <v>157</v>
      </c>
      <c r="D265" s="198">
        <v>27.4</v>
      </c>
      <c r="E265" s="209"/>
      <c r="F265" s="199"/>
      <c r="G265" s="200">
        <f t="shared" ref="G265" si="31">(D265*E265)+(D265*F265)</f>
        <v>0</v>
      </c>
    </row>
    <row r="266" spans="1:10" x14ac:dyDescent="0.2">
      <c r="A266" s="195" t="s">
        <v>191</v>
      </c>
      <c r="B266" s="201" t="s">
        <v>540</v>
      </c>
      <c r="C266" s="197"/>
      <c r="D266" s="198"/>
      <c r="E266" s="209"/>
      <c r="F266" s="199"/>
      <c r="G266" s="200">
        <f t="shared" ref="G266:G272" si="32">(D266*E266)+(D266*F266)</f>
        <v>0</v>
      </c>
    </row>
    <row r="267" spans="1:10" ht="13.5" x14ac:dyDescent="0.2">
      <c r="A267" s="195"/>
      <c r="B267" s="196" t="s">
        <v>314</v>
      </c>
      <c r="C267" s="197" t="s">
        <v>157</v>
      </c>
      <c r="D267" s="198">
        <v>3.75</v>
      </c>
      <c r="E267" s="209"/>
      <c r="F267" s="199"/>
      <c r="G267" s="200">
        <f t="shared" si="32"/>
        <v>0</v>
      </c>
      <c r="I267" s="19">
        <f>3.52*1.065</f>
        <v>3.7487999999999997</v>
      </c>
    </row>
    <row r="268" spans="1:10" ht="13.5" x14ac:dyDescent="0.2">
      <c r="A268" s="195"/>
      <c r="B268" s="196" t="s">
        <v>315</v>
      </c>
      <c r="C268" s="197" t="s">
        <v>157</v>
      </c>
      <c r="D268" s="198">
        <v>3.16</v>
      </c>
      <c r="E268" s="209"/>
      <c r="F268" s="199"/>
      <c r="G268" s="200">
        <f t="shared" si="32"/>
        <v>0</v>
      </c>
      <c r="I268" s="19">
        <f>3.27*0.965</f>
        <v>3.1555499999999999</v>
      </c>
    </row>
    <row r="269" spans="1:10" ht="13.5" x14ac:dyDescent="0.2">
      <c r="A269" s="195"/>
      <c r="B269" s="196" t="s">
        <v>317</v>
      </c>
      <c r="C269" s="197" t="s">
        <v>157</v>
      </c>
      <c r="D269" s="198">
        <v>2.82</v>
      </c>
      <c r="E269" s="209"/>
      <c r="F269" s="199"/>
      <c r="G269" s="200">
        <f t="shared" si="32"/>
        <v>0</v>
      </c>
      <c r="I269" s="19">
        <f>2.92*0.965</f>
        <v>2.8177999999999996</v>
      </c>
    </row>
    <row r="270" spans="1:10" ht="13.5" x14ac:dyDescent="0.2">
      <c r="A270" s="195"/>
      <c r="B270" s="196" t="s">
        <v>318</v>
      </c>
      <c r="C270" s="197" t="s">
        <v>157</v>
      </c>
      <c r="D270" s="198">
        <v>2.87</v>
      </c>
      <c r="E270" s="209"/>
      <c r="F270" s="199"/>
      <c r="G270" s="200">
        <f t="shared" si="32"/>
        <v>0</v>
      </c>
      <c r="I270" s="19">
        <f>2.97*0.965</f>
        <v>2.86605</v>
      </c>
    </row>
    <row r="271" spans="1:10" x14ac:dyDescent="0.2">
      <c r="A271" s="195" t="s">
        <v>238</v>
      </c>
      <c r="B271" s="201" t="s">
        <v>541</v>
      </c>
      <c r="C271" s="197"/>
      <c r="D271" s="198"/>
      <c r="E271" s="209"/>
      <c r="F271" s="199"/>
      <c r="G271" s="200">
        <f t="shared" si="32"/>
        <v>0</v>
      </c>
    </row>
    <row r="272" spans="1:10" ht="13.5" x14ac:dyDescent="0.2">
      <c r="A272" s="195"/>
      <c r="B272" s="196" t="s">
        <v>321</v>
      </c>
      <c r="C272" s="197" t="s">
        <v>157</v>
      </c>
      <c r="D272" s="198">
        <v>13.63</v>
      </c>
      <c r="E272" s="209"/>
      <c r="F272" s="199"/>
      <c r="G272" s="200">
        <f t="shared" si="32"/>
        <v>0</v>
      </c>
      <c r="I272" s="19">
        <f>3.87*3.52</f>
        <v>13.622400000000001</v>
      </c>
    </row>
    <row r="273" spans="1:13" x14ac:dyDescent="0.2">
      <c r="A273" s="176"/>
      <c r="B273" s="177"/>
      <c r="C273" s="178"/>
      <c r="D273" s="179"/>
      <c r="E273" s="180"/>
      <c r="F273" s="180"/>
      <c r="G273" s="166"/>
    </row>
    <row r="274" spans="1:13" x14ac:dyDescent="0.2">
      <c r="A274" s="170" t="s">
        <v>172</v>
      </c>
      <c r="B274" s="171" t="s">
        <v>69</v>
      </c>
      <c r="C274" s="182"/>
      <c r="D274" s="183"/>
      <c r="E274" s="184"/>
      <c r="F274" s="184"/>
      <c r="G274" s="185"/>
    </row>
    <row r="275" spans="1:13" x14ac:dyDescent="0.2">
      <c r="A275" s="195" t="s">
        <v>102</v>
      </c>
      <c r="B275" s="201" t="s">
        <v>250</v>
      </c>
      <c r="C275" s="197"/>
      <c r="D275" s="198"/>
      <c r="E275" s="199"/>
      <c r="F275" s="199"/>
      <c r="G275" s="200"/>
    </row>
    <row r="276" spans="1:13" ht="13.5" x14ac:dyDescent="0.2">
      <c r="A276" s="195"/>
      <c r="B276" s="196" t="s">
        <v>312</v>
      </c>
      <c r="C276" s="197" t="s">
        <v>157</v>
      </c>
      <c r="D276" s="198">
        <v>59.95</v>
      </c>
      <c r="E276" s="209"/>
      <c r="F276" s="199"/>
      <c r="G276" s="200">
        <f>(D276*E276)+(D276*F276)</f>
        <v>0</v>
      </c>
      <c r="I276" s="19">
        <f>7.7*5</f>
        <v>38.5</v>
      </c>
      <c r="J276" s="19">
        <f>7.7*1.665</f>
        <v>12.820500000000001</v>
      </c>
      <c r="K276" s="19">
        <f>7.7*1.53*4</f>
        <v>47.124000000000002</v>
      </c>
      <c r="L276" s="19">
        <f>SUM(J276:K276)</f>
        <v>59.944500000000005</v>
      </c>
    </row>
    <row r="277" spans="1:13" ht="13.5" x14ac:dyDescent="0.2">
      <c r="A277" s="195"/>
      <c r="B277" s="196" t="s">
        <v>313</v>
      </c>
      <c r="C277" s="197" t="s">
        <v>157</v>
      </c>
      <c r="D277" s="198">
        <v>16.75</v>
      </c>
      <c r="E277" s="209"/>
      <c r="F277" s="199"/>
      <c r="G277" s="200">
        <f t="shared" ref="G277:G284" si="33">(D277*E277)+(D277*F277)</f>
        <v>0</v>
      </c>
      <c r="I277" s="19">
        <f>3.5*5</f>
        <v>17.5</v>
      </c>
      <c r="J277" s="19">
        <f>I277*0.93</f>
        <v>16.275000000000002</v>
      </c>
      <c r="K277" s="19">
        <f>3.5*0.135</f>
        <v>0.47250000000000003</v>
      </c>
      <c r="L277" s="19">
        <f>SUM(J277:K277)</f>
        <v>16.747500000000002</v>
      </c>
    </row>
    <row r="278" spans="1:13" ht="13.5" x14ac:dyDescent="0.2">
      <c r="A278" s="195"/>
      <c r="B278" s="196" t="s">
        <v>314</v>
      </c>
      <c r="C278" s="197" t="s">
        <v>157</v>
      </c>
      <c r="D278" s="198">
        <v>7.17</v>
      </c>
      <c r="E278" s="209"/>
      <c r="F278" s="199"/>
      <c r="G278" s="200">
        <f t="shared" si="33"/>
        <v>0</v>
      </c>
      <c r="I278" s="19">
        <f>7.7</f>
        <v>7.7</v>
      </c>
      <c r="J278" s="19">
        <f>0.93*I278</f>
        <v>7.1610000000000005</v>
      </c>
    </row>
    <row r="279" spans="1:13" ht="13.5" x14ac:dyDescent="0.2">
      <c r="A279" s="195"/>
      <c r="B279" s="196" t="s">
        <v>315</v>
      </c>
      <c r="C279" s="197" t="s">
        <v>157</v>
      </c>
      <c r="D279" s="198">
        <v>4.55</v>
      </c>
      <c r="E279" s="209"/>
      <c r="F279" s="199"/>
      <c r="G279" s="200">
        <f t="shared" si="33"/>
        <v>0</v>
      </c>
      <c r="I279" s="19">
        <f>4.13</f>
        <v>4.13</v>
      </c>
      <c r="J279" s="19">
        <f>I279*1.1</f>
        <v>4.5430000000000001</v>
      </c>
    </row>
    <row r="280" spans="1:13" ht="13.5" x14ac:dyDescent="0.2">
      <c r="A280" s="195"/>
      <c r="B280" s="196" t="s">
        <v>316</v>
      </c>
      <c r="C280" s="197" t="s">
        <v>157</v>
      </c>
      <c r="D280" s="198">
        <v>5.81</v>
      </c>
      <c r="E280" s="209"/>
      <c r="F280" s="199"/>
      <c r="G280" s="200">
        <f t="shared" si="33"/>
        <v>0</v>
      </c>
      <c r="I280" s="19">
        <f>3.5*2</f>
        <v>7</v>
      </c>
      <c r="J280" s="19">
        <f>I280*0.83</f>
        <v>5.81</v>
      </c>
    </row>
    <row r="281" spans="1:13" ht="13.5" x14ac:dyDescent="0.2">
      <c r="A281" s="195"/>
      <c r="B281" s="196" t="s">
        <v>317</v>
      </c>
      <c r="C281" s="197" t="s">
        <v>157</v>
      </c>
      <c r="D281" s="198">
        <v>19.52</v>
      </c>
      <c r="E281" s="209"/>
      <c r="F281" s="199"/>
      <c r="G281" s="200">
        <f t="shared" si="33"/>
        <v>0</v>
      </c>
      <c r="I281" s="19">
        <f>23.52</f>
        <v>23.52</v>
      </c>
      <c r="J281" s="19">
        <f>I281*0.83</f>
        <v>19.521599999999999</v>
      </c>
    </row>
    <row r="282" spans="1:13" ht="13.5" x14ac:dyDescent="0.2">
      <c r="A282" s="195"/>
      <c r="B282" s="196" t="s">
        <v>319</v>
      </c>
      <c r="C282" s="197" t="s">
        <v>157</v>
      </c>
      <c r="D282" s="198">
        <v>15.36</v>
      </c>
      <c r="E282" s="209"/>
      <c r="F282" s="199"/>
      <c r="G282" s="200">
        <f t="shared" si="33"/>
        <v>0</v>
      </c>
      <c r="I282" s="19">
        <f>3.7*5</f>
        <v>18.5</v>
      </c>
      <c r="J282" s="19">
        <f>I282*0.83</f>
        <v>15.354999999999999</v>
      </c>
    </row>
    <row r="283" spans="1:13" ht="13.5" x14ac:dyDescent="0.2">
      <c r="A283" s="195"/>
      <c r="B283" s="196" t="s">
        <v>318</v>
      </c>
      <c r="C283" s="197" t="s">
        <v>157</v>
      </c>
      <c r="D283" s="198">
        <v>2.5099999999999998</v>
      </c>
      <c r="E283" s="209"/>
      <c r="F283" s="199"/>
      <c r="G283" s="200">
        <f t="shared" si="33"/>
        <v>0</v>
      </c>
      <c r="I283" s="19">
        <f>3.02</f>
        <v>3.02</v>
      </c>
      <c r="J283" s="19">
        <f>I283*0.83</f>
        <v>2.5065999999999997</v>
      </c>
    </row>
    <row r="284" spans="1:13" ht="13.5" x14ac:dyDescent="0.2">
      <c r="A284" s="195"/>
      <c r="B284" s="196" t="s">
        <v>333</v>
      </c>
      <c r="C284" s="197" t="s">
        <v>157</v>
      </c>
      <c r="D284" s="198">
        <v>19.71</v>
      </c>
      <c r="E284" s="209"/>
      <c r="F284" s="199"/>
      <c r="G284" s="200">
        <f t="shared" si="33"/>
        <v>0</v>
      </c>
      <c r="I284" s="19">
        <f>3.7*5</f>
        <v>18.5</v>
      </c>
      <c r="J284" s="19">
        <f>I284*1.065</f>
        <v>19.702500000000001</v>
      </c>
    </row>
    <row r="285" spans="1:13" x14ac:dyDescent="0.2">
      <c r="A285" s="195" t="s">
        <v>146</v>
      </c>
      <c r="B285" s="201" t="s">
        <v>143</v>
      </c>
      <c r="C285" s="197"/>
      <c r="D285" s="198"/>
      <c r="E285" s="199"/>
      <c r="F285" s="199"/>
      <c r="G285" s="200"/>
    </row>
    <row r="286" spans="1:13" ht="13.5" x14ac:dyDescent="0.2">
      <c r="A286" s="195" t="s">
        <v>188</v>
      </c>
      <c r="B286" s="196" t="s">
        <v>321</v>
      </c>
      <c r="C286" s="197" t="s">
        <v>157</v>
      </c>
      <c r="D286" s="198">
        <v>14</v>
      </c>
      <c r="E286" s="209"/>
      <c r="F286" s="199"/>
      <c r="G286" s="200">
        <f>(D286*E286)+(D286*F286)</f>
        <v>0</v>
      </c>
      <c r="I286" s="19">
        <f>13.5</f>
        <v>13.5</v>
      </c>
    </row>
    <row r="287" spans="1:13" ht="13.5" x14ac:dyDescent="0.2">
      <c r="A287" s="195" t="s">
        <v>189</v>
      </c>
      <c r="B287" s="196" t="s">
        <v>320</v>
      </c>
      <c r="C287" s="197" t="s">
        <v>157</v>
      </c>
      <c r="D287" s="198">
        <v>255</v>
      </c>
      <c r="E287" s="209"/>
      <c r="F287" s="199"/>
      <c r="G287" s="200"/>
      <c r="I287" s="19">
        <f>280</f>
        <v>280</v>
      </c>
      <c r="J287" s="19">
        <f>I286</f>
        <v>13.5</v>
      </c>
      <c r="K287" s="19">
        <f>12.35</f>
        <v>12.35</v>
      </c>
      <c r="L287" s="19">
        <f>J287+K287</f>
        <v>25.85</v>
      </c>
      <c r="M287" s="19">
        <f>I287-L287</f>
        <v>254.15</v>
      </c>
    </row>
    <row r="288" spans="1:13" x14ac:dyDescent="0.2">
      <c r="A288" s="195" t="s">
        <v>147</v>
      </c>
      <c r="B288" s="201" t="s">
        <v>334</v>
      </c>
      <c r="C288" s="197"/>
      <c r="D288" s="198"/>
      <c r="E288" s="199"/>
      <c r="F288" s="199"/>
      <c r="G288" s="200"/>
    </row>
    <row r="289" spans="1:11" ht="13.5" x14ac:dyDescent="0.2">
      <c r="A289" s="195" t="s">
        <v>188</v>
      </c>
      <c r="B289" s="196" t="s">
        <v>309</v>
      </c>
      <c r="C289" s="197" t="s">
        <v>157</v>
      </c>
      <c r="D289" s="198">
        <v>63.7</v>
      </c>
      <c r="E289" s="209"/>
      <c r="F289" s="199"/>
      <c r="G289" s="200">
        <f t="shared" ref="G289:G291" si="34">(D289*E289)+(D289*F289)</f>
        <v>0</v>
      </c>
      <c r="I289" s="19">
        <f>0.7*2*3.5*13</f>
        <v>63.699999999999996</v>
      </c>
    </row>
    <row r="290" spans="1:11" ht="13.5" x14ac:dyDescent="0.2">
      <c r="A290" s="195" t="s">
        <v>189</v>
      </c>
      <c r="B290" s="196" t="s">
        <v>310</v>
      </c>
      <c r="C290" s="197" t="s">
        <v>157</v>
      </c>
      <c r="D290" s="198">
        <v>9.8000000000000007</v>
      </c>
      <c r="E290" s="209"/>
      <c r="F290" s="199"/>
      <c r="G290" s="200">
        <f t="shared" si="34"/>
        <v>0</v>
      </c>
      <c r="I290" s="19">
        <f>0.7*2*3.5*2</f>
        <v>9.7999999999999989</v>
      </c>
      <c r="J290" s="19">
        <f>0.2*0.2*3.4*4</f>
        <v>0.54400000000000004</v>
      </c>
      <c r="K290" s="19">
        <f>SUM(I290:J290)</f>
        <v>10.343999999999999</v>
      </c>
    </row>
    <row r="291" spans="1:11" ht="13.5" x14ac:dyDescent="0.2">
      <c r="A291" s="195" t="s">
        <v>202</v>
      </c>
      <c r="B291" s="196" t="s">
        <v>311</v>
      </c>
      <c r="C291" s="197" t="s">
        <v>157</v>
      </c>
      <c r="D291" s="198">
        <v>4.9000000000000004</v>
      </c>
      <c r="E291" s="209"/>
      <c r="F291" s="199"/>
      <c r="G291" s="200">
        <f t="shared" si="34"/>
        <v>0</v>
      </c>
      <c r="I291" s="19">
        <f>0.7*2*3.5</f>
        <v>4.8999999999999995</v>
      </c>
    </row>
    <row r="292" spans="1:11" ht="13.5" x14ac:dyDescent="0.2">
      <c r="A292" s="195" t="s">
        <v>203</v>
      </c>
      <c r="B292" s="196" t="s">
        <v>511</v>
      </c>
      <c r="C292" s="197" t="s">
        <v>157</v>
      </c>
      <c r="D292" s="198">
        <v>34.299999999999997</v>
      </c>
      <c r="E292" s="209"/>
      <c r="F292" s="199"/>
      <c r="G292" s="200"/>
    </row>
    <row r="293" spans="1:11" ht="13.5" x14ac:dyDescent="0.2">
      <c r="A293" s="638" t="s">
        <v>148</v>
      </c>
      <c r="B293" s="639" t="s">
        <v>249</v>
      </c>
      <c r="C293" s="500" t="s">
        <v>157</v>
      </c>
      <c r="D293" s="640">
        <v>18</v>
      </c>
      <c r="E293" s="501"/>
      <c r="F293" s="641"/>
      <c r="G293" s="642">
        <f t="shared" ref="G293:G300" si="35">(D293*E293)+(D293*F293)</f>
        <v>0</v>
      </c>
      <c r="I293" s="84"/>
    </row>
    <row r="294" spans="1:11" x14ac:dyDescent="0.2">
      <c r="A294" s="195" t="s">
        <v>502</v>
      </c>
      <c r="B294" s="201" t="s">
        <v>542</v>
      </c>
      <c r="C294" s="197"/>
      <c r="D294" s="198"/>
      <c r="E294" s="209"/>
      <c r="F294" s="199"/>
      <c r="G294" s="200">
        <f t="shared" si="35"/>
        <v>0</v>
      </c>
    </row>
    <row r="295" spans="1:11" ht="13.5" x14ac:dyDescent="0.2">
      <c r="A295" s="195"/>
      <c r="B295" s="196" t="s">
        <v>314</v>
      </c>
      <c r="C295" s="197" t="s">
        <v>157</v>
      </c>
      <c r="D295" s="198">
        <v>3.75</v>
      </c>
      <c r="E295" s="209"/>
      <c r="F295" s="199"/>
      <c r="G295" s="200">
        <f t="shared" si="35"/>
        <v>0</v>
      </c>
      <c r="I295" s="19">
        <f>3.52*1.065</f>
        <v>3.7487999999999997</v>
      </c>
    </row>
    <row r="296" spans="1:11" ht="13.5" x14ac:dyDescent="0.2">
      <c r="A296" s="195"/>
      <c r="B296" s="196" t="s">
        <v>315</v>
      </c>
      <c r="C296" s="197" t="s">
        <v>157</v>
      </c>
      <c r="D296" s="198">
        <v>3.16</v>
      </c>
      <c r="E296" s="209"/>
      <c r="F296" s="199"/>
      <c r="G296" s="200">
        <f t="shared" si="35"/>
        <v>0</v>
      </c>
      <c r="I296" s="19">
        <f>3.27*0.965</f>
        <v>3.1555499999999999</v>
      </c>
    </row>
    <row r="297" spans="1:11" ht="13.5" x14ac:dyDescent="0.2">
      <c r="A297" s="195"/>
      <c r="B297" s="196" t="s">
        <v>317</v>
      </c>
      <c r="C297" s="197" t="s">
        <v>157</v>
      </c>
      <c r="D297" s="198">
        <v>2.82</v>
      </c>
      <c r="E297" s="209"/>
      <c r="F297" s="199"/>
      <c r="G297" s="200">
        <f t="shared" si="35"/>
        <v>0</v>
      </c>
      <c r="I297" s="19">
        <f>2.92*0.965</f>
        <v>2.8177999999999996</v>
      </c>
    </row>
    <row r="298" spans="1:11" ht="13.5" x14ac:dyDescent="0.2">
      <c r="A298" s="195"/>
      <c r="B298" s="196" t="s">
        <v>318</v>
      </c>
      <c r="C298" s="197" t="s">
        <v>157</v>
      </c>
      <c r="D298" s="198">
        <v>2.87</v>
      </c>
      <c r="E298" s="209"/>
      <c r="F298" s="199"/>
      <c r="G298" s="200">
        <f t="shared" si="35"/>
        <v>0</v>
      </c>
      <c r="I298" s="19">
        <f>2.97*0.965</f>
        <v>2.86605</v>
      </c>
    </row>
    <row r="299" spans="1:11" x14ac:dyDescent="0.2">
      <c r="A299" s="195" t="s">
        <v>545</v>
      </c>
      <c r="B299" s="201" t="s">
        <v>543</v>
      </c>
      <c r="C299" s="197"/>
      <c r="D299" s="198"/>
      <c r="E299" s="209"/>
      <c r="F299" s="199"/>
      <c r="G299" s="200">
        <f t="shared" si="35"/>
        <v>0</v>
      </c>
    </row>
    <row r="300" spans="1:11" ht="13.5" x14ac:dyDescent="0.2">
      <c r="A300" s="195"/>
      <c r="B300" s="196" t="s">
        <v>544</v>
      </c>
      <c r="C300" s="197" t="s">
        <v>157</v>
      </c>
      <c r="D300" s="198">
        <v>18.670000000000002</v>
      </c>
      <c r="E300" s="209"/>
      <c r="F300" s="199"/>
      <c r="G300" s="200">
        <f t="shared" si="35"/>
        <v>0</v>
      </c>
      <c r="I300" s="19">
        <f>5.3*3.52</f>
        <v>18.655999999999999</v>
      </c>
    </row>
    <row r="301" spans="1:11" x14ac:dyDescent="0.2">
      <c r="A301" s="186"/>
      <c r="B301" s="187"/>
      <c r="C301" s="188"/>
      <c r="D301" s="189"/>
      <c r="E301" s="190"/>
      <c r="F301" s="180"/>
      <c r="G301" s="166"/>
    </row>
    <row r="302" spans="1:11" x14ac:dyDescent="0.2">
      <c r="A302" s="170" t="s">
        <v>173</v>
      </c>
      <c r="B302" s="171" t="s">
        <v>253</v>
      </c>
      <c r="C302" s="182"/>
      <c r="D302" s="183"/>
      <c r="E302" s="184"/>
      <c r="F302" s="184"/>
      <c r="G302" s="185"/>
    </row>
    <row r="303" spans="1:11" x14ac:dyDescent="0.2">
      <c r="A303" s="195" t="s">
        <v>109</v>
      </c>
      <c r="B303" s="201" t="s">
        <v>254</v>
      </c>
      <c r="C303" s="197"/>
      <c r="D303" s="198"/>
      <c r="E303" s="199"/>
      <c r="F303" s="199"/>
      <c r="G303" s="200"/>
    </row>
    <row r="304" spans="1:11" ht="13.5" x14ac:dyDescent="0.2">
      <c r="A304" s="195" t="s">
        <v>188</v>
      </c>
      <c r="B304" s="196" t="s">
        <v>323</v>
      </c>
      <c r="C304" s="197" t="s">
        <v>157</v>
      </c>
      <c r="D304" s="198">
        <v>8.4700000000000006</v>
      </c>
      <c r="E304" s="209"/>
      <c r="F304" s="199"/>
      <c r="G304" s="200">
        <f>(D304*E304)+(D304*F304)</f>
        <v>0</v>
      </c>
      <c r="I304" s="19">
        <f>7.7*1.1</f>
        <v>8.4700000000000006</v>
      </c>
    </row>
    <row r="305" spans="1:15" ht="13.5" x14ac:dyDescent="0.2">
      <c r="A305" s="195" t="s">
        <v>189</v>
      </c>
      <c r="B305" s="196" t="s">
        <v>324</v>
      </c>
      <c r="C305" s="197" t="s">
        <v>157</v>
      </c>
      <c r="D305" s="198">
        <v>27</v>
      </c>
      <c r="E305" s="209"/>
      <c r="F305" s="199"/>
      <c r="G305" s="200">
        <f t="shared" ref="G305:G306" si="36">(D305*E305)+(D305*F305)</f>
        <v>0</v>
      </c>
      <c r="I305" s="19">
        <f>3.5*1.1*7</f>
        <v>26.950000000000003</v>
      </c>
      <c r="J305" s="19">
        <f>3.7*0.2*0.4*5</f>
        <v>1.4800000000000002</v>
      </c>
      <c r="K305" s="19">
        <f>SUM(I305:J305)</f>
        <v>28.430000000000003</v>
      </c>
    </row>
    <row r="306" spans="1:15" ht="13.5" x14ac:dyDescent="0.2">
      <c r="A306" s="195" t="s">
        <v>202</v>
      </c>
      <c r="B306" s="196" t="s">
        <v>317</v>
      </c>
      <c r="C306" s="197" t="s">
        <v>157</v>
      </c>
      <c r="D306" s="198">
        <v>41</v>
      </c>
      <c r="E306" s="209"/>
      <c r="F306" s="199"/>
      <c r="G306" s="200">
        <f t="shared" si="36"/>
        <v>0</v>
      </c>
      <c r="I306" s="19">
        <f>3.775*0.83*5</f>
        <v>15.66625</v>
      </c>
      <c r="J306" s="19">
        <f>3.7*0.83*5</f>
        <v>15.355</v>
      </c>
      <c r="K306" s="19">
        <f>10.3*0.965</f>
        <v>9.9395000000000007</v>
      </c>
      <c r="M306" s="19">
        <f>SUM(I306:L306)</f>
        <v>40.960750000000004</v>
      </c>
    </row>
    <row r="307" spans="1:15" x14ac:dyDescent="0.2">
      <c r="A307" s="195" t="s">
        <v>161</v>
      </c>
      <c r="B307" s="201" t="s">
        <v>325</v>
      </c>
      <c r="C307" s="197"/>
      <c r="D307" s="198"/>
      <c r="E307" s="199"/>
      <c r="F307" s="199"/>
      <c r="G307" s="200"/>
    </row>
    <row r="308" spans="1:15" ht="13.5" x14ac:dyDescent="0.2">
      <c r="A308" s="195" t="s">
        <v>188</v>
      </c>
      <c r="B308" s="196" t="s">
        <v>331</v>
      </c>
      <c r="C308" s="197" t="s">
        <v>157</v>
      </c>
      <c r="D308" s="198">
        <v>36</v>
      </c>
      <c r="E308" s="209"/>
      <c r="F308" s="199"/>
      <c r="G308" s="200">
        <f>(D308*E308)+(D308*F308)</f>
        <v>0</v>
      </c>
      <c r="I308" s="19">
        <f>24*0.68</f>
        <v>16.32</v>
      </c>
      <c r="J308" s="19">
        <f>20.425*0.955</f>
        <v>19.505875</v>
      </c>
      <c r="K308" s="19">
        <f>SUM(I308:J308)</f>
        <v>35.825874999999996</v>
      </c>
    </row>
    <row r="309" spans="1:15" ht="13.5" x14ac:dyDescent="0.2">
      <c r="A309" s="195" t="s">
        <v>189</v>
      </c>
      <c r="B309" s="196" t="s">
        <v>332</v>
      </c>
      <c r="C309" s="197" t="s">
        <v>157</v>
      </c>
      <c r="D309" s="198">
        <v>116.5</v>
      </c>
      <c r="E309" s="209"/>
      <c r="F309" s="199"/>
      <c r="G309" s="200">
        <f>(D309*E309)+(D309*F309)</f>
        <v>0</v>
      </c>
      <c r="I309" s="19">
        <f>20.3*1</f>
        <v>20.3</v>
      </c>
      <c r="J309" s="19">
        <f>20.3*2.1</f>
        <v>42.63</v>
      </c>
      <c r="K309" s="19">
        <f>23.72*1</f>
        <v>23.72</v>
      </c>
      <c r="L309" s="19">
        <f>23.72*1.16</f>
        <v>27.515199999999997</v>
      </c>
      <c r="M309" s="19">
        <f>0.48*1*2</f>
        <v>0.96</v>
      </c>
      <c r="N309" s="19">
        <f>0.63*1.06*2</f>
        <v>1.3356000000000001</v>
      </c>
      <c r="O309" s="19">
        <f>SUM(I309:N309)</f>
        <v>116.46079999999999</v>
      </c>
    </row>
    <row r="310" spans="1:15" x14ac:dyDescent="0.2">
      <c r="A310" s="195" t="s">
        <v>163</v>
      </c>
      <c r="B310" s="201" t="s">
        <v>336</v>
      </c>
      <c r="C310" s="197"/>
      <c r="D310" s="198"/>
      <c r="E310" s="209"/>
      <c r="F310" s="199"/>
      <c r="G310" s="200"/>
    </row>
    <row r="311" spans="1:15" ht="13.5" x14ac:dyDescent="0.2">
      <c r="A311" s="195" t="s">
        <v>188</v>
      </c>
      <c r="B311" s="196" t="s">
        <v>326</v>
      </c>
      <c r="C311" s="197" t="s">
        <v>157</v>
      </c>
      <c r="D311" s="198">
        <v>7</v>
      </c>
      <c r="E311" s="209"/>
      <c r="F311" s="199"/>
      <c r="G311" s="200">
        <f t="shared" ref="G311:G313" si="37">(D311*E311)+(D311*F311)</f>
        <v>0</v>
      </c>
      <c r="I311" s="19">
        <f>1.4*1.66*3</f>
        <v>6.9719999999999995</v>
      </c>
    </row>
    <row r="312" spans="1:15" ht="13.5" x14ac:dyDescent="0.2">
      <c r="A312" s="195" t="s">
        <v>189</v>
      </c>
      <c r="B312" s="196" t="s">
        <v>310</v>
      </c>
      <c r="C312" s="197" t="s">
        <v>157</v>
      </c>
      <c r="D312" s="198">
        <v>4.7</v>
      </c>
      <c r="E312" s="209"/>
      <c r="F312" s="199"/>
      <c r="G312" s="200">
        <f t="shared" si="37"/>
        <v>0</v>
      </c>
      <c r="I312" s="19">
        <f>1.4*1.66*2</f>
        <v>4.6479999999999997</v>
      </c>
      <c r="J312" s="19">
        <f>0.2*0.2*3.4*4</f>
        <v>0.54400000000000004</v>
      </c>
      <c r="K312" s="19">
        <f>SUM(I312:J312)</f>
        <v>5.1920000000000002</v>
      </c>
    </row>
    <row r="313" spans="1:15" ht="13.5" x14ac:dyDescent="0.2">
      <c r="A313" s="195" t="s">
        <v>202</v>
      </c>
      <c r="B313" s="196" t="s">
        <v>311</v>
      </c>
      <c r="C313" s="197" t="s">
        <v>157</v>
      </c>
      <c r="D313" s="198">
        <v>2.4</v>
      </c>
      <c r="E313" s="209"/>
      <c r="F313" s="199"/>
      <c r="G313" s="200">
        <f t="shared" si="37"/>
        <v>0</v>
      </c>
      <c r="I313" s="19">
        <f>1.4*1.66</f>
        <v>2.3239999999999998</v>
      </c>
    </row>
    <row r="314" spans="1:15" x14ac:dyDescent="0.2">
      <c r="A314" s="195" t="s">
        <v>193</v>
      </c>
      <c r="B314" s="201" t="s">
        <v>327</v>
      </c>
      <c r="C314" s="197"/>
      <c r="D314" s="198"/>
      <c r="E314" s="199"/>
      <c r="F314" s="199"/>
      <c r="G314" s="200"/>
    </row>
    <row r="315" spans="1:15" ht="13.5" x14ac:dyDescent="0.2">
      <c r="A315" s="195" t="s">
        <v>188</v>
      </c>
      <c r="B315" s="196" t="s">
        <v>317</v>
      </c>
      <c r="C315" s="197" t="s">
        <v>157</v>
      </c>
      <c r="D315" s="198">
        <v>22.7</v>
      </c>
      <c r="E315" s="209"/>
      <c r="F315" s="199"/>
      <c r="G315" s="200">
        <f t="shared" ref="G315" si="38">(D315*E315)+(D315*F315)</f>
        <v>0</v>
      </c>
      <c r="I315" s="19">
        <f>(2.92*2)+4.08+3.22+4.13+3.27+2.97</f>
        <v>23.509999999999998</v>
      </c>
      <c r="J315" s="19">
        <f>I315*0.965</f>
        <v>22.687149999999999</v>
      </c>
    </row>
    <row r="316" spans="1:15" x14ac:dyDescent="0.2">
      <c r="A316" s="195" t="s">
        <v>329</v>
      </c>
      <c r="B316" s="201" t="s">
        <v>288</v>
      </c>
      <c r="C316" s="197"/>
      <c r="D316" s="198"/>
      <c r="E316" s="199"/>
      <c r="F316" s="199"/>
      <c r="G316" s="200"/>
    </row>
    <row r="317" spans="1:15" ht="24" x14ac:dyDescent="0.2">
      <c r="A317" s="210" t="s">
        <v>188</v>
      </c>
      <c r="B317" s="196" t="s">
        <v>471</v>
      </c>
      <c r="C317" s="197" t="s">
        <v>157</v>
      </c>
      <c r="D317" s="198">
        <v>19</v>
      </c>
      <c r="E317" s="209"/>
      <c r="F317" s="199"/>
      <c r="G317" s="200">
        <f>(D317*E317)+(D317*F317)</f>
        <v>0</v>
      </c>
      <c r="I317" s="19">
        <f>3.47*3.28</f>
        <v>11.381600000000001</v>
      </c>
      <c r="J317" s="19">
        <f>13.5*0.265*2</f>
        <v>7.1550000000000002</v>
      </c>
      <c r="K317" s="19">
        <f>SUM(I317:J317)</f>
        <v>18.5366</v>
      </c>
    </row>
    <row r="318" spans="1:15" ht="13.5" customHeight="1" x14ac:dyDescent="0.2">
      <c r="A318" s="210" t="s">
        <v>189</v>
      </c>
      <c r="B318" s="196" t="s">
        <v>472</v>
      </c>
      <c r="C318" s="197" t="s">
        <v>157</v>
      </c>
      <c r="D318" s="198">
        <v>29</v>
      </c>
      <c r="E318" s="209"/>
      <c r="F318" s="199"/>
      <c r="G318" s="200">
        <f>(D318*E318)+(D318*F318)</f>
        <v>0</v>
      </c>
    </row>
    <row r="319" spans="1:15" x14ac:dyDescent="0.2">
      <c r="A319" s="195" t="s">
        <v>330</v>
      </c>
      <c r="B319" s="201" t="s">
        <v>328</v>
      </c>
      <c r="C319" s="197"/>
      <c r="D319" s="198"/>
      <c r="E319" s="199"/>
      <c r="F319" s="199"/>
      <c r="G319" s="200"/>
    </row>
    <row r="320" spans="1:15" ht="13.5" x14ac:dyDescent="0.2">
      <c r="A320" s="195" t="s">
        <v>188</v>
      </c>
      <c r="B320" s="196" t="s">
        <v>473</v>
      </c>
      <c r="C320" s="197" t="s">
        <v>157</v>
      </c>
      <c r="D320" s="198">
        <v>28.6</v>
      </c>
      <c r="E320" s="209"/>
      <c r="F320" s="199"/>
      <c r="G320" s="200">
        <f>(D320*E320)+(D320*F320)</f>
        <v>0</v>
      </c>
      <c r="I320" s="19">
        <f>3.52+8.3+8.3+0.05+0.05+0.05+3.52</f>
        <v>23.790000000000003</v>
      </c>
      <c r="J320" s="19">
        <f>I320*2*0.6</f>
        <v>28.548000000000002</v>
      </c>
    </row>
    <row r="321" spans="1:11" x14ac:dyDescent="0.2">
      <c r="A321" s="176"/>
      <c r="B321" s="177"/>
      <c r="C321" s="178"/>
      <c r="D321" s="179"/>
      <c r="E321" s="180"/>
      <c r="F321" s="180"/>
      <c r="G321" s="166"/>
    </row>
    <row r="322" spans="1:11" x14ac:dyDescent="0.2">
      <c r="A322" s="338"/>
      <c r="B322" s="326"/>
      <c r="C322" s="327"/>
      <c r="D322" s="328"/>
      <c r="E322" s="295"/>
      <c r="F322" s="295"/>
      <c r="G322" s="313"/>
    </row>
    <row r="323" spans="1:11" x14ac:dyDescent="0.2">
      <c r="A323" s="329" t="s">
        <v>99</v>
      </c>
      <c r="B323" s="341" t="s">
        <v>10</v>
      </c>
      <c r="C323" s="330"/>
      <c r="D323" s="331"/>
      <c r="E323" s="332"/>
      <c r="F323" s="331"/>
      <c r="G323" s="342"/>
    </row>
    <row r="324" spans="1:11" ht="30.75" customHeight="1" x14ac:dyDescent="0.2">
      <c r="A324" s="343"/>
      <c r="B324" s="621" t="s">
        <v>100</v>
      </c>
      <c r="C324" s="621"/>
      <c r="D324" s="621"/>
      <c r="E324" s="621"/>
      <c r="F324" s="222"/>
      <c r="G324" s="223"/>
    </row>
    <row r="325" spans="1:11" ht="27.75" customHeight="1" x14ac:dyDescent="0.2">
      <c r="A325" s="344"/>
      <c r="B325" s="621" t="s">
        <v>101</v>
      </c>
      <c r="C325" s="621"/>
      <c r="D325" s="621"/>
      <c r="E325" s="621"/>
      <c r="F325" s="222"/>
      <c r="G325" s="223"/>
    </row>
    <row r="326" spans="1:11" ht="45.75" customHeight="1" x14ac:dyDescent="0.2">
      <c r="A326" s="345"/>
      <c r="B326" s="607" t="s">
        <v>177</v>
      </c>
      <c r="C326" s="607"/>
      <c r="D326" s="607"/>
      <c r="E326" s="607"/>
      <c r="F326" s="323"/>
      <c r="G326" s="324"/>
    </row>
    <row r="327" spans="1:11" x14ac:dyDescent="0.2">
      <c r="A327" s="170" t="s">
        <v>102</v>
      </c>
      <c r="B327" s="171" t="s">
        <v>65</v>
      </c>
      <c r="C327" s="182"/>
      <c r="D327" s="183"/>
      <c r="E327" s="184"/>
      <c r="F327" s="184"/>
      <c r="G327" s="185"/>
    </row>
    <row r="328" spans="1:11" x14ac:dyDescent="0.2">
      <c r="A328" s="211" t="s">
        <v>170</v>
      </c>
      <c r="B328" s="215" t="s">
        <v>287</v>
      </c>
      <c r="C328" s="197"/>
      <c r="D328" s="198"/>
      <c r="E328" s="199"/>
      <c r="F328" s="199"/>
      <c r="G328" s="200"/>
    </row>
    <row r="329" spans="1:11" x14ac:dyDescent="0.2">
      <c r="A329" s="195" t="s">
        <v>188</v>
      </c>
      <c r="B329" s="219" t="s">
        <v>337</v>
      </c>
      <c r="C329" s="197"/>
      <c r="D329" s="198"/>
      <c r="E329" s="199"/>
      <c r="F329" s="199"/>
      <c r="G329" s="200"/>
    </row>
    <row r="330" spans="1:11" x14ac:dyDescent="0.2">
      <c r="A330" s="195"/>
      <c r="B330" s="196" t="s">
        <v>13</v>
      </c>
      <c r="C330" s="197" t="s">
        <v>145</v>
      </c>
      <c r="D330" s="198">
        <v>2.09</v>
      </c>
      <c r="E330" s="199"/>
      <c r="F330" s="199"/>
      <c r="G330" s="200">
        <f t="shared" ref="G330" si="39">(D330*E330)+(D330*F330)</f>
        <v>0</v>
      </c>
      <c r="I330" s="45">
        <f>220*1.58*6</f>
        <v>2085.6000000000004</v>
      </c>
      <c r="K330" s="45"/>
    </row>
    <row r="331" spans="1:11" x14ac:dyDescent="0.2">
      <c r="A331" s="195" t="s">
        <v>189</v>
      </c>
      <c r="B331" s="219" t="s">
        <v>338</v>
      </c>
      <c r="C331" s="197"/>
      <c r="D331" s="198"/>
      <c r="E331" s="199"/>
      <c r="F331" s="199"/>
      <c r="G331" s="200"/>
    </row>
    <row r="332" spans="1:11" x14ac:dyDescent="0.2">
      <c r="A332" s="195"/>
      <c r="B332" s="196" t="s">
        <v>13</v>
      </c>
      <c r="C332" s="197" t="s">
        <v>145</v>
      </c>
      <c r="D332" s="198">
        <v>0.66400000000000003</v>
      </c>
      <c r="E332" s="199"/>
      <c r="F332" s="199"/>
      <c r="G332" s="200">
        <f t="shared" ref="G332" si="40">(D332*E332)+(D332*F332)</f>
        <v>0</v>
      </c>
      <c r="I332" s="45">
        <f>70*1.58*6</f>
        <v>663.6</v>
      </c>
    </row>
    <row r="333" spans="1:11" x14ac:dyDescent="0.2">
      <c r="A333" s="195" t="s">
        <v>202</v>
      </c>
      <c r="B333" s="219" t="s">
        <v>339</v>
      </c>
      <c r="C333" s="197"/>
      <c r="D333" s="198"/>
      <c r="E333" s="199"/>
      <c r="F333" s="199"/>
      <c r="G333" s="200"/>
    </row>
    <row r="334" spans="1:11" x14ac:dyDescent="0.2">
      <c r="A334" s="195"/>
      <c r="B334" s="196" t="s">
        <v>14</v>
      </c>
      <c r="C334" s="197" t="s">
        <v>145</v>
      </c>
      <c r="D334" s="198">
        <v>6.2E-2</v>
      </c>
      <c r="E334" s="199"/>
      <c r="F334" s="199"/>
      <c r="G334" s="200">
        <f t="shared" ref="G334" si="41">(D334*E334)+(D334*F334)</f>
        <v>0</v>
      </c>
      <c r="I334" s="45">
        <f>11*0.888*6*105%</f>
        <v>61.53840000000001</v>
      </c>
    </row>
    <row r="335" spans="1:11" x14ac:dyDescent="0.2">
      <c r="A335" s="195" t="s">
        <v>203</v>
      </c>
      <c r="B335" s="219" t="s">
        <v>340</v>
      </c>
      <c r="C335" s="197"/>
      <c r="D335" s="198"/>
      <c r="E335" s="199"/>
      <c r="F335" s="199"/>
      <c r="G335" s="200"/>
    </row>
    <row r="336" spans="1:11" x14ac:dyDescent="0.2">
      <c r="A336" s="195"/>
      <c r="B336" s="196" t="s">
        <v>14</v>
      </c>
      <c r="C336" s="197" t="s">
        <v>145</v>
      </c>
      <c r="D336" s="198">
        <v>0.2</v>
      </c>
      <c r="E336" s="199"/>
      <c r="F336" s="199"/>
      <c r="G336" s="200">
        <f t="shared" ref="G336" si="42">(D336*E336)+(D336*F336)</f>
        <v>0</v>
      </c>
      <c r="I336" s="45">
        <f>35*0.888*6*105%</f>
        <v>195.80400000000003</v>
      </c>
    </row>
    <row r="337" spans="1:13" x14ac:dyDescent="0.2">
      <c r="A337" s="195"/>
      <c r="B337" s="196"/>
      <c r="C337" s="197"/>
      <c r="D337" s="198"/>
      <c r="E337" s="199"/>
      <c r="F337" s="199"/>
      <c r="G337" s="200"/>
      <c r="I337" s="45"/>
    </row>
    <row r="338" spans="1:13" x14ac:dyDescent="0.2">
      <c r="A338" s="211" t="s">
        <v>175</v>
      </c>
      <c r="B338" s="215" t="s">
        <v>342</v>
      </c>
      <c r="C338" s="213"/>
      <c r="D338" s="214"/>
      <c r="E338" s="216"/>
      <c r="F338" s="199"/>
      <c r="G338" s="200">
        <f t="shared" ref="G338:G341" si="43">(D338*E338)+(D338*F338)</f>
        <v>0</v>
      </c>
    </row>
    <row r="339" spans="1:13" x14ac:dyDescent="0.2">
      <c r="A339" s="195" t="s">
        <v>224</v>
      </c>
      <c r="B339" s="201" t="s">
        <v>341</v>
      </c>
      <c r="C339" s="197"/>
      <c r="D339" s="198"/>
      <c r="E339" s="199"/>
      <c r="F339" s="199"/>
      <c r="G339" s="200"/>
      <c r="M339" s="19">
        <f>15.24+8.382+8.229+15.113</f>
        <v>46.963999999999999</v>
      </c>
    </row>
    <row r="340" spans="1:13" x14ac:dyDescent="0.2">
      <c r="A340" s="195"/>
      <c r="B340" s="196" t="s">
        <v>14</v>
      </c>
      <c r="C340" s="197" t="s">
        <v>145</v>
      </c>
      <c r="D340" s="198">
        <v>0.65500000000000003</v>
      </c>
      <c r="E340" s="199"/>
      <c r="F340" s="199"/>
      <c r="G340" s="200">
        <f t="shared" si="43"/>
        <v>0</v>
      </c>
      <c r="I340" s="49">
        <f>117*0.888*6*105%</f>
        <v>654.54480000000001</v>
      </c>
      <c r="M340" s="19">
        <v>1.45</v>
      </c>
    </row>
    <row r="341" spans="1:13" x14ac:dyDescent="0.2">
      <c r="A341" s="195"/>
      <c r="B341" s="196" t="s">
        <v>248</v>
      </c>
      <c r="C341" s="197" t="s">
        <v>145</v>
      </c>
      <c r="D341" s="198">
        <v>0.2</v>
      </c>
      <c r="E341" s="199"/>
      <c r="F341" s="199"/>
      <c r="G341" s="200">
        <f t="shared" si="43"/>
        <v>0</v>
      </c>
      <c r="I341" s="45">
        <f>146*0.222*6</f>
        <v>194.47199999999998</v>
      </c>
    </row>
    <row r="342" spans="1:13" x14ac:dyDescent="0.2">
      <c r="A342" s="643"/>
      <c r="B342" s="644"/>
      <c r="C342" s="205"/>
      <c r="D342" s="206"/>
      <c r="E342" s="207"/>
      <c r="F342" s="207"/>
      <c r="G342" s="208"/>
    </row>
    <row r="343" spans="1:13" x14ac:dyDescent="0.2">
      <c r="A343" s="170" t="s">
        <v>146</v>
      </c>
      <c r="B343" s="171" t="s">
        <v>66</v>
      </c>
      <c r="C343" s="182"/>
      <c r="D343" s="183"/>
      <c r="E343" s="184"/>
      <c r="F343" s="184"/>
      <c r="G343" s="185">
        <f t="shared" ref="G343:G351" si="44">(D343*E343)+(D343*F343)</f>
        <v>0</v>
      </c>
    </row>
    <row r="344" spans="1:13" x14ac:dyDescent="0.2">
      <c r="A344" s="211" t="s">
        <v>188</v>
      </c>
      <c r="B344" s="215" t="s">
        <v>196</v>
      </c>
      <c r="C344" s="213"/>
      <c r="D344" s="214"/>
      <c r="E344" s="216"/>
      <c r="F344" s="199"/>
      <c r="G344" s="200">
        <f t="shared" si="44"/>
        <v>0</v>
      </c>
    </row>
    <row r="345" spans="1:13" x14ac:dyDescent="0.2">
      <c r="A345" s="195" t="s">
        <v>224</v>
      </c>
      <c r="B345" s="201" t="s">
        <v>359</v>
      </c>
      <c r="C345" s="197"/>
      <c r="D345" s="198"/>
      <c r="E345" s="199"/>
      <c r="F345" s="199"/>
      <c r="G345" s="200">
        <f t="shared" si="44"/>
        <v>0</v>
      </c>
    </row>
    <row r="346" spans="1:13" x14ac:dyDescent="0.2">
      <c r="A346" s="211"/>
      <c r="B346" s="196" t="s">
        <v>343</v>
      </c>
      <c r="C346" s="197" t="s">
        <v>145</v>
      </c>
      <c r="D346" s="198">
        <v>1.5409999999999999</v>
      </c>
      <c r="E346" s="199"/>
      <c r="F346" s="199"/>
      <c r="G346" s="200">
        <f t="shared" si="44"/>
        <v>0</v>
      </c>
      <c r="I346" s="45">
        <f>104*2.469*6</f>
        <v>1540.6559999999999</v>
      </c>
    </row>
    <row r="347" spans="1:13" x14ac:dyDescent="0.2">
      <c r="A347" s="195"/>
      <c r="B347" s="196" t="s">
        <v>242</v>
      </c>
      <c r="C347" s="197" t="s">
        <v>145</v>
      </c>
      <c r="D347" s="198">
        <v>0.32</v>
      </c>
      <c r="E347" s="199"/>
      <c r="F347" s="199"/>
      <c r="G347" s="200">
        <f t="shared" si="44"/>
        <v>0</v>
      </c>
      <c r="I347" s="49">
        <f>234*6*0.222</f>
        <v>311.68799999999999</v>
      </c>
    </row>
    <row r="348" spans="1:13" x14ac:dyDescent="0.2">
      <c r="A348" s="195" t="s">
        <v>225</v>
      </c>
      <c r="B348" s="201" t="s">
        <v>345</v>
      </c>
      <c r="C348" s="197"/>
      <c r="D348" s="198"/>
      <c r="E348" s="199"/>
      <c r="F348" s="199"/>
      <c r="G348" s="200"/>
      <c r="I348" s="45"/>
      <c r="J348" s="45"/>
    </row>
    <row r="349" spans="1:13" x14ac:dyDescent="0.2">
      <c r="A349" s="195"/>
      <c r="B349" s="196" t="s">
        <v>13</v>
      </c>
      <c r="C349" s="197" t="s">
        <v>145</v>
      </c>
      <c r="D349" s="198">
        <v>0.12</v>
      </c>
      <c r="E349" s="199"/>
      <c r="F349" s="199"/>
      <c r="G349" s="200">
        <f t="shared" si="44"/>
        <v>0</v>
      </c>
      <c r="I349" s="45">
        <f>12*1.58*6</f>
        <v>113.76</v>
      </c>
      <c r="J349" s="45"/>
    </row>
    <row r="350" spans="1:13" x14ac:dyDescent="0.2">
      <c r="A350" s="195"/>
      <c r="B350" s="196" t="s">
        <v>14</v>
      </c>
      <c r="C350" s="197" t="s">
        <v>145</v>
      </c>
      <c r="D350" s="198">
        <v>7.0000000000000007E-2</v>
      </c>
      <c r="E350" s="199"/>
      <c r="F350" s="199"/>
      <c r="G350" s="200">
        <f t="shared" ref="G350" si="45">(D350*E350)+(D350*F350)</f>
        <v>0</v>
      </c>
      <c r="I350" s="45">
        <f>12*0.888*6</f>
        <v>63.936000000000007</v>
      </c>
    </row>
    <row r="351" spans="1:13" x14ac:dyDescent="0.2">
      <c r="A351" s="195"/>
      <c r="B351" s="196" t="s">
        <v>186</v>
      </c>
      <c r="C351" s="197" t="s">
        <v>145</v>
      </c>
      <c r="D351" s="198">
        <v>0.03</v>
      </c>
      <c r="E351" s="199"/>
      <c r="F351" s="199"/>
      <c r="G351" s="200">
        <f t="shared" si="44"/>
        <v>0</v>
      </c>
      <c r="I351" s="49">
        <f>20*0.222*6</f>
        <v>26.64</v>
      </c>
    </row>
    <row r="352" spans="1:13" x14ac:dyDescent="0.2">
      <c r="A352" s="195" t="s">
        <v>227</v>
      </c>
      <c r="B352" s="201" t="s">
        <v>344</v>
      </c>
      <c r="C352" s="197"/>
      <c r="D352" s="198"/>
      <c r="E352" s="199"/>
      <c r="F352" s="199"/>
      <c r="G352" s="200"/>
      <c r="I352" s="45"/>
      <c r="J352" s="84"/>
    </row>
    <row r="353" spans="1:12" x14ac:dyDescent="0.2">
      <c r="A353" s="195"/>
      <c r="B353" s="196" t="s">
        <v>343</v>
      </c>
      <c r="C353" s="197" t="s">
        <v>145</v>
      </c>
      <c r="D353" s="198">
        <v>0.19</v>
      </c>
      <c r="E353" s="199"/>
      <c r="F353" s="199"/>
      <c r="G353" s="200">
        <f t="shared" ref="G353:G354" si="46">(D353*E353)+(D353*F353)</f>
        <v>0</v>
      </c>
      <c r="I353" s="45">
        <f>8*2.469*6</f>
        <v>118.512</v>
      </c>
      <c r="J353" s="84"/>
    </row>
    <row r="354" spans="1:12" x14ac:dyDescent="0.2">
      <c r="A354" s="195"/>
      <c r="B354" s="196" t="s">
        <v>186</v>
      </c>
      <c r="C354" s="197" t="s">
        <v>145</v>
      </c>
      <c r="D354" s="198">
        <v>1.4999999999999999E-2</v>
      </c>
      <c r="E354" s="199"/>
      <c r="F354" s="199"/>
      <c r="G354" s="200">
        <f t="shared" si="46"/>
        <v>0</v>
      </c>
      <c r="I354" s="49">
        <f>15*0.222*6</f>
        <v>19.98</v>
      </c>
      <c r="J354" s="84"/>
    </row>
    <row r="355" spans="1:12" x14ac:dyDescent="0.2">
      <c r="A355" s="195" t="s">
        <v>226</v>
      </c>
      <c r="B355" s="201" t="s">
        <v>514</v>
      </c>
      <c r="C355" s="197"/>
      <c r="D355" s="198"/>
      <c r="E355" s="199"/>
      <c r="F355" s="199"/>
      <c r="G355" s="200"/>
      <c r="I355" s="45"/>
      <c r="J355" s="84"/>
    </row>
    <row r="356" spans="1:12" x14ac:dyDescent="0.2">
      <c r="A356" s="195"/>
      <c r="B356" s="196" t="s">
        <v>14</v>
      </c>
      <c r="C356" s="197" t="s">
        <v>145</v>
      </c>
      <c r="D356" s="198">
        <v>0.33</v>
      </c>
      <c r="E356" s="199"/>
      <c r="F356" s="199"/>
      <c r="G356" s="200">
        <f t="shared" ref="G356:G357" si="47">(D356*E356)+(D356*F356)</f>
        <v>0</v>
      </c>
      <c r="I356" s="45">
        <f>62*0.888*6</f>
        <v>330.33600000000001</v>
      </c>
      <c r="J356" s="84"/>
    </row>
    <row r="357" spans="1:12" x14ac:dyDescent="0.2">
      <c r="A357" s="195"/>
      <c r="B357" s="196" t="s">
        <v>186</v>
      </c>
      <c r="C357" s="197" t="s">
        <v>145</v>
      </c>
      <c r="D357" s="198">
        <v>0.09</v>
      </c>
      <c r="E357" s="199"/>
      <c r="F357" s="199"/>
      <c r="G357" s="200">
        <f t="shared" si="47"/>
        <v>0</v>
      </c>
      <c r="I357" s="49">
        <f>63*0.222*6</f>
        <v>83.915999999999997</v>
      </c>
      <c r="J357" s="84"/>
    </row>
    <row r="358" spans="1:12" x14ac:dyDescent="0.2">
      <c r="A358" s="195"/>
      <c r="B358" s="196"/>
      <c r="C358" s="197"/>
      <c r="D358" s="198"/>
      <c r="E358" s="199"/>
      <c r="F358" s="199"/>
      <c r="G358" s="200"/>
      <c r="I358" s="49"/>
      <c r="J358" s="84"/>
    </row>
    <row r="359" spans="1:12" x14ac:dyDescent="0.2">
      <c r="A359" s="195" t="s">
        <v>189</v>
      </c>
      <c r="B359" s="201" t="s">
        <v>249</v>
      </c>
      <c r="C359" s="197"/>
      <c r="D359" s="198"/>
      <c r="E359" s="199"/>
      <c r="F359" s="199"/>
      <c r="G359" s="200"/>
      <c r="H359" s="60"/>
      <c r="I359" s="49"/>
      <c r="K359" s="60"/>
      <c r="L359" s="60"/>
    </row>
    <row r="360" spans="1:12" x14ac:dyDescent="0.2">
      <c r="A360" s="195"/>
      <c r="B360" s="196" t="s">
        <v>13</v>
      </c>
      <c r="C360" s="197" t="s">
        <v>145</v>
      </c>
      <c r="D360" s="198">
        <v>0.42</v>
      </c>
      <c r="E360" s="199"/>
      <c r="F360" s="199"/>
      <c r="G360" s="200">
        <f t="shared" ref="G360:G361" si="48">(D360*E360)+(D360*F360)</f>
        <v>0</v>
      </c>
      <c r="I360" s="45">
        <f>44*1.58*6</f>
        <v>417.12000000000006</v>
      </c>
      <c r="J360" s="45"/>
      <c r="K360" s="60"/>
      <c r="L360" s="60"/>
    </row>
    <row r="361" spans="1:12" x14ac:dyDescent="0.2">
      <c r="A361" s="195"/>
      <c r="B361" s="196" t="s">
        <v>14</v>
      </c>
      <c r="C361" s="197" t="s">
        <v>145</v>
      </c>
      <c r="D361" s="198">
        <v>0.6</v>
      </c>
      <c r="E361" s="199"/>
      <c r="F361" s="199"/>
      <c r="G361" s="200">
        <f t="shared" si="48"/>
        <v>0</v>
      </c>
      <c r="I361" s="45">
        <f>110*0.888*6</f>
        <v>586.08000000000004</v>
      </c>
      <c r="J361" s="45"/>
      <c r="K361" s="60"/>
      <c r="L361" s="60"/>
    </row>
    <row r="362" spans="1:12" x14ac:dyDescent="0.2">
      <c r="A362" s="195"/>
      <c r="B362" s="196"/>
      <c r="C362" s="197"/>
      <c r="D362" s="198"/>
      <c r="E362" s="199"/>
      <c r="F362" s="199"/>
      <c r="G362" s="200"/>
      <c r="I362" s="45"/>
      <c r="J362" s="45"/>
      <c r="K362" s="60"/>
      <c r="L362" s="60"/>
    </row>
    <row r="363" spans="1:12" x14ac:dyDescent="0.2">
      <c r="A363" s="195" t="s">
        <v>202</v>
      </c>
      <c r="B363" s="201" t="s">
        <v>251</v>
      </c>
      <c r="C363" s="197"/>
      <c r="D363" s="198"/>
      <c r="E363" s="216"/>
      <c r="F363" s="199"/>
      <c r="G363" s="200"/>
      <c r="H363" s="60"/>
      <c r="I363" s="60"/>
      <c r="J363" s="60"/>
      <c r="K363" s="60"/>
      <c r="L363" s="60"/>
    </row>
    <row r="364" spans="1:12" x14ac:dyDescent="0.2">
      <c r="A364" s="195"/>
      <c r="B364" s="196" t="s">
        <v>16</v>
      </c>
      <c r="C364" s="197" t="s">
        <v>145</v>
      </c>
      <c r="D364" s="198">
        <v>1.2210000000000001</v>
      </c>
      <c r="E364" s="199"/>
      <c r="F364" s="199"/>
      <c r="G364" s="200">
        <f>(D364*E364)+(D364*F364)</f>
        <v>0</v>
      </c>
      <c r="H364" s="60"/>
      <c r="I364" s="45">
        <f>330*0.617*6</f>
        <v>1221.6599999999999</v>
      </c>
      <c r="J364" s="87">
        <f>I364*0.02</f>
        <v>24.433199999999999</v>
      </c>
      <c r="K364" s="60">
        <f>280*7</f>
        <v>1960</v>
      </c>
      <c r="L364" s="60">
        <f>K364/6</f>
        <v>326.66666666666669</v>
      </c>
    </row>
    <row r="365" spans="1:12" x14ac:dyDescent="0.2">
      <c r="A365" s="195"/>
      <c r="B365" s="196"/>
      <c r="C365" s="197"/>
      <c r="D365" s="198"/>
      <c r="E365" s="199"/>
      <c r="F365" s="199"/>
      <c r="G365" s="200"/>
      <c r="H365" s="60"/>
      <c r="I365" s="45"/>
      <c r="J365" s="87"/>
      <c r="K365" s="60"/>
      <c r="L365" s="60"/>
    </row>
    <row r="366" spans="1:12" x14ac:dyDescent="0.2">
      <c r="A366" s="195" t="s">
        <v>203</v>
      </c>
      <c r="B366" s="201" t="s">
        <v>540</v>
      </c>
      <c r="C366" s="197"/>
      <c r="D366" s="198"/>
      <c r="E366" s="209"/>
      <c r="F366" s="199"/>
      <c r="G366" s="200">
        <f t="shared" ref="G366" si="49">(D366*E366)+(D366*F366)</f>
        <v>0</v>
      </c>
      <c r="H366" s="60"/>
      <c r="I366" s="76"/>
      <c r="J366" s="76"/>
      <c r="K366" s="60"/>
      <c r="L366" s="60"/>
    </row>
    <row r="367" spans="1:12" x14ac:dyDescent="0.2">
      <c r="A367" s="195"/>
      <c r="B367" s="201" t="s">
        <v>352</v>
      </c>
      <c r="C367" s="197"/>
      <c r="D367" s="198"/>
      <c r="E367" s="199"/>
      <c r="F367" s="199"/>
      <c r="G367" s="200"/>
      <c r="H367" s="60"/>
      <c r="I367" s="60"/>
      <c r="J367" s="76"/>
      <c r="K367" s="60"/>
      <c r="L367" s="60"/>
    </row>
    <row r="368" spans="1:12" x14ac:dyDescent="0.2">
      <c r="A368" s="195"/>
      <c r="B368" s="196" t="s">
        <v>343</v>
      </c>
      <c r="C368" s="197" t="s">
        <v>145</v>
      </c>
      <c r="D368" s="198">
        <v>0.06</v>
      </c>
      <c r="E368" s="199"/>
      <c r="F368" s="199"/>
      <c r="G368" s="200">
        <f t="shared" ref="G368:G370" si="50">(D368*E368)+(D368*F368)</f>
        <v>0</v>
      </c>
      <c r="H368" s="60"/>
      <c r="I368" s="82">
        <f>4*2.469*6</f>
        <v>59.256</v>
      </c>
      <c r="J368" s="76"/>
      <c r="K368" s="60"/>
      <c r="L368" s="60"/>
    </row>
    <row r="369" spans="1:12" x14ac:dyDescent="0.2">
      <c r="A369" s="195"/>
      <c r="B369" s="196" t="s">
        <v>13</v>
      </c>
      <c r="C369" s="197" t="s">
        <v>145</v>
      </c>
      <c r="D369" s="198">
        <v>0.02</v>
      </c>
      <c r="E369" s="199"/>
      <c r="F369" s="199"/>
      <c r="G369" s="200">
        <f t="shared" si="50"/>
        <v>0</v>
      </c>
      <c r="H369" s="60"/>
      <c r="I369" s="82">
        <f>2*1.58*6</f>
        <v>18.96</v>
      </c>
      <c r="J369" s="76"/>
      <c r="K369" s="60"/>
      <c r="L369" s="60"/>
    </row>
    <row r="370" spans="1:12" x14ac:dyDescent="0.2">
      <c r="A370" s="195"/>
      <c r="B370" s="196" t="s">
        <v>15</v>
      </c>
      <c r="C370" s="197" t="s">
        <v>145</v>
      </c>
      <c r="D370" s="198">
        <v>1.4999999999999999E-2</v>
      </c>
      <c r="E370" s="199"/>
      <c r="F370" s="199"/>
      <c r="G370" s="200">
        <f t="shared" si="50"/>
        <v>0</v>
      </c>
      <c r="H370" s="60"/>
      <c r="I370" s="82">
        <f>11*0.222*6</f>
        <v>14.652000000000001</v>
      </c>
      <c r="J370" s="76"/>
      <c r="K370" s="60"/>
      <c r="L370" s="60"/>
    </row>
    <row r="371" spans="1:12" x14ac:dyDescent="0.2">
      <c r="A371" s="195"/>
      <c r="B371" s="201" t="s">
        <v>353</v>
      </c>
      <c r="C371" s="197"/>
      <c r="D371" s="198"/>
      <c r="E371" s="199"/>
      <c r="F371" s="199"/>
      <c r="G371" s="200"/>
      <c r="H371" s="60"/>
      <c r="I371" s="60"/>
      <c r="J371" s="76"/>
      <c r="K371" s="60"/>
      <c r="L371" s="60"/>
    </row>
    <row r="372" spans="1:12" x14ac:dyDescent="0.2">
      <c r="A372" s="195"/>
      <c r="B372" s="196" t="s">
        <v>343</v>
      </c>
      <c r="C372" s="197" t="s">
        <v>145</v>
      </c>
      <c r="D372" s="198">
        <v>0.06</v>
      </c>
      <c r="E372" s="199"/>
      <c r="F372" s="199"/>
      <c r="G372" s="200">
        <f t="shared" ref="G372:G373" si="51">(D372*E372)+(D372*F372)</f>
        <v>0</v>
      </c>
      <c r="H372" s="60"/>
      <c r="I372" s="82">
        <f>4*2.469*6</f>
        <v>59.256</v>
      </c>
      <c r="J372" s="76"/>
      <c r="K372" s="60"/>
      <c r="L372" s="60"/>
    </row>
    <row r="373" spans="1:12" x14ac:dyDescent="0.2">
      <c r="A373" s="195"/>
      <c r="B373" s="196" t="s">
        <v>15</v>
      </c>
      <c r="C373" s="197" t="s">
        <v>145</v>
      </c>
      <c r="D373" s="198">
        <v>0.01</v>
      </c>
      <c r="E373" s="199"/>
      <c r="F373" s="199"/>
      <c r="G373" s="200">
        <f t="shared" si="51"/>
        <v>0</v>
      </c>
      <c r="H373" s="60"/>
      <c r="I373" s="82">
        <f>7*0.222*6</f>
        <v>9.3239999999999998</v>
      </c>
      <c r="J373" s="76"/>
      <c r="K373" s="60"/>
      <c r="L373" s="60"/>
    </row>
    <row r="374" spans="1:12" x14ac:dyDescent="0.2">
      <c r="A374" s="195"/>
      <c r="B374" s="201" t="s">
        <v>355</v>
      </c>
      <c r="C374" s="197"/>
      <c r="D374" s="198"/>
      <c r="E374" s="199"/>
      <c r="F374" s="199"/>
      <c r="G374" s="200"/>
      <c r="H374" s="60"/>
      <c r="I374" s="60"/>
      <c r="J374" s="76"/>
      <c r="K374" s="60"/>
      <c r="L374" s="60"/>
    </row>
    <row r="375" spans="1:12" x14ac:dyDescent="0.2">
      <c r="A375" s="195"/>
      <c r="B375" s="196" t="s">
        <v>13</v>
      </c>
      <c r="C375" s="197" t="s">
        <v>145</v>
      </c>
      <c r="D375" s="198">
        <v>0.04</v>
      </c>
      <c r="E375" s="199"/>
      <c r="F375" s="199"/>
      <c r="G375" s="200">
        <f t="shared" ref="G375:G376" si="52">(D375*E375)+(D375*F375)</f>
        <v>0</v>
      </c>
      <c r="H375" s="60"/>
      <c r="I375" s="82">
        <f>4*1.58*6</f>
        <v>37.92</v>
      </c>
      <c r="J375" s="76"/>
      <c r="K375" s="60"/>
      <c r="L375" s="60"/>
    </row>
    <row r="376" spans="1:12" x14ac:dyDescent="0.2">
      <c r="A376" s="195"/>
      <c r="B376" s="196" t="s">
        <v>15</v>
      </c>
      <c r="C376" s="197" t="s">
        <v>145</v>
      </c>
      <c r="D376" s="198">
        <v>0.01</v>
      </c>
      <c r="E376" s="199"/>
      <c r="F376" s="199"/>
      <c r="G376" s="200">
        <f t="shared" si="52"/>
        <v>0</v>
      </c>
      <c r="H376" s="60"/>
      <c r="I376" s="82">
        <f>8*0.222*6</f>
        <v>10.656000000000001</v>
      </c>
      <c r="J376" s="76"/>
      <c r="K376" s="60"/>
      <c r="L376" s="60"/>
    </row>
    <row r="377" spans="1:12" x14ac:dyDescent="0.2">
      <c r="A377" s="195"/>
      <c r="B377" s="201" t="s">
        <v>357</v>
      </c>
      <c r="C377" s="197"/>
      <c r="D377" s="198"/>
      <c r="E377" s="199"/>
      <c r="F377" s="199"/>
      <c r="G377" s="200"/>
      <c r="H377" s="60"/>
      <c r="I377" s="60"/>
      <c r="J377" s="76"/>
      <c r="K377" s="60"/>
      <c r="L377" s="60"/>
    </row>
    <row r="378" spans="1:12" x14ac:dyDescent="0.2">
      <c r="A378" s="195"/>
      <c r="B378" s="196" t="s">
        <v>13</v>
      </c>
      <c r="C378" s="197" t="s">
        <v>145</v>
      </c>
      <c r="D378" s="198">
        <v>0.05</v>
      </c>
      <c r="E378" s="199"/>
      <c r="F378" s="199"/>
      <c r="G378" s="200">
        <f t="shared" ref="G378:G379" si="53">(D378*E378)+(D378*F378)</f>
        <v>0</v>
      </c>
      <c r="H378" s="60"/>
      <c r="I378" s="82">
        <f>5*1.58*6</f>
        <v>47.400000000000006</v>
      </c>
      <c r="J378" s="76"/>
      <c r="K378" s="60"/>
      <c r="L378" s="60"/>
    </row>
    <row r="379" spans="1:12" x14ac:dyDescent="0.2">
      <c r="A379" s="195"/>
      <c r="B379" s="196" t="s">
        <v>15</v>
      </c>
      <c r="C379" s="197" t="s">
        <v>145</v>
      </c>
      <c r="D379" s="198">
        <v>0.04</v>
      </c>
      <c r="E379" s="199"/>
      <c r="F379" s="199"/>
      <c r="G379" s="200">
        <f t="shared" si="53"/>
        <v>0</v>
      </c>
      <c r="H379" s="60"/>
      <c r="I379" s="82">
        <f>12*0.222*6</f>
        <v>15.984000000000002</v>
      </c>
      <c r="J379" s="76"/>
      <c r="K379" s="60"/>
      <c r="L379" s="60"/>
    </row>
    <row r="380" spans="1:12" x14ac:dyDescent="0.2">
      <c r="A380" s="195"/>
      <c r="B380" s="196"/>
      <c r="C380" s="197"/>
      <c r="D380" s="198"/>
      <c r="E380" s="199"/>
      <c r="F380" s="199"/>
      <c r="G380" s="200"/>
      <c r="H380" s="60"/>
      <c r="I380" s="82"/>
      <c r="J380" s="76"/>
      <c r="K380" s="60"/>
      <c r="L380" s="60"/>
    </row>
    <row r="381" spans="1:12" x14ac:dyDescent="0.2">
      <c r="A381" s="195" t="s">
        <v>204</v>
      </c>
      <c r="B381" s="201" t="s">
        <v>546</v>
      </c>
      <c r="C381" s="197"/>
      <c r="D381" s="198"/>
      <c r="E381" s="199"/>
      <c r="F381" s="199"/>
      <c r="G381" s="200"/>
      <c r="H381" s="60"/>
      <c r="I381" s="60"/>
      <c r="J381" s="76"/>
      <c r="K381" s="60"/>
      <c r="L381" s="60"/>
    </row>
    <row r="382" spans="1:12" x14ac:dyDescent="0.2">
      <c r="A382" s="195"/>
      <c r="B382" s="201" t="s">
        <v>364</v>
      </c>
      <c r="C382" s="197"/>
      <c r="D382" s="198"/>
      <c r="E382" s="199"/>
      <c r="F382" s="199"/>
      <c r="G382" s="200"/>
      <c r="H382" s="60"/>
      <c r="I382" s="60"/>
      <c r="J382" s="76"/>
      <c r="K382" s="60"/>
      <c r="L382" s="60"/>
    </row>
    <row r="383" spans="1:12" x14ac:dyDescent="0.2">
      <c r="A383" s="221"/>
      <c r="B383" s="196" t="s">
        <v>16</v>
      </c>
      <c r="C383" s="197" t="s">
        <v>145</v>
      </c>
      <c r="D383" s="198">
        <v>0.19</v>
      </c>
      <c r="E383" s="199"/>
      <c r="F383" s="199"/>
      <c r="G383" s="200">
        <f t="shared" ref="G383" si="54">(D383*E383)+(D383*F383)</f>
        <v>0</v>
      </c>
      <c r="H383" s="60"/>
      <c r="I383" s="82">
        <f>49*0.617*6</f>
        <v>181.398</v>
      </c>
      <c r="J383" s="76"/>
      <c r="K383" s="60"/>
      <c r="L383" s="60"/>
    </row>
    <row r="384" spans="1:12" x14ac:dyDescent="0.2">
      <c r="A384" s="221"/>
      <c r="B384" s="196"/>
      <c r="C384" s="197"/>
      <c r="D384" s="198"/>
      <c r="E384" s="199"/>
      <c r="F384" s="199"/>
      <c r="G384" s="200"/>
      <c r="H384" s="60"/>
      <c r="I384" s="82"/>
      <c r="J384" s="76"/>
      <c r="K384" s="60"/>
      <c r="L384" s="60"/>
    </row>
    <row r="385" spans="1:12" x14ac:dyDescent="0.2">
      <c r="A385" s="170" t="s">
        <v>147</v>
      </c>
      <c r="B385" s="171" t="s">
        <v>115</v>
      </c>
      <c r="C385" s="182"/>
      <c r="D385" s="183"/>
      <c r="E385" s="184"/>
      <c r="F385" s="184"/>
      <c r="G385" s="185"/>
      <c r="H385" s="60"/>
      <c r="I385" s="60"/>
      <c r="J385" s="60"/>
      <c r="K385" s="60"/>
      <c r="L385" s="60"/>
    </row>
    <row r="386" spans="1:12" x14ac:dyDescent="0.2">
      <c r="A386" s="195" t="s">
        <v>188</v>
      </c>
      <c r="B386" s="201" t="s">
        <v>252</v>
      </c>
      <c r="C386" s="197"/>
      <c r="D386" s="198"/>
      <c r="E386" s="199"/>
      <c r="F386" s="199"/>
      <c r="G386" s="200"/>
      <c r="H386" s="60"/>
      <c r="I386" s="60"/>
      <c r="J386" s="60"/>
      <c r="K386" s="60"/>
      <c r="L386" s="60"/>
    </row>
    <row r="387" spans="1:12" x14ac:dyDescent="0.2">
      <c r="A387" s="195"/>
      <c r="B387" s="201" t="s">
        <v>346</v>
      </c>
      <c r="C387" s="197"/>
      <c r="D387" s="198"/>
      <c r="E387" s="199"/>
      <c r="F387" s="199"/>
      <c r="G387" s="200"/>
      <c r="H387" s="60"/>
      <c r="I387" s="60"/>
      <c r="J387" s="60"/>
      <c r="K387" s="60"/>
      <c r="L387" s="60"/>
    </row>
    <row r="388" spans="1:12" x14ac:dyDescent="0.2">
      <c r="A388" s="195"/>
      <c r="B388" s="196" t="s">
        <v>348</v>
      </c>
      <c r="C388" s="197" t="s">
        <v>145</v>
      </c>
      <c r="D388" s="198">
        <v>0.35</v>
      </c>
      <c r="E388" s="199"/>
      <c r="F388" s="199"/>
      <c r="G388" s="200">
        <f t="shared" ref="G388:G394" si="55">(D388*E388)+(D388*F388)</f>
        <v>0</v>
      </c>
      <c r="H388" s="60"/>
      <c r="I388" s="82">
        <f>15*3.858*6</f>
        <v>347.22</v>
      </c>
      <c r="J388" s="60"/>
      <c r="K388" s="60"/>
      <c r="L388" s="60"/>
    </row>
    <row r="389" spans="1:12" x14ac:dyDescent="0.2">
      <c r="A389" s="195"/>
      <c r="B389" s="196" t="s">
        <v>343</v>
      </c>
      <c r="C389" s="197" t="s">
        <v>145</v>
      </c>
      <c r="D389" s="198">
        <v>1.04</v>
      </c>
      <c r="E389" s="199"/>
      <c r="F389" s="199"/>
      <c r="G389" s="200">
        <f t="shared" ref="G389" si="56">(D389*E389)+(D389*F389)</f>
        <v>0</v>
      </c>
      <c r="H389" s="60"/>
      <c r="I389" s="82">
        <f>70*2.469*6</f>
        <v>1036.98</v>
      </c>
      <c r="J389" s="60"/>
      <c r="K389" s="60"/>
      <c r="L389" s="60"/>
    </row>
    <row r="390" spans="1:12" x14ac:dyDescent="0.2">
      <c r="A390" s="195"/>
      <c r="B390" s="196" t="s">
        <v>15</v>
      </c>
      <c r="C390" s="197" t="s">
        <v>145</v>
      </c>
      <c r="D390" s="198">
        <v>0.38</v>
      </c>
      <c r="E390" s="199"/>
      <c r="F390" s="199"/>
      <c r="G390" s="200">
        <f t="shared" si="55"/>
        <v>0</v>
      </c>
      <c r="H390" s="60"/>
      <c r="I390" s="82">
        <f>280*0.222*6</f>
        <v>372.96000000000004</v>
      </c>
      <c r="J390" s="60"/>
      <c r="K390" s="60"/>
      <c r="L390" s="60"/>
    </row>
    <row r="391" spans="1:12" x14ac:dyDescent="0.2">
      <c r="A391" s="195"/>
      <c r="B391" s="201" t="s">
        <v>347</v>
      </c>
      <c r="C391" s="197"/>
      <c r="D391" s="198"/>
      <c r="E391" s="199"/>
      <c r="F391" s="199"/>
      <c r="G391" s="200"/>
      <c r="H391" s="60"/>
      <c r="I391" s="60"/>
      <c r="J391" s="60"/>
      <c r="K391" s="60"/>
      <c r="L391" s="60"/>
    </row>
    <row r="392" spans="1:12" x14ac:dyDescent="0.2">
      <c r="A392" s="195"/>
      <c r="B392" s="196" t="s">
        <v>343</v>
      </c>
      <c r="C392" s="197" t="s">
        <v>145</v>
      </c>
      <c r="D392" s="198">
        <v>0.23</v>
      </c>
      <c r="E392" s="199"/>
      <c r="F392" s="199"/>
      <c r="G392" s="200">
        <f t="shared" si="55"/>
        <v>0</v>
      </c>
      <c r="H392" s="60"/>
      <c r="I392" s="82">
        <f>15*2.469*6</f>
        <v>222.20999999999998</v>
      </c>
      <c r="J392" s="60"/>
      <c r="K392" s="60"/>
      <c r="L392" s="60"/>
    </row>
    <row r="393" spans="1:12" x14ac:dyDescent="0.2">
      <c r="A393" s="195"/>
      <c r="B393" s="196" t="s">
        <v>13</v>
      </c>
      <c r="C393" s="197" t="s">
        <v>145</v>
      </c>
      <c r="D393" s="198">
        <v>0.1</v>
      </c>
      <c r="E393" s="199"/>
      <c r="F393" s="199"/>
      <c r="G393" s="200">
        <f t="shared" ref="G393" si="57">(D393*E393)+(D393*F393)</f>
        <v>0</v>
      </c>
      <c r="H393" s="60"/>
      <c r="I393" s="82">
        <f>10*1.58*6</f>
        <v>94.800000000000011</v>
      </c>
      <c r="J393" s="60"/>
      <c r="K393" s="60"/>
      <c r="L393" s="60"/>
    </row>
    <row r="394" spans="1:12" x14ac:dyDescent="0.2">
      <c r="A394" s="195"/>
      <c r="B394" s="196" t="s">
        <v>15</v>
      </c>
      <c r="C394" s="197" t="s">
        <v>145</v>
      </c>
      <c r="D394" s="198">
        <v>0.05</v>
      </c>
      <c r="E394" s="199"/>
      <c r="F394" s="199"/>
      <c r="G394" s="200">
        <f t="shared" si="55"/>
        <v>0</v>
      </c>
      <c r="H394" s="60"/>
      <c r="I394" s="82">
        <f>36*0.222*6</f>
        <v>47.951999999999998</v>
      </c>
      <c r="J394" s="60"/>
      <c r="K394" s="60"/>
      <c r="L394" s="60"/>
    </row>
    <row r="395" spans="1:12" x14ac:dyDescent="0.2">
      <c r="A395" s="195"/>
      <c r="B395" s="201" t="s">
        <v>352</v>
      </c>
      <c r="C395" s="197"/>
      <c r="D395" s="198"/>
      <c r="E395" s="199"/>
      <c r="F395" s="199"/>
      <c r="G395" s="200"/>
      <c r="H395" s="60"/>
      <c r="I395" s="60"/>
      <c r="J395" s="60"/>
      <c r="K395" s="60"/>
      <c r="L395" s="60"/>
    </row>
    <row r="396" spans="1:12" x14ac:dyDescent="0.2">
      <c r="A396" s="195"/>
      <c r="B396" s="196" t="s">
        <v>343</v>
      </c>
      <c r="C396" s="197" t="s">
        <v>145</v>
      </c>
      <c r="D396" s="198">
        <v>0.12</v>
      </c>
      <c r="E396" s="199"/>
      <c r="F396" s="199"/>
      <c r="G396" s="200">
        <f t="shared" ref="G396:G398" si="58">(D396*E396)+(D396*F396)</f>
        <v>0</v>
      </c>
      <c r="H396" s="60"/>
      <c r="I396" s="82">
        <f>8*2.469*6</f>
        <v>118.512</v>
      </c>
      <c r="J396" s="60"/>
      <c r="K396" s="60"/>
      <c r="L396" s="60"/>
    </row>
    <row r="397" spans="1:12" x14ac:dyDescent="0.2">
      <c r="A397" s="195"/>
      <c r="B397" s="196" t="s">
        <v>13</v>
      </c>
      <c r="C397" s="197" t="s">
        <v>145</v>
      </c>
      <c r="D397" s="198">
        <v>0.02</v>
      </c>
      <c r="E397" s="199"/>
      <c r="F397" s="199"/>
      <c r="G397" s="200">
        <f t="shared" si="58"/>
        <v>0</v>
      </c>
      <c r="H397" s="60"/>
      <c r="I397" s="82">
        <f>2*1.58*6</f>
        <v>18.96</v>
      </c>
      <c r="J397" s="60"/>
      <c r="K397" s="60"/>
      <c r="L397" s="60"/>
    </row>
    <row r="398" spans="1:12" x14ac:dyDescent="0.2">
      <c r="A398" s="638"/>
      <c r="B398" s="639" t="s">
        <v>15</v>
      </c>
      <c r="C398" s="500" t="s">
        <v>145</v>
      </c>
      <c r="D398" s="640">
        <v>0.04</v>
      </c>
      <c r="E398" s="641"/>
      <c r="F398" s="641"/>
      <c r="G398" s="642">
        <f t="shared" si="58"/>
        <v>0</v>
      </c>
      <c r="H398" s="60"/>
      <c r="I398" s="82">
        <f>23*0.222*6</f>
        <v>30.635999999999999</v>
      </c>
      <c r="J398" s="60"/>
      <c r="K398" s="60"/>
      <c r="L398" s="60"/>
    </row>
    <row r="399" spans="1:12" x14ac:dyDescent="0.2">
      <c r="A399" s="195"/>
      <c r="B399" s="201" t="s">
        <v>353</v>
      </c>
      <c r="C399" s="197"/>
      <c r="D399" s="198"/>
      <c r="E399" s="199"/>
      <c r="F399" s="199"/>
      <c r="G399" s="200"/>
      <c r="H399" s="60"/>
      <c r="I399" s="60"/>
      <c r="J399" s="60"/>
      <c r="K399" s="60"/>
      <c r="L399" s="60"/>
    </row>
    <row r="400" spans="1:12" x14ac:dyDescent="0.2">
      <c r="A400" s="195"/>
      <c r="B400" s="196" t="s">
        <v>343</v>
      </c>
      <c r="C400" s="197" t="s">
        <v>145</v>
      </c>
      <c r="D400" s="198">
        <v>0.06</v>
      </c>
      <c r="E400" s="199"/>
      <c r="F400" s="199"/>
      <c r="G400" s="200">
        <f t="shared" ref="G400:G401" si="59">(D400*E400)+(D400*F400)</f>
        <v>0</v>
      </c>
      <c r="H400" s="60"/>
      <c r="I400" s="82">
        <f>4*2.469*6</f>
        <v>59.256</v>
      </c>
      <c r="J400" s="60"/>
      <c r="K400" s="60"/>
      <c r="L400" s="60"/>
    </row>
    <row r="401" spans="1:12" x14ac:dyDescent="0.2">
      <c r="A401" s="195"/>
      <c r="B401" s="196" t="s">
        <v>15</v>
      </c>
      <c r="C401" s="197" t="s">
        <v>145</v>
      </c>
      <c r="D401" s="198">
        <v>0.01</v>
      </c>
      <c r="E401" s="199"/>
      <c r="F401" s="199"/>
      <c r="G401" s="200">
        <f t="shared" si="59"/>
        <v>0</v>
      </c>
      <c r="H401" s="60"/>
      <c r="I401" s="82">
        <f>7*0.222*6</f>
        <v>9.3239999999999998</v>
      </c>
      <c r="J401" s="60"/>
      <c r="K401" s="60"/>
      <c r="L401" s="60"/>
    </row>
    <row r="402" spans="1:12" x14ac:dyDescent="0.2">
      <c r="A402" s="195"/>
      <c r="B402" s="201" t="s">
        <v>354</v>
      </c>
      <c r="C402" s="197"/>
      <c r="D402" s="198"/>
      <c r="E402" s="199"/>
      <c r="F402" s="199"/>
      <c r="G402" s="200"/>
      <c r="H402" s="60"/>
      <c r="I402" s="60"/>
      <c r="J402" s="60"/>
      <c r="K402" s="60"/>
      <c r="L402" s="60"/>
    </row>
    <row r="403" spans="1:12" x14ac:dyDescent="0.2">
      <c r="A403" s="195"/>
      <c r="B403" s="196" t="s">
        <v>343</v>
      </c>
      <c r="C403" s="197" t="s">
        <v>145</v>
      </c>
      <c r="D403" s="198">
        <v>0.18</v>
      </c>
      <c r="E403" s="199"/>
      <c r="F403" s="199"/>
      <c r="G403" s="200">
        <f t="shared" ref="G403:G404" si="60">(D403*E403)+(D403*F403)</f>
        <v>0</v>
      </c>
      <c r="H403" s="60"/>
      <c r="I403" s="82">
        <f>12*2.469*6</f>
        <v>177.768</v>
      </c>
      <c r="J403" s="60"/>
      <c r="K403" s="60"/>
      <c r="L403" s="60"/>
    </row>
    <row r="404" spans="1:12" x14ac:dyDescent="0.2">
      <c r="A404" s="195"/>
      <c r="B404" s="196" t="s">
        <v>15</v>
      </c>
      <c r="C404" s="197" t="s">
        <v>145</v>
      </c>
      <c r="D404" s="198">
        <v>0.05</v>
      </c>
      <c r="E404" s="199"/>
      <c r="F404" s="199"/>
      <c r="G404" s="200">
        <f t="shared" si="60"/>
        <v>0</v>
      </c>
      <c r="H404" s="60"/>
      <c r="I404" s="82">
        <f>32*0.222*6</f>
        <v>42.624000000000002</v>
      </c>
      <c r="J404" s="60"/>
      <c r="K404" s="60"/>
      <c r="L404" s="60"/>
    </row>
    <row r="405" spans="1:12" x14ac:dyDescent="0.2">
      <c r="A405" s="195"/>
      <c r="B405" s="201" t="s">
        <v>355</v>
      </c>
      <c r="C405" s="197"/>
      <c r="D405" s="198"/>
      <c r="E405" s="199"/>
      <c r="F405" s="199"/>
      <c r="G405" s="200"/>
      <c r="H405" s="60"/>
      <c r="I405" s="60"/>
      <c r="J405" s="76"/>
      <c r="K405" s="60"/>
      <c r="L405" s="60"/>
    </row>
    <row r="406" spans="1:12" x14ac:dyDescent="0.2">
      <c r="A406" s="195"/>
      <c r="B406" s="196" t="s">
        <v>13</v>
      </c>
      <c r="C406" s="197" t="s">
        <v>145</v>
      </c>
      <c r="D406" s="198">
        <v>0.28000000000000003</v>
      </c>
      <c r="E406" s="199"/>
      <c r="F406" s="199"/>
      <c r="G406" s="200">
        <f t="shared" ref="G406:G407" si="61">(D406*E406)+(D406*F406)</f>
        <v>0</v>
      </c>
      <c r="H406" s="60"/>
      <c r="I406" s="82">
        <f>24*1.58*6</f>
        <v>227.52</v>
      </c>
      <c r="J406" s="76"/>
      <c r="K406" s="60"/>
      <c r="L406" s="60"/>
    </row>
    <row r="407" spans="1:12" x14ac:dyDescent="0.2">
      <c r="A407" s="195"/>
      <c r="B407" s="196" t="s">
        <v>15</v>
      </c>
      <c r="C407" s="197" t="s">
        <v>145</v>
      </c>
      <c r="D407" s="198">
        <v>0.08</v>
      </c>
      <c r="E407" s="199"/>
      <c r="F407" s="199"/>
      <c r="G407" s="200">
        <f t="shared" si="61"/>
        <v>0</v>
      </c>
      <c r="H407" s="60"/>
      <c r="I407" s="82">
        <f>60*0.222*6</f>
        <v>79.92</v>
      </c>
      <c r="J407" s="76"/>
      <c r="K407" s="60"/>
      <c r="L407" s="60"/>
    </row>
    <row r="408" spans="1:12" x14ac:dyDescent="0.2">
      <c r="A408" s="195"/>
      <c r="B408" s="201" t="s">
        <v>356</v>
      </c>
      <c r="C408" s="197"/>
      <c r="D408" s="198"/>
      <c r="E408" s="199"/>
      <c r="F408" s="199"/>
      <c r="G408" s="200"/>
      <c r="H408" s="60"/>
      <c r="I408" s="60"/>
      <c r="J408" s="76"/>
      <c r="K408" s="60"/>
      <c r="L408" s="60"/>
    </row>
    <row r="409" spans="1:12" x14ac:dyDescent="0.2">
      <c r="A409" s="195"/>
      <c r="B409" s="196" t="s">
        <v>13</v>
      </c>
      <c r="C409" s="197" t="s">
        <v>145</v>
      </c>
      <c r="D409" s="198">
        <v>0.21</v>
      </c>
      <c r="E409" s="199"/>
      <c r="F409" s="199"/>
      <c r="G409" s="200">
        <f t="shared" ref="G409:G411" si="62">(D409*E409)+(D409*F409)</f>
        <v>0</v>
      </c>
      <c r="H409" s="60"/>
      <c r="I409" s="82">
        <f>22*1.58*6</f>
        <v>208.56000000000003</v>
      </c>
      <c r="J409" s="76"/>
      <c r="K409" s="60"/>
      <c r="L409" s="60"/>
    </row>
    <row r="410" spans="1:12" x14ac:dyDescent="0.2">
      <c r="A410" s="195"/>
      <c r="B410" s="196" t="s">
        <v>13</v>
      </c>
      <c r="C410" s="197" t="s">
        <v>145</v>
      </c>
      <c r="D410" s="198">
        <v>0.03</v>
      </c>
      <c r="E410" s="199"/>
      <c r="F410" s="199"/>
      <c r="G410" s="200">
        <f t="shared" ref="G410" si="63">(D410*E410)+(D410*F410)</f>
        <v>0</v>
      </c>
      <c r="H410" s="60"/>
      <c r="I410" s="82">
        <f>5*0.888*6</f>
        <v>26.64</v>
      </c>
      <c r="J410" s="76"/>
      <c r="K410" s="60"/>
      <c r="L410" s="60"/>
    </row>
    <row r="411" spans="1:12" x14ac:dyDescent="0.2">
      <c r="A411" s="195"/>
      <c r="B411" s="196" t="s">
        <v>15</v>
      </c>
      <c r="C411" s="197" t="s">
        <v>145</v>
      </c>
      <c r="D411" s="198">
        <v>0.05</v>
      </c>
      <c r="E411" s="199"/>
      <c r="F411" s="199"/>
      <c r="G411" s="200">
        <f t="shared" si="62"/>
        <v>0</v>
      </c>
      <c r="H411" s="60"/>
      <c r="I411" s="82">
        <f>34*0.222*6</f>
        <v>45.287999999999997</v>
      </c>
      <c r="J411" s="76"/>
      <c r="K411" s="60"/>
      <c r="L411" s="60"/>
    </row>
    <row r="412" spans="1:12" x14ac:dyDescent="0.2">
      <c r="A412" s="195"/>
      <c r="B412" s="201" t="s">
        <v>357</v>
      </c>
      <c r="C412" s="197"/>
      <c r="D412" s="198"/>
      <c r="E412" s="199"/>
      <c r="F412" s="199"/>
      <c r="G412" s="200"/>
      <c r="H412" s="60"/>
      <c r="I412" s="60"/>
      <c r="J412" s="76"/>
      <c r="K412" s="60"/>
      <c r="L412" s="60"/>
    </row>
    <row r="413" spans="1:12" x14ac:dyDescent="0.2">
      <c r="A413" s="195"/>
      <c r="B413" s="196" t="s">
        <v>13</v>
      </c>
      <c r="C413" s="197" t="s">
        <v>145</v>
      </c>
      <c r="D413" s="198">
        <v>0.12</v>
      </c>
      <c r="E413" s="199"/>
      <c r="F413" s="199"/>
      <c r="G413" s="200">
        <f t="shared" ref="G413:G414" si="64">(D413*E413)+(D413*F413)</f>
        <v>0</v>
      </c>
      <c r="H413" s="60"/>
      <c r="I413" s="82">
        <f>12*1.58*6</f>
        <v>113.76</v>
      </c>
      <c r="J413" s="76"/>
      <c r="K413" s="60"/>
      <c r="L413" s="60"/>
    </row>
    <row r="414" spans="1:12" x14ac:dyDescent="0.2">
      <c r="A414" s="195"/>
      <c r="B414" s="196" t="s">
        <v>15</v>
      </c>
      <c r="C414" s="197" t="s">
        <v>145</v>
      </c>
      <c r="D414" s="198">
        <v>0.04</v>
      </c>
      <c r="E414" s="199"/>
      <c r="F414" s="199"/>
      <c r="G414" s="200">
        <f t="shared" si="64"/>
        <v>0</v>
      </c>
      <c r="H414" s="60"/>
      <c r="I414" s="82">
        <f>24*0.222*6</f>
        <v>31.968000000000004</v>
      </c>
      <c r="J414" s="76"/>
      <c r="K414" s="60"/>
      <c r="L414" s="60"/>
    </row>
    <row r="415" spans="1:12" x14ac:dyDescent="0.2">
      <c r="A415" s="195"/>
      <c r="B415" s="201" t="s">
        <v>358</v>
      </c>
      <c r="C415" s="197"/>
      <c r="D415" s="198"/>
      <c r="E415" s="199"/>
      <c r="F415" s="199"/>
      <c r="G415" s="200"/>
      <c r="H415" s="60"/>
      <c r="I415" s="60"/>
      <c r="J415" s="76"/>
      <c r="K415" s="60"/>
      <c r="L415" s="60"/>
    </row>
    <row r="416" spans="1:12" x14ac:dyDescent="0.2">
      <c r="A416" s="195"/>
      <c r="B416" s="196" t="s">
        <v>13</v>
      </c>
      <c r="C416" s="197" t="s">
        <v>145</v>
      </c>
      <c r="D416" s="198">
        <v>0.21</v>
      </c>
      <c r="E416" s="199"/>
      <c r="F416" s="199"/>
      <c r="G416" s="200">
        <f t="shared" ref="G416:G417" si="65">(D416*E416)+(D416*F416)</f>
        <v>0</v>
      </c>
      <c r="H416" s="60"/>
      <c r="I416" s="82">
        <f>22*1.58*6</f>
        <v>208.56000000000003</v>
      </c>
      <c r="J416" s="76"/>
      <c r="K416" s="60"/>
      <c r="L416" s="60"/>
    </row>
    <row r="417" spans="1:12" x14ac:dyDescent="0.2">
      <c r="A417" s="195"/>
      <c r="B417" s="196" t="s">
        <v>15</v>
      </c>
      <c r="C417" s="197" t="s">
        <v>145</v>
      </c>
      <c r="D417" s="198">
        <v>0.08</v>
      </c>
      <c r="E417" s="199"/>
      <c r="F417" s="199"/>
      <c r="G417" s="200">
        <f t="shared" si="65"/>
        <v>0</v>
      </c>
      <c r="H417" s="60"/>
      <c r="I417" s="82">
        <f>55*0.222*6</f>
        <v>73.260000000000005</v>
      </c>
      <c r="J417" s="76"/>
      <c r="K417" s="60"/>
      <c r="L417" s="60"/>
    </row>
    <row r="418" spans="1:12" x14ac:dyDescent="0.2">
      <c r="A418" s="195"/>
      <c r="B418" s="196"/>
      <c r="C418" s="197"/>
      <c r="D418" s="198"/>
      <c r="E418" s="199"/>
      <c r="F418" s="199"/>
      <c r="G418" s="200"/>
      <c r="H418" s="60"/>
      <c r="I418" s="82"/>
      <c r="J418" s="76"/>
      <c r="K418" s="60"/>
      <c r="L418" s="60"/>
    </row>
    <row r="419" spans="1:12" x14ac:dyDescent="0.2">
      <c r="A419" s="195" t="s">
        <v>189</v>
      </c>
      <c r="B419" s="201" t="s">
        <v>143</v>
      </c>
      <c r="C419" s="197"/>
      <c r="D419" s="198"/>
      <c r="E419" s="199"/>
      <c r="F419" s="199"/>
      <c r="G419" s="200"/>
      <c r="H419" s="60"/>
      <c r="I419" s="60"/>
      <c r="J419" s="60"/>
      <c r="K419" s="60"/>
      <c r="L419" s="60"/>
    </row>
    <row r="420" spans="1:12" x14ac:dyDescent="0.2">
      <c r="A420" s="195"/>
      <c r="B420" s="201" t="s">
        <v>365</v>
      </c>
      <c r="C420" s="197"/>
      <c r="D420" s="198"/>
      <c r="E420" s="199"/>
      <c r="F420" s="199"/>
      <c r="G420" s="200"/>
      <c r="H420" s="60"/>
      <c r="I420" s="60"/>
      <c r="J420" s="76"/>
      <c r="K420" s="60"/>
      <c r="L420" s="60"/>
    </row>
    <row r="421" spans="1:12" x14ac:dyDescent="0.2">
      <c r="A421" s="195"/>
      <c r="B421" s="196" t="s">
        <v>16</v>
      </c>
      <c r="C421" s="197" t="s">
        <v>145</v>
      </c>
      <c r="D421" s="198">
        <v>3.82</v>
      </c>
      <c r="E421" s="199"/>
      <c r="F421" s="199"/>
      <c r="G421" s="200">
        <f t="shared" ref="G421" si="66">(D421*E421)+(D421*F421)</f>
        <v>0</v>
      </c>
      <c r="H421" s="60"/>
      <c r="I421" s="82">
        <f>1030*6*0.617</f>
        <v>3813.06</v>
      </c>
      <c r="J421" s="76"/>
      <c r="K421" s="60"/>
      <c r="L421" s="60"/>
    </row>
    <row r="422" spans="1:12" x14ac:dyDescent="0.2">
      <c r="A422" s="195"/>
      <c r="B422" s="196"/>
      <c r="C422" s="197"/>
      <c r="D422" s="198"/>
      <c r="E422" s="199"/>
      <c r="F422" s="199"/>
      <c r="G422" s="200"/>
      <c r="H422" s="60"/>
      <c r="I422" s="82"/>
      <c r="J422" s="76"/>
      <c r="K422" s="60"/>
      <c r="L422" s="60"/>
    </row>
    <row r="423" spans="1:12" x14ac:dyDescent="0.2">
      <c r="A423" s="195" t="s">
        <v>202</v>
      </c>
      <c r="B423" s="201" t="s">
        <v>196</v>
      </c>
      <c r="C423" s="197"/>
      <c r="D423" s="198"/>
      <c r="E423" s="199"/>
      <c r="F423" s="199"/>
      <c r="G423" s="200">
        <f t="shared" ref="G423:G426" si="67">(D423*E423)+(D423*F423)</f>
        <v>0</v>
      </c>
      <c r="H423" s="60"/>
      <c r="I423" s="76"/>
      <c r="J423" s="76"/>
      <c r="K423" s="60"/>
      <c r="L423" s="60"/>
    </row>
    <row r="424" spans="1:12" x14ac:dyDescent="0.2">
      <c r="A424" s="195"/>
      <c r="B424" s="201" t="s">
        <v>359</v>
      </c>
      <c r="C424" s="197"/>
      <c r="D424" s="198"/>
      <c r="E424" s="199"/>
      <c r="F424" s="199"/>
      <c r="G424" s="200">
        <f t="shared" si="67"/>
        <v>0</v>
      </c>
      <c r="K424" s="60"/>
      <c r="L424" s="60"/>
    </row>
    <row r="425" spans="1:12" x14ac:dyDescent="0.2">
      <c r="A425" s="211"/>
      <c r="B425" s="196" t="s">
        <v>343</v>
      </c>
      <c r="C425" s="197" t="s">
        <v>145</v>
      </c>
      <c r="D425" s="198">
        <v>1.35</v>
      </c>
      <c r="E425" s="199"/>
      <c r="F425" s="199"/>
      <c r="G425" s="200">
        <f t="shared" si="67"/>
        <v>0</v>
      </c>
      <c r="I425" s="45">
        <f>91*2.469*6</f>
        <v>1348.0739999999998</v>
      </c>
      <c r="K425" s="60">
        <f>6*5</f>
        <v>30</v>
      </c>
      <c r="L425" s="60"/>
    </row>
    <row r="426" spans="1:12" x14ac:dyDescent="0.2">
      <c r="A426" s="195"/>
      <c r="B426" s="196" t="s">
        <v>242</v>
      </c>
      <c r="C426" s="197" t="s">
        <v>145</v>
      </c>
      <c r="D426" s="198">
        <v>0.21</v>
      </c>
      <c r="E426" s="199"/>
      <c r="F426" s="199"/>
      <c r="G426" s="200">
        <f t="shared" si="67"/>
        <v>0</v>
      </c>
      <c r="I426" s="49">
        <f>156*6*0.222</f>
        <v>207.792</v>
      </c>
      <c r="K426" s="60"/>
      <c r="L426" s="60"/>
    </row>
    <row r="427" spans="1:12" x14ac:dyDescent="0.2">
      <c r="A427" s="195"/>
      <c r="B427" s="201" t="s">
        <v>345</v>
      </c>
      <c r="C427" s="197"/>
      <c r="D427" s="198"/>
      <c r="E427" s="199"/>
      <c r="F427" s="199"/>
      <c r="G427" s="200"/>
      <c r="I427" s="45"/>
      <c r="J427" s="45"/>
      <c r="K427" s="60"/>
      <c r="L427" s="60"/>
    </row>
    <row r="428" spans="1:12" x14ac:dyDescent="0.2">
      <c r="A428" s="195"/>
      <c r="B428" s="196" t="s">
        <v>13</v>
      </c>
      <c r="C428" s="197" t="s">
        <v>145</v>
      </c>
      <c r="D428" s="198">
        <v>7.0000000000000007E-2</v>
      </c>
      <c r="E428" s="199"/>
      <c r="F428" s="199"/>
      <c r="G428" s="200">
        <f t="shared" ref="G428:G429" si="68">(D428*E428)+(D428*F428)</f>
        <v>0</v>
      </c>
      <c r="I428" s="45">
        <f>7*1.58*6</f>
        <v>66.36</v>
      </c>
      <c r="J428" s="45"/>
      <c r="K428" s="60"/>
      <c r="L428" s="60"/>
    </row>
    <row r="429" spans="1:12" x14ac:dyDescent="0.2">
      <c r="A429" s="195"/>
      <c r="B429" s="196" t="s">
        <v>186</v>
      </c>
      <c r="C429" s="197" t="s">
        <v>145</v>
      </c>
      <c r="D429" s="198">
        <v>0.02</v>
      </c>
      <c r="E429" s="199"/>
      <c r="F429" s="199"/>
      <c r="G429" s="200">
        <f t="shared" si="68"/>
        <v>0</v>
      </c>
      <c r="I429" s="49">
        <f>14*0.222*6</f>
        <v>18.648</v>
      </c>
      <c r="K429" s="60"/>
      <c r="L429" s="60"/>
    </row>
    <row r="430" spans="1:12" x14ac:dyDescent="0.2">
      <c r="A430" s="195"/>
      <c r="B430" s="201" t="s">
        <v>344</v>
      </c>
      <c r="C430" s="197"/>
      <c r="D430" s="198"/>
      <c r="E430" s="199"/>
      <c r="F430" s="199"/>
      <c r="G430" s="200"/>
      <c r="I430" s="45"/>
      <c r="J430" s="84"/>
      <c r="K430" s="60"/>
      <c r="L430" s="60"/>
    </row>
    <row r="431" spans="1:12" x14ac:dyDescent="0.2">
      <c r="A431" s="195"/>
      <c r="B431" s="196" t="s">
        <v>343</v>
      </c>
      <c r="C431" s="197" t="s">
        <v>145</v>
      </c>
      <c r="D431" s="198">
        <v>0.06</v>
      </c>
      <c r="E431" s="199"/>
      <c r="F431" s="199"/>
      <c r="G431" s="200">
        <f t="shared" ref="G431:G433" si="69">(D431*E431)+(D431*F431)</f>
        <v>0</v>
      </c>
      <c r="I431" s="45">
        <f>4*2.469*6</f>
        <v>59.256</v>
      </c>
      <c r="J431" s="84"/>
      <c r="K431" s="60"/>
      <c r="L431" s="60"/>
    </row>
    <row r="432" spans="1:12" x14ac:dyDescent="0.2">
      <c r="A432" s="195"/>
      <c r="B432" s="196" t="s">
        <v>13</v>
      </c>
      <c r="C432" s="197" t="s">
        <v>145</v>
      </c>
      <c r="D432" s="198">
        <v>0.04</v>
      </c>
      <c r="E432" s="199"/>
      <c r="F432" s="199"/>
      <c r="G432" s="200">
        <f t="shared" si="69"/>
        <v>0</v>
      </c>
      <c r="I432" s="45">
        <f>4*1.58*6</f>
        <v>37.92</v>
      </c>
      <c r="J432" s="84"/>
      <c r="K432" s="60"/>
      <c r="L432" s="60"/>
    </row>
    <row r="433" spans="1:12" x14ac:dyDescent="0.2">
      <c r="A433" s="195"/>
      <c r="B433" s="196" t="s">
        <v>186</v>
      </c>
      <c r="C433" s="197" t="s">
        <v>145</v>
      </c>
      <c r="D433" s="198">
        <v>1.4999999999999999E-2</v>
      </c>
      <c r="E433" s="199"/>
      <c r="F433" s="199"/>
      <c r="G433" s="200">
        <f t="shared" si="69"/>
        <v>0</v>
      </c>
      <c r="I433" s="49">
        <f>10*0.222*6</f>
        <v>13.32</v>
      </c>
      <c r="J433" s="84"/>
      <c r="K433" s="60"/>
      <c r="L433" s="60"/>
    </row>
    <row r="434" spans="1:12" x14ac:dyDescent="0.2">
      <c r="A434" s="195"/>
      <c r="B434" s="201" t="s">
        <v>513</v>
      </c>
      <c r="C434" s="197"/>
      <c r="D434" s="198"/>
      <c r="E434" s="199"/>
      <c r="F434" s="199"/>
      <c r="G434" s="200"/>
      <c r="I434" s="45"/>
      <c r="J434" s="84"/>
      <c r="K434" s="60"/>
      <c r="L434" s="60"/>
    </row>
    <row r="435" spans="1:12" x14ac:dyDescent="0.2">
      <c r="A435" s="195"/>
      <c r="B435" s="196" t="s">
        <v>14</v>
      </c>
      <c r="C435" s="197" t="s">
        <v>145</v>
      </c>
      <c r="D435" s="198">
        <v>0.25</v>
      </c>
      <c r="E435" s="199"/>
      <c r="F435" s="199"/>
      <c r="G435" s="200">
        <f t="shared" ref="G435:G436" si="70">(D435*E435)+(D435*F435)</f>
        <v>0</v>
      </c>
      <c r="I435" s="45">
        <f>42*0.888*6</f>
        <v>223.77600000000001</v>
      </c>
      <c r="J435" s="84"/>
      <c r="K435" s="60"/>
      <c r="L435" s="60"/>
    </row>
    <row r="436" spans="1:12" x14ac:dyDescent="0.2">
      <c r="A436" s="195"/>
      <c r="B436" s="196" t="s">
        <v>186</v>
      </c>
      <c r="C436" s="197" t="s">
        <v>145</v>
      </c>
      <c r="D436" s="198">
        <v>7.0000000000000007E-2</v>
      </c>
      <c r="E436" s="199"/>
      <c r="F436" s="199"/>
      <c r="G436" s="200">
        <f t="shared" si="70"/>
        <v>0</v>
      </c>
      <c r="I436" s="49">
        <f>49*0.222*6</f>
        <v>65.268000000000001</v>
      </c>
      <c r="J436" s="84"/>
      <c r="K436" s="60"/>
      <c r="L436" s="60"/>
    </row>
    <row r="437" spans="1:12" x14ac:dyDescent="0.2">
      <c r="A437" s="195"/>
      <c r="B437" s="196"/>
      <c r="C437" s="197"/>
      <c r="D437" s="198"/>
      <c r="E437" s="199"/>
      <c r="F437" s="199"/>
      <c r="G437" s="200"/>
      <c r="I437" s="49"/>
      <c r="J437" s="84"/>
      <c r="K437" s="60"/>
      <c r="L437" s="60"/>
    </row>
    <row r="438" spans="1:12" x14ac:dyDescent="0.2">
      <c r="A438" s="195" t="s">
        <v>203</v>
      </c>
      <c r="B438" s="201" t="s">
        <v>249</v>
      </c>
      <c r="C438" s="197"/>
      <c r="D438" s="198"/>
      <c r="E438" s="199"/>
      <c r="F438" s="199"/>
      <c r="G438" s="200"/>
      <c r="H438" s="60"/>
      <c r="I438" s="49"/>
      <c r="K438" s="60"/>
      <c r="L438" s="60"/>
    </row>
    <row r="439" spans="1:12" x14ac:dyDescent="0.2">
      <c r="A439" s="195"/>
      <c r="B439" s="196" t="s">
        <v>13</v>
      </c>
      <c r="C439" s="197" t="s">
        <v>145</v>
      </c>
      <c r="D439" s="198">
        <v>0.36</v>
      </c>
      <c r="E439" s="199"/>
      <c r="F439" s="199"/>
      <c r="G439" s="200">
        <f t="shared" ref="G439" si="71">(D439*E439)+(D439*F439)</f>
        <v>0</v>
      </c>
      <c r="I439" s="45">
        <f>38*1.58*6</f>
        <v>360.24</v>
      </c>
      <c r="J439" s="45"/>
      <c r="K439" s="60"/>
      <c r="L439" s="60"/>
    </row>
    <row r="440" spans="1:12" x14ac:dyDescent="0.2">
      <c r="A440" s="195"/>
      <c r="B440" s="196" t="s">
        <v>14</v>
      </c>
      <c r="C440" s="197" t="s">
        <v>145</v>
      </c>
      <c r="D440" s="198">
        <v>0.56499999999999995</v>
      </c>
      <c r="E440" s="199"/>
      <c r="F440" s="199"/>
      <c r="G440" s="200">
        <f>(D440*E440)+(D440*F440)</f>
        <v>0</v>
      </c>
      <c r="I440" s="45">
        <f>106*0.888*6</f>
        <v>564.76800000000003</v>
      </c>
      <c r="J440" s="45"/>
      <c r="K440" s="60"/>
      <c r="L440" s="60"/>
    </row>
    <row r="441" spans="1:12" x14ac:dyDescent="0.2">
      <c r="A441" s="195"/>
      <c r="B441" s="196"/>
      <c r="C441" s="197"/>
      <c r="D441" s="198"/>
      <c r="E441" s="199"/>
      <c r="F441" s="199"/>
      <c r="G441" s="200"/>
      <c r="I441" s="45"/>
      <c r="J441" s="45"/>
      <c r="K441" s="60"/>
      <c r="L441" s="60"/>
    </row>
    <row r="442" spans="1:12" x14ac:dyDescent="0.2">
      <c r="A442" s="195" t="s">
        <v>204</v>
      </c>
      <c r="B442" s="201" t="s">
        <v>540</v>
      </c>
      <c r="C442" s="197"/>
      <c r="D442" s="198"/>
      <c r="E442" s="209"/>
      <c r="F442" s="199"/>
      <c r="G442" s="200">
        <f t="shared" ref="G442" si="72">(D442*E442)+(D442*F442)</f>
        <v>0</v>
      </c>
      <c r="H442" s="60"/>
      <c r="I442" s="76"/>
      <c r="L442" s="60"/>
    </row>
    <row r="443" spans="1:12" x14ac:dyDescent="0.2">
      <c r="A443" s="195"/>
      <c r="B443" s="201" t="s">
        <v>352</v>
      </c>
      <c r="C443" s="197"/>
      <c r="D443" s="198"/>
      <c r="E443" s="199"/>
      <c r="F443" s="199"/>
      <c r="G443" s="200"/>
      <c r="H443" s="60"/>
      <c r="I443" s="60"/>
      <c r="L443" s="60"/>
    </row>
    <row r="444" spans="1:12" x14ac:dyDescent="0.2">
      <c r="A444" s="195"/>
      <c r="B444" s="196" t="s">
        <v>343</v>
      </c>
      <c r="C444" s="197" t="s">
        <v>145</v>
      </c>
      <c r="D444" s="198">
        <v>0.06</v>
      </c>
      <c r="E444" s="199"/>
      <c r="F444" s="199"/>
      <c r="G444" s="200">
        <f t="shared" ref="G444:G446" si="73">(D444*E444)+(D444*F444)</f>
        <v>0</v>
      </c>
      <c r="H444" s="60"/>
      <c r="I444" s="82">
        <f>4*2.469*6</f>
        <v>59.256</v>
      </c>
      <c r="L444" s="60"/>
    </row>
    <row r="445" spans="1:12" x14ac:dyDescent="0.2">
      <c r="A445" s="195"/>
      <c r="B445" s="196" t="s">
        <v>13</v>
      </c>
      <c r="C445" s="197" t="s">
        <v>145</v>
      </c>
      <c r="D445" s="198">
        <v>0.02</v>
      </c>
      <c r="E445" s="199"/>
      <c r="F445" s="199"/>
      <c r="G445" s="200">
        <f t="shared" si="73"/>
        <v>0</v>
      </c>
      <c r="H445" s="60"/>
      <c r="I445" s="82">
        <f>2*1.58*6</f>
        <v>18.96</v>
      </c>
      <c r="L445" s="60"/>
    </row>
    <row r="446" spans="1:12" x14ac:dyDescent="0.2">
      <c r="A446" s="195"/>
      <c r="B446" s="196" t="s">
        <v>15</v>
      </c>
      <c r="C446" s="197" t="s">
        <v>145</v>
      </c>
      <c r="D446" s="198">
        <v>1.4999999999999999E-2</v>
      </c>
      <c r="E446" s="199"/>
      <c r="F446" s="199"/>
      <c r="G446" s="200">
        <f t="shared" si="73"/>
        <v>0</v>
      </c>
      <c r="H446" s="60"/>
      <c r="I446" s="82">
        <f>11*0.222*6</f>
        <v>14.652000000000001</v>
      </c>
      <c r="L446" s="60"/>
    </row>
    <row r="447" spans="1:12" x14ac:dyDescent="0.2">
      <c r="A447" s="195"/>
      <c r="B447" s="201" t="s">
        <v>353</v>
      </c>
      <c r="C447" s="197"/>
      <c r="D447" s="198"/>
      <c r="E447" s="199"/>
      <c r="F447" s="199"/>
      <c r="G447" s="200"/>
      <c r="H447" s="60"/>
      <c r="I447" s="60"/>
      <c r="L447" s="60"/>
    </row>
    <row r="448" spans="1:12" x14ac:dyDescent="0.2">
      <c r="A448" s="195"/>
      <c r="B448" s="196" t="s">
        <v>343</v>
      </c>
      <c r="C448" s="197" t="s">
        <v>145</v>
      </c>
      <c r="D448" s="198">
        <v>0.06</v>
      </c>
      <c r="E448" s="199"/>
      <c r="F448" s="199"/>
      <c r="G448" s="200">
        <f t="shared" ref="G448:G449" si="74">(D448*E448)+(D448*F448)</f>
        <v>0</v>
      </c>
      <c r="H448" s="60"/>
      <c r="I448" s="82">
        <f>4*2.469*6</f>
        <v>59.256</v>
      </c>
      <c r="L448" s="60"/>
    </row>
    <row r="449" spans="1:12" x14ac:dyDescent="0.2">
      <c r="A449" s="195"/>
      <c r="B449" s="196" t="s">
        <v>15</v>
      </c>
      <c r="C449" s="197" t="s">
        <v>145</v>
      </c>
      <c r="D449" s="198">
        <v>0.01</v>
      </c>
      <c r="E449" s="199"/>
      <c r="F449" s="199"/>
      <c r="G449" s="200">
        <f t="shared" si="74"/>
        <v>0</v>
      </c>
      <c r="H449" s="60"/>
      <c r="I449" s="82">
        <f>7*0.222*6</f>
        <v>9.3239999999999998</v>
      </c>
      <c r="L449" s="60"/>
    </row>
    <row r="450" spans="1:12" x14ac:dyDescent="0.2">
      <c r="A450" s="195"/>
      <c r="B450" s="201" t="s">
        <v>355</v>
      </c>
      <c r="C450" s="197"/>
      <c r="D450" s="198"/>
      <c r="E450" s="199"/>
      <c r="F450" s="199"/>
      <c r="G450" s="200"/>
      <c r="H450" s="60"/>
      <c r="I450" s="60"/>
      <c r="L450" s="60"/>
    </row>
    <row r="451" spans="1:12" x14ac:dyDescent="0.2">
      <c r="A451" s="195"/>
      <c r="B451" s="196" t="s">
        <v>13</v>
      </c>
      <c r="C451" s="197" t="s">
        <v>145</v>
      </c>
      <c r="D451" s="198">
        <v>0.04</v>
      </c>
      <c r="E451" s="199"/>
      <c r="F451" s="199"/>
      <c r="G451" s="200">
        <f t="shared" ref="G451:G452" si="75">(D451*E451)+(D451*F451)</f>
        <v>0</v>
      </c>
      <c r="H451" s="60"/>
      <c r="I451" s="82">
        <f>4*1.58*6</f>
        <v>37.92</v>
      </c>
      <c r="L451" s="60"/>
    </row>
    <row r="452" spans="1:12" x14ac:dyDescent="0.2">
      <c r="A452" s="195"/>
      <c r="B452" s="196" t="s">
        <v>15</v>
      </c>
      <c r="C452" s="197" t="s">
        <v>145</v>
      </c>
      <c r="D452" s="198">
        <v>0.01</v>
      </c>
      <c r="E452" s="199"/>
      <c r="F452" s="199"/>
      <c r="G452" s="200">
        <f t="shared" si="75"/>
        <v>0</v>
      </c>
      <c r="H452" s="60"/>
      <c r="I452" s="82">
        <f>8*0.222*6</f>
        <v>10.656000000000001</v>
      </c>
      <c r="L452" s="60"/>
    </row>
    <row r="453" spans="1:12" x14ac:dyDescent="0.2">
      <c r="A453" s="195"/>
      <c r="B453" s="201" t="s">
        <v>357</v>
      </c>
      <c r="C453" s="197"/>
      <c r="D453" s="198"/>
      <c r="E453" s="199"/>
      <c r="F453" s="199"/>
      <c r="G453" s="200"/>
      <c r="H453" s="60"/>
      <c r="I453" s="60"/>
      <c r="L453" s="60"/>
    </row>
    <row r="454" spans="1:12" x14ac:dyDescent="0.2">
      <c r="A454" s="195"/>
      <c r="B454" s="196" t="s">
        <v>13</v>
      </c>
      <c r="C454" s="197" t="s">
        <v>145</v>
      </c>
      <c r="D454" s="198">
        <v>0.05</v>
      </c>
      <c r="E454" s="199"/>
      <c r="F454" s="199"/>
      <c r="G454" s="200">
        <f t="shared" ref="G454:G455" si="76">(D454*E454)+(D454*F454)</f>
        <v>0</v>
      </c>
      <c r="H454" s="60"/>
      <c r="I454" s="82">
        <f>5*1.58*6</f>
        <v>47.400000000000006</v>
      </c>
      <c r="L454" s="60"/>
    </row>
    <row r="455" spans="1:12" x14ac:dyDescent="0.2">
      <c r="A455" s="195"/>
      <c r="B455" s="196" t="s">
        <v>15</v>
      </c>
      <c r="C455" s="197" t="s">
        <v>145</v>
      </c>
      <c r="D455" s="198">
        <v>0.04</v>
      </c>
      <c r="E455" s="199"/>
      <c r="F455" s="199"/>
      <c r="G455" s="200">
        <f t="shared" si="76"/>
        <v>0</v>
      </c>
      <c r="H455" s="60"/>
      <c r="I455" s="82">
        <f>12*0.222*6</f>
        <v>15.984000000000002</v>
      </c>
      <c r="L455" s="60"/>
    </row>
    <row r="456" spans="1:12" x14ac:dyDescent="0.2">
      <c r="A456" s="638"/>
      <c r="B456" s="639"/>
      <c r="C456" s="500"/>
      <c r="D456" s="640"/>
      <c r="E456" s="641"/>
      <c r="F456" s="641"/>
      <c r="G456" s="642"/>
      <c r="H456" s="60"/>
      <c r="I456" s="82"/>
      <c r="L456" s="60"/>
    </row>
    <row r="457" spans="1:12" x14ac:dyDescent="0.2">
      <c r="A457" s="195" t="s">
        <v>205</v>
      </c>
      <c r="B457" s="201" t="s">
        <v>546</v>
      </c>
      <c r="C457" s="197"/>
      <c r="D457" s="198"/>
      <c r="E457" s="199"/>
      <c r="F457" s="199"/>
      <c r="G457" s="200"/>
      <c r="H457" s="60"/>
      <c r="I457" s="60"/>
      <c r="L457" s="60"/>
    </row>
    <row r="458" spans="1:12" x14ac:dyDescent="0.2">
      <c r="A458" s="195"/>
      <c r="B458" s="201" t="s">
        <v>364</v>
      </c>
      <c r="C458" s="197"/>
      <c r="D458" s="198"/>
      <c r="E458" s="199"/>
      <c r="F458" s="199"/>
      <c r="G458" s="200"/>
      <c r="H458" s="60"/>
      <c r="I458" s="60"/>
      <c r="L458" s="60"/>
    </row>
    <row r="459" spans="1:12" x14ac:dyDescent="0.2">
      <c r="A459" s="221"/>
      <c r="B459" s="196" t="s">
        <v>16</v>
      </c>
      <c r="C459" s="197" t="s">
        <v>145</v>
      </c>
      <c r="D459" s="198">
        <v>0.19</v>
      </c>
      <c r="E459" s="199"/>
      <c r="F459" s="199"/>
      <c r="G459" s="200">
        <f t="shared" ref="G459" si="77">(D459*E459)+(D459*F459)</f>
        <v>0</v>
      </c>
      <c r="H459" s="60"/>
      <c r="I459" s="82">
        <f>49*0.617*6</f>
        <v>181.398</v>
      </c>
      <c r="L459" s="60"/>
    </row>
    <row r="460" spans="1:12" x14ac:dyDescent="0.2">
      <c r="A460" s="195"/>
      <c r="B460" s="196"/>
      <c r="C460" s="197"/>
      <c r="D460" s="198"/>
      <c r="E460" s="199"/>
      <c r="F460" s="199"/>
      <c r="G460" s="200"/>
      <c r="I460" s="49"/>
      <c r="L460" s="60"/>
    </row>
    <row r="461" spans="1:12" ht="12.75" customHeight="1" x14ac:dyDescent="0.2">
      <c r="A461" s="202" t="s">
        <v>148</v>
      </c>
      <c r="B461" s="203" t="s">
        <v>197</v>
      </c>
      <c r="C461" s="182"/>
      <c r="D461" s="183"/>
      <c r="E461" s="184"/>
      <c r="F461" s="184"/>
      <c r="G461" s="185"/>
      <c r="H461" s="60"/>
      <c r="I461" s="60"/>
      <c r="J461" s="60"/>
      <c r="K461" s="60"/>
      <c r="L461" s="60"/>
    </row>
    <row r="462" spans="1:12" ht="12.75" customHeight="1" x14ac:dyDescent="0.2">
      <c r="A462" s="195" t="s">
        <v>188</v>
      </c>
      <c r="B462" s="201" t="s">
        <v>252</v>
      </c>
      <c r="C462" s="197"/>
      <c r="D462" s="198"/>
      <c r="E462" s="199"/>
      <c r="F462" s="199"/>
      <c r="G462" s="200"/>
      <c r="H462" s="60"/>
      <c r="I462" s="60"/>
      <c r="J462" s="60"/>
      <c r="K462" s="60"/>
      <c r="L462" s="60"/>
    </row>
    <row r="463" spans="1:12" ht="12.75" customHeight="1" x14ac:dyDescent="0.2">
      <c r="A463" s="195" t="s">
        <v>224</v>
      </c>
      <c r="B463" s="201" t="s">
        <v>346</v>
      </c>
      <c r="C463" s="197"/>
      <c r="D463" s="198"/>
      <c r="E463" s="199"/>
      <c r="F463" s="199"/>
      <c r="G463" s="200"/>
      <c r="H463" s="60"/>
      <c r="I463" s="60"/>
      <c r="J463" s="60"/>
      <c r="K463" s="60"/>
      <c r="L463" s="60"/>
    </row>
    <row r="464" spans="1:12" ht="12.75" customHeight="1" x14ac:dyDescent="0.2">
      <c r="A464" s="195"/>
      <c r="B464" s="196" t="s">
        <v>348</v>
      </c>
      <c r="C464" s="197" t="s">
        <v>145</v>
      </c>
      <c r="D464" s="198">
        <v>0.35</v>
      </c>
      <c r="E464" s="199"/>
      <c r="F464" s="199"/>
      <c r="G464" s="200">
        <f t="shared" ref="G464:G466" si="78">(D464*E464)+(D464*F464)</f>
        <v>0</v>
      </c>
      <c r="H464" s="60"/>
      <c r="I464" s="82">
        <f>15*3.858*6</f>
        <v>347.22</v>
      </c>
      <c r="J464" s="60"/>
      <c r="K464" s="60"/>
      <c r="L464" s="60"/>
    </row>
    <row r="465" spans="1:12" ht="12.75" customHeight="1" x14ac:dyDescent="0.2">
      <c r="A465" s="195"/>
      <c r="B465" s="196" t="s">
        <v>343</v>
      </c>
      <c r="C465" s="197" t="s">
        <v>145</v>
      </c>
      <c r="D465" s="198">
        <v>1.04</v>
      </c>
      <c r="E465" s="199"/>
      <c r="F465" s="199"/>
      <c r="G465" s="200">
        <f t="shared" si="78"/>
        <v>0</v>
      </c>
      <c r="H465" s="60"/>
      <c r="I465" s="82">
        <f>70*2.469*6</f>
        <v>1036.98</v>
      </c>
      <c r="J465" s="60"/>
      <c r="K465" s="60"/>
      <c r="L465" s="60"/>
    </row>
    <row r="466" spans="1:12" ht="12.75" customHeight="1" x14ac:dyDescent="0.2">
      <c r="A466" s="195"/>
      <c r="B466" s="196" t="s">
        <v>15</v>
      </c>
      <c r="C466" s="197" t="s">
        <v>145</v>
      </c>
      <c r="D466" s="198">
        <v>0.38</v>
      </c>
      <c r="E466" s="199"/>
      <c r="F466" s="199"/>
      <c r="G466" s="200">
        <f t="shared" si="78"/>
        <v>0</v>
      </c>
      <c r="H466" s="60"/>
      <c r="I466" s="82">
        <f>280*0.222*6</f>
        <v>372.96000000000004</v>
      </c>
      <c r="J466" s="76">
        <f>I466*0.02</f>
        <v>7.4592000000000009</v>
      </c>
      <c r="K466" s="60"/>
      <c r="L466" s="60"/>
    </row>
    <row r="467" spans="1:12" ht="12.75" customHeight="1" x14ac:dyDescent="0.2">
      <c r="A467" s="195" t="s">
        <v>225</v>
      </c>
      <c r="B467" s="201" t="s">
        <v>347</v>
      </c>
      <c r="C467" s="197"/>
      <c r="D467" s="198"/>
      <c r="E467" s="199"/>
      <c r="F467" s="199"/>
      <c r="G467" s="200"/>
      <c r="H467" s="60"/>
      <c r="I467" s="60"/>
      <c r="J467" s="60"/>
      <c r="K467" s="60"/>
      <c r="L467" s="60"/>
    </row>
    <row r="468" spans="1:12" ht="12.75" customHeight="1" x14ac:dyDescent="0.2">
      <c r="A468" s="195"/>
      <c r="B468" s="196" t="s">
        <v>343</v>
      </c>
      <c r="C468" s="197" t="s">
        <v>145</v>
      </c>
      <c r="D468" s="198">
        <v>0.23</v>
      </c>
      <c r="E468" s="199"/>
      <c r="F468" s="199"/>
      <c r="G468" s="200">
        <f t="shared" ref="G468:G470" si="79">(D468*E468)+(D468*F468)</f>
        <v>0</v>
      </c>
      <c r="H468" s="60"/>
      <c r="I468" s="82">
        <f>15*2.469*6</f>
        <v>222.20999999999998</v>
      </c>
      <c r="J468" s="60"/>
      <c r="K468" s="60"/>
      <c r="L468" s="60"/>
    </row>
    <row r="469" spans="1:12" ht="12.75" customHeight="1" x14ac:dyDescent="0.2">
      <c r="A469" s="195"/>
      <c r="B469" s="196" t="s">
        <v>13</v>
      </c>
      <c r="C469" s="197" t="s">
        <v>145</v>
      </c>
      <c r="D469" s="198">
        <v>0.1</v>
      </c>
      <c r="E469" s="199"/>
      <c r="F469" s="199"/>
      <c r="G469" s="200">
        <f t="shared" si="79"/>
        <v>0</v>
      </c>
      <c r="H469" s="60"/>
      <c r="I469" s="82">
        <f>10*1.58*6</f>
        <v>94.800000000000011</v>
      </c>
      <c r="J469" s="60"/>
      <c r="K469" s="60"/>
      <c r="L469" s="60"/>
    </row>
    <row r="470" spans="1:12" ht="12.75" customHeight="1" x14ac:dyDescent="0.2">
      <c r="A470" s="195"/>
      <c r="B470" s="196" t="s">
        <v>15</v>
      </c>
      <c r="C470" s="197" t="s">
        <v>145</v>
      </c>
      <c r="D470" s="198">
        <v>0.05</v>
      </c>
      <c r="E470" s="199"/>
      <c r="F470" s="199"/>
      <c r="G470" s="200">
        <f t="shared" si="79"/>
        <v>0</v>
      </c>
      <c r="H470" s="60"/>
      <c r="I470" s="82">
        <f>36*0.222*6</f>
        <v>47.951999999999998</v>
      </c>
      <c r="J470" s="76">
        <f>I470*0.02</f>
        <v>0.95904</v>
      </c>
      <c r="K470" s="60"/>
      <c r="L470" s="60"/>
    </row>
    <row r="471" spans="1:12" ht="12.75" customHeight="1" x14ac:dyDescent="0.2">
      <c r="A471" s="195" t="s">
        <v>227</v>
      </c>
      <c r="B471" s="201" t="s">
        <v>352</v>
      </c>
      <c r="C471" s="197"/>
      <c r="D471" s="198"/>
      <c r="E471" s="199"/>
      <c r="F471" s="199"/>
      <c r="G471" s="200"/>
      <c r="H471" s="60"/>
      <c r="I471" s="60"/>
      <c r="J471" s="60"/>
      <c r="K471" s="60"/>
      <c r="L471" s="60"/>
    </row>
    <row r="472" spans="1:12" ht="12.75" customHeight="1" x14ac:dyDescent="0.2">
      <c r="A472" s="195"/>
      <c r="B472" s="196" t="s">
        <v>343</v>
      </c>
      <c r="C472" s="197" t="s">
        <v>145</v>
      </c>
      <c r="D472" s="198">
        <v>0.12</v>
      </c>
      <c r="E472" s="199"/>
      <c r="F472" s="199"/>
      <c r="G472" s="200">
        <f t="shared" ref="G472:G474" si="80">(D472*E472)+(D472*F472)</f>
        <v>0</v>
      </c>
      <c r="H472" s="60"/>
      <c r="I472" s="82">
        <f>8*2.469*6</f>
        <v>118.512</v>
      </c>
      <c r="J472" s="60"/>
      <c r="K472" s="60"/>
      <c r="L472" s="60"/>
    </row>
    <row r="473" spans="1:12" ht="12.75" customHeight="1" x14ac:dyDescent="0.2">
      <c r="A473" s="195"/>
      <c r="B473" s="196" t="s">
        <v>13</v>
      </c>
      <c r="C473" s="197" t="s">
        <v>145</v>
      </c>
      <c r="D473" s="198">
        <v>0.02</v>
      </c>
      <c r="E473" s="199"/>
      <c r="F473" s="199"/>
      <c r="G473" s="200">
        <f t="shared" si="80"/>
        <v>0</v>
      </c>
      <c r="H473" s="60"/>
      <c r="I473" s="82">
        <f>2*1.58*6</f>
        <v>18.96</v>
      </c>
      <c r="J473" s="60"/>
      <c r="K473" s="60"/>
      <c r="L473" s="60"/>
    </row>
    <row r="474" spans="1:12" ht="12.75" customHeight="1" x14ac:dyDescent="0.2">
      <c r="A474" s="195"/>
      <c r="B474" s="196" t="s">
        <v>15</v>
      </c>
      <c r="C474" s="197" t="s">
        <v>145</v>
      </c>
      <c r="D474" s="198">
        <v>0.04</v>
      </c>
      <c r="E474" s="199"/>
      <c r="F474" s="199"/>
      <c r="G474" s="200">
        <f t="shared" si="80"/>
        <v>0</v>
      </c>
      <c r="H474" s="60"/>
      <c r="I474" s="82">
        <f>23*0.222*6</f>
        <v>30.635999999999999</v>
      </c>
      <c r="J474" s="76">
        <f>I474*0.02</f>
        <v>0.61272000000000004</v>
      </c>
      <c r="K474" s="60"/>
      <c r="L474" s="60"/>
    </row>
    <row r="475" spans="1:12" ht="12.75" customHeight="1" x14ac:dyDescent="0.2">
      <c r="A475" s="195" t="s">
        <v>226</v>
      </c>
      <c r="B475" s="201" t="s">
        <v>353</v>
      </c>
      <c r="C475" s="197"/>
      <c r="D475" s="198"/>
      <c r="E475" s="199"/>
      <c r="F475" s="199"/>
      <c r="G475" s="200"/>
      <c r="H475" s="60"/>
      <c r="I475" s="60"/>
      <c r="J475" s="60"/>
      <c r="K475" s="60"/>
      <c r="L475" s="60"/>
    </row>
    <row r="476" spans="1:12" ht="12.75" customHeight="1" x14ac:dyDescent="0.2">
      <c r="A476" s="195"/>
      <c r="B476" s="196" t="s">
        <v>343</v>
      </c>
      <c r="C476" s="197" t="s">
        <v>145</v>
      </c>
      <c r="D476" s="198">
        <v>0.06</v>
      </c>
      <c r="E476" s="199"/>
      <c r="F476" s="199"/>
      <c r="G476" s="200">
        <f t="shared" ref="G476:G477" si="81">(D476*E476)+(D476*F476)</f>
        <v>0</v>
      </c>
      <c r="H476" s="60"/>
      <c r="I476" s="82">
        <f>4*2.469*6</f>
        <v>59.256</v>
      </c>
      <c r="J476" s="60"/>
      <c r="K476" s="60"/>
      <c r="L476" s="60"/>
    </row>
    <row r="477" spans="1:12" ht="12.75" customHeight="1" x14ac:dyDescent="0.2">
      <c r="A477" s="195"/>
      <c r="B477" s="196" t="s">
        <v>15</v>
      </c>
      <c r="C477" s="197" t="s">
        <v>145</v>
      </c>
      <c r="D477" s="198">
        <v>0.01</v>
      </c>
      <c r="E477" s="199"/>
      <c r="F477" s="199"/>
      <c r="G477" s="200">
        <f t="shared" si="81"/>
        <v>0</v>
      </c>
      <c r="H477" s="60"/>
      <c r="I477" s="82">
        <f>7*0.222*6</f>
        <v>9.3239999999999998</v>
      </c>
      <c r="J477" s="60"/>
      <c r="K477" s="60"/>
      <c r="L477" s="60"/>
    </row>
    <row r="478" spans="1:12" ht="12.75" customHeight="1" x14ac:dyDescent="0.2">
      <c r="A478" s="195" t="s">
        <v>228</v>
      </c>
      <c r="B478" s="201" t="s">
        <v>354</v>
      </c>
      <c r="C478" s="197"/>
      <c r="D478" s="198"/>
      <c r="E478" s="199"/>
      <c r="F478" s="199"/>
      <c r="G478" s="200"/>
      <c r="H478" s="60"/>
      <c r="I478" s="60"/>
      <c r="J478" s="76"/>
      <c r="K478" s="60"/>
      <c r="L478" s="60"/>
    </row>
    <row r="479" spans="1:12" ht="12.75" customHeight="1" x14ac:dyDescent="0.2">
      <c r="A479" s="195"/>
      <c r="B479" s="196" t="s">
        <v>343</v>
      </c>
      <c r="C479" s="197" t="s">
        <v>145</v>
      </c>
      <c r="D479" s="198">
        <v>0.18</v>
      </c>
      <c r="E479" s="199"/>
      <c r="F479" s="199"/>
      <c r="G479" s="200">
        <f t="shared" ref="G479:G480" si="82">(D479*E479)+(D479*F479)</f>
        <v>0</v>
      </c>
      <c r="H479" s="60"/>
      <c r="I479" s="82">
        <f>12*2.469*6</f>
        <v>177.768</v>
      </c>
      <c r="J479" s="76"/>
      <c r="K479" s="60"/>
      <c r="L479" s="60"/>
    </row>
    <row r="480" spans="1:12" ht="12.75" customHeight="1" x14ac:dyDescent="0.2">
      <c r="A480" s="195"/>
      <c r="B480" s="196" t="s">
        <v>15</v>
      </c>
      <c r="C480" s="197" t="s">
        <v>145</v>
      </c>
      <c r="D480" s="198">
        <v>0.05</v>
      </c>
      <c r="E480" s="199"/>
      <c r="F480" s="199"/>
      <c r="G480" s="200">
        <f t="shared" si="82"/>
        <v>0</v>
      </c>
      <c r="H480" s="60"/>
      <c r="I480" s="82">
        <f>32*0.222*6</f>
        <v>42.624000000000002</v>
      </c>
      <c r="J480" s="76"/>
      <c r="K480" s="60"/>
      <c r="L480" s="60"/>
    </row>
    <row r="481" spans="1:12" ht="12.75" customHeight="1" x14ac:dyDescent="0.2">
      <c r="A481" s="195" t="s">
        <v>240</v>
      </c>
      <c r="B481" s="201" t="s">
        <v>355</v>
      </c>
      <c r="C481" s="197"/>
      <c r="D481" s="198"/>
      <c r="E481" s="199"/>
      <c r="F481" s="199"/>
      <c r="G481" s="200"/>
      <c r="H481" s="60"/>
      <c r="I481" s="60"/>
      <c r="J481" s="76"/>
      <c r="K481" s="60"/>
      <c r="L481" s="60"/>
    </row>
    <row r="482" spans="1:12" ht="12.75" customHeight="1" x14ac:dyDescent="0.2">
      <c r="A482" s="195"/>
      <c r="B482" s="196" t="s">
        <v>13</v>
      </c>
      <c r="C482" s="197" t="s">
        <v>145</v>
      </c>
      <c r="D482" s="198">
        <v>0.28000000000000003</v>
      </c>
      <c r="E482" s="199"/>
      <c r="F482" s="199"/>
      <c r="G482" s="200">
        <f t="shared" ref="G482:G483" si="83">(D482*E482)+(D482*F482)</f>
        <v>0</v>
      </c>
      <c r="H482" s="60"/>
      <c r="I482" s="82">
        <f>24*1.58*6</f>
        <v>227.52</v>
      </c>
      <c r="J482" s="76"/>
      <c r="K482" s="60"/>
      <c r="L482" s="60"/>
    </row>
    <row r="483" spans="1:12" ht="12.75" customHeight="1" x14ac:dyDescent="0.2">
      <c r="A483" s="195"/>
      <c r="B483" s="196" t="s">
        <v>15</v>
      </c>
      <c r="C483" s="197" t="s">
        <v>145</v>
      </c>
      <c r="D483" s="198">
        <v>0.08</v>
      </c>
      <c r="E483" s="199"/>
      <c r="F483" s="199"/>
      <c r="G483" s="200">
        <f t="shared" si="83"/>
        <v>0</v>
      </c>
      <c r="H483" s="60"/>
      <c r="I483" s="82">
        <f>60*0.222*6</f>
        <v>79.92</v>
      </c>
      <c r="J483" s="76"/>
      <c r="K483" s="60"/>
      <c r="L483" s="60"/>
    </row>
    <row r="484" spans="1:12" ht="12.75" customHeight="1" x14ac:dyDescent="0.2">
      <c r="A484" s="195" t="s">
        <v>349</v>
      </c>
      <c r="B484" s="201" t="s">
        <v>356</v>
      </c>
      <c r="C484" s="197"/>
      <c r="D484" s="198"/>
      <c r="E484" s="199"/>
      <c r="F484" s="199"/>
      <c r="G484" s="200"/>
      <c r="H484" s="60"/>
      <c r="I484" s="60"/>
      <c r="J484" s="76"/>
      <c r="K484" s="60"/>
      <c r="L484" s="60"/>
    </row>
    <row r="485" spans="1:12" ht="12.75" customHeight="1" x14ac:dyDescent="0.2">
      <c r="A485" s="195"/>
      <c r="B485" s="196" t="s">
        <v>13</v>
      </c>
      <c r="C485" s="197" t="s">
        <v>145</v>
      </c>
      <c r="D485" s="198">
        <v>0.21</v>
      </c>
      <c r="E485" s="199"/>
      <c r="F485" s="199"/>
      <c r="G485" s="200">
        <f t="shared" ref="G485:G487" si="84">(D485*E485)+(D485*F485)</f>
        <v>0</v>
      </c>
      <c r="H485" s="60"/>
      <c r="I485" s="82">
        <f>22*1.58*6</f>
        <v>208.56000000000003</v>
      </c>
      <c r="J485" s="76"/>
      <c r="K485" s="60"/>
      <c r="L485" s="60"/>
    </row>
    <row r="486" spans="1:12" ht="12.75" customHeight="1" x14ac:dyDescent="0.2">
      <c r="A486" s="195"/>
      <c r="B486" s="196" t="s">
        <v>13</v>
      </c>
      <c r="C486" s="197" t="s">
        <v>145</v>
      </c>
      <c r="D486" s="198">
        <v>0.03</v>
      </c>
      <c r="E486" s="199"/>
      <c r="F486" s="199"/>
      <c r="G486" s="200">
        <f t="shared" si="84"/>
        <v>0</v>
      </c>
      <c r="H486" s="60"/>
      <c r="I486" s="82">
        <f>5*0.888*6</f>
        <v>26.64</v>
      </c>
      <c r="J486" s="76"/>
      <c r="K486" s="60"/>
      <c r="L486" s="60"/>
    </row>
    <row r="487" spans="1:12" ht="12.75" customHeight="1" x14ac:dyDescent="0.2">
      <c r="A487" s="195"/>
      <c r="B487" s="196" t="s">
        <v>15</v>
      </c>
      <c r="C487" s="197" t="s">
        <v>145</v>
      </c>
      <c r="D487" s="198">
        <v>0.05</v>
      </c>
      <c r="E487" s="199"/>
      <c r="F487" s="199"/>
      <c r="G487" s="200">
        <f t="shared" si="84"/>
        <v>0</v>
      </c>
      <c r="H487" s="60"/>
      <c r="I487" s="82">
        <f>34*0.222*6</f>
        <v>45.287999999999997</v>
      </c>
      <c r="J487" s="76"/>
      <c r="K487" s="60"/>
      <c r="L487" s="60"/>
    </row>
    <row r="488" spans="1:12" ht="12.75" customHeight="1" x14ac:dyDescent="0.2">
      <c r="A488" s="195" t="s">
        <v>350</v>
      </c>
      <c r="B488" s="201" t="s">
        <v>357</v>
      </c>
      <c r="C488" s="197"/>
      <c r="D488" s="198"/>
      <c r="E488" s="199"/>
      <c r="F488" s="199"/>
      <c r="G488" s="200"/>
      <c r="H488" s="60"/>
      <c r="I488" s="60"/>
      <c r="J488" s="76"/>
      <c r="K488" s="60"/>
      <c r="L488" s="60"/>
    </row>
    <row r="489" spans="1:12" ht="12.75" customHeight="1" x14ac:dyDescent="0.2">
      <c r="A489" s="195"/>
      <c r="B489" s="196" t="s">
        <v>13</v>
      </c>
      <c r="C489" s="197" t="s">
        <v>145</v>
      </c>
      <c r="D489" s="198">
        <v>0.12</v>
      </c>
      <c r="E489" s="199"/>
      <c r="F489" s="199"/>
      <c r="G489" s="200">
        <f t="shared" ref="G489:G490" si="85">(D489*E489)+(D489*F489)</f>
        <v>0</v>
      </c>
      <c r="H489" s="60"/>
      <c r="I489" s="82">
        <f>12*1.58*6</f>
        <v>113.76</v>
      </c>
      <c r="J489" s="76"/>
      <c r="K489" s="60"/>
      <c r="L489" s="60"/>
    </row>
    <row r="490" spans="1:12" ht="12.75" customHeight="1" x14ac:dyDescent="0.2">
      <c r="A490" s="195"/>
      <c r="B490" s="196" t="s">
        <v>15</v>
      </c>
      <c r="C490" s="197" t="s">
        <v>145</v>
      </c>
      <c r="D490" s="198">
        <v>0.04</v>
      </c>
      <c r="E490" s="199"/>
      <c r="F490" s="199"/>
      <c r="G490" s="200">
        <f t="shared" si="85"/>
        <v>0</v>
      </c>
      <c r="H490" s="60"/>
      <c r="I490" s="82">
        <f>24*0.222*6</f>
        <v>31.968000000000004</v>
      </c>
      <c r="J490" s="76"/>
      <c r="K490" s="60"/>
      <c r="L490" s="60"/>
    </row>
    <row r="491" spans="1:12" ht="12.75" customHeight="1" x14ac:dyDescent="0.2">
      <c r="A491" s="195" t="s">
        <v>351</v>
      </c>
      <c r="B491" s="201" t="s">
        <v>358</v>
      </c>
      <c r="C491" s="197"/>
      <c r="D491" s="198"/>
      <c r="E491" s="199"/>
      <c r="F491" s="199"/>
      <c r="G491" s="200"/>
      <c r="H491" s="60"/>
      <c r="I491" s="60"/>
      <c r="J491" s="76"/>
      <c r="K491" s="60"/>
      <c r="L491" s="60"/>
    </row>
    <row r="492" spans="1:12" ht="12.75" customHeight="1" x14ac:dyDescent="0.2">
      <c r="A492" s="195"/>
      <c r="B492" s="196" t="s">
        <v>13</v>
      </c>
      <c r="C492" s="197" t="s">
        <v>145</v>
      </c>
      <c r="D492" s="198">
        <v>0.21</v>
      </c>
      <c r="E492" s="199"/>
      <c r="F492" s="199"/>
      <c r="G492" s="200">
        <f t="shared" ref="G492:G493" si="86">(D492*E492)+(D492*F492)</f>
        <v>0</v>
      </c>
      <c r="H492" s="60"/>
      <c r="I492" s="82">
        <f>22*1.58*6</f>
        <v>208.56000000000003</v>
      </c>
      <c r="J492" s="76"/>
      <c r="K492" s="60"/>
      <c r="L492" s="60"/>
    </row>
    <row r="493" spans="1:12" ht="12.75" customHeight="1" x14ac:dyDescent="0.2">
      <c r="A493" s="195"/>
      <c r="B493" s="196" t="s">
        <v>15</v>
      </c>
      <c r="C493" s="197" t="s">
        <v>145</v>
      </c>
      <c r="D493" s="198">
        <v>0.08</v>
      </c>
      <c r="E493" s="199"/>
      <c r="F493" s="199"/>
      <c r="G493" s="200">
        <f t="shared" si="86"/>
        <v>0</v>
      </c>
      <c r="H493" s="60"/>
      <c r="I493" s="82">
        <f>55*0.222*6</f>
        <v>73.260000000000005</v>
      </c>
      <c r="J493" s="76"/>
      <c r="K493" s="60"/>
      <c r="L493" s="60"/>
    </row>
    <row r="494" spans="1:12" ht="12.75" customHeight="1" x14ac:dyDescent="0.2">
      <c r="A494" s="195"/>
      <c r="B494" s="196"/>
      <c r="C494" s="197"/>
      <c r="D494" s="198"/>
      <c r="E494" s="199"/>
      <c r="F494" s="199"/>
      <c r="G494" s="200"/>
      <c r="H494" s="60"/>
      <c r="I494" s="82"/>
      <c r="J494" s="76"/>
      <c r="K494" s="60"/>
      <c r="L494" s="60"/>
    </row>
    <row r="495" spans="1:12" ht="12.75" customHeight="1" x14ac:dyDescent="0.2">
      <c r="A495" s="195" t="s">
        <v>189</v>
      </c>
      <c r="B495" s="201" t="s">
        <v>143</v>
      </c>
      <c r="C495" s="197" t="s">
        <v>145</v>
      </c>
      <c r="D495" s="198">
        <f>I497/1000</f>
        <v>0.181398</v>
      </c>
      <c r="E495" s="199"/>
      <c r="F495" s="199"/>
      <c r="G495" s="200">
        <f t="shared" ref="G495" si="87">(D495*E495)+(D495*F495)</f>
        <v>0</v>
      </c>
      <c r="H495" s="60"/>
      <c r="I495" s="60"/>
      <c r="J495" s="60"/>
      <c r="K495" s="60"/>
      <c r="L495" s="60"/>
    </row>
    <row r="496" spans="1:12" ht="12.75" customHeight="1" x14ac:dyDescent="0.2">
      <c r="A496" s="195" t="s">
        <v>224</v>
      </c>
      <c r="B496" s="201" t="s">
        <v>364</v>
      </c>
      <c r="C496" s="197"/>
      <c r="D496" s="198"/>
      <c r="E496" s="199"/>
      <c r="F496" s="199"/>
      <c r="G496" s="200"/>
      <c r="H496" s="60"/>
      <c r="I496" s="60"/>
      <c r="J496" s="60"/>
      <c r="K496" s="60"/>
      <c r="L496" s="60"/>
    </row>
    <row r="497" spans="1:12" ht="12.75" customHeight="1" x14ac:dyDescent="0.2">
      <c r="A497" s="221"/>
      <c r="B497" s="196" t="s">
        <v>16</v>
      </c>
      <c r="C497" s="197" t="s">
        <v>145</v>
      </c>
      <c r="D497" s="198">
        <v>0.19</v>
      </c>
      <c r="E497" s="199"/>
      <c r="F497" s="199"/>
      <c r="G497" s="200">
        <f t="shared" ref="G497" si="88">(D497*E497)+(D497*F497)</f>
        <v>0</v>
      </c>
      <c r="H497" s="60"/>
      <c r="I497" s="82">
        <f>49*0.617*6</f>
        <v>181.398</v>
      </c>
      <c r="J497" s="76">
        <f>I497*0.02</f>
        <v>3.6279599999999999</v>
      </c>
      <c r="K497" s="60"/>
      <c r="L497" s="60"/>
    </row>
    <row r="498" spans="1:12" ht="12.75" customHeight="1" x14ac:dyDescent="0.2">
      <c r="A498" s="195" t="s">
        <v>225</v>
      </c>
      <c r="B498" s="201" t="s">
        <v>365</v>
      </c>
      <c r="C498" s="197"/>
      <c r="D498" s="198"/>
      <c r="E498" s="199"/>
      <c r="F498" s="199"/>
      <c r="G498" s="200"/>
      <c r="H498" s="60"/>
      <c r="I498" s="60"/>
      <c r="J498" s="76"/>
      <c r="K498" s="60"/>
      <c r="L498" s="60"/>
    </row>
    <row r="499" spans="1:12" ht="12.75" customHeight="1" x14ac:dyDescent="0.2">
      <c r="A499" s="195"/>
      <c r="B499" s="196" t="s">
        <v>16</v>
      </c>
      <c r="C499" s="197" t="s">
        <v>145</v>
      </c>
      <c r="D499" s="198">
        <v>3.82</v>
      </c>
      <c r="E499" s="199"/>
      <c r="F499" s="199"/>
      <c r="G499" s="200">
        <f t="shared" ref="G499" si="89">(D499*E499)+(D499*F499)</f>
        <v>0</v>
      </c>
      <c r="H499" s="60"/>
      <c r="I499" s="82">
        <f>1030*6*0.617</f>
        <v>3813.06</v>
      </c>
      <c r="J499" s="76"/>
      <c r="K499" s="60"/>
      <c r="L499" s="60"/>
    </row>
    <row r="500" spans="1:12" ht="12.75" customHeight="1" x14ac:dyDescent="0.2">
      <c r="A500" s="195"/>
      <c r="B500" s="196"/>
      <c r="C500" s="197"/>
      <c r="D500" s="198"/>
      <c r="E500" s="199"/>
      <c r="F500" s="199"/>
      <c r="G500" s="200"/>
      <c r="H500" s="60"/>
      <c r="I500" s="82"/>
      <c r="J500" s="76"/>
      <c r="K500" s="60"/>
      <c r="L500" s="60"/>
    </row>
    <row r="501" spans="1:12" x14ac:dyDescent="0.2">
      <c r="A501" s="195" t="s">
        <v>202</v>
      </c>
      <c r="B501" s="201" t="s">
        <v>196</v>
      </c>
      <c r="C501" s="197"/>
      <c r="D501" s="198"/>
      <c r="E501" s="199"/>
      <c r="F501" s="199"/>
      <c r="G501" s="200">
        <f t="shared" ref="G501:G504" si="90">(D501*E501)+(D501*F501)</f>
        <v>0</v>
      </c>
      <c r="H501" s="60"/>
      <c r="I501" s="76"/>
      <c r="J501" s="76"/>
    </row>
    <row r="502" spans="1:12" x14ac:dyDescent="0.2">
      <c r="A502" s="195" t="s">
        <v>224</v>
      </c>
      <c r="B502" s="201" t="s">
        <v>359</v>
      </c>
      <c r="C502" s="197"/>
      <c r="D502" s="198"/>
      <c r="E502" s="199"/>
      <c r="F502" s="199"/>
      <c r="G502" s="200">
        <f t="shared" si="90"/>
        <v>0</v>
      </c>
    </row>
    <row r="503" spans="1:12" x14ac:dyDescent="0.2">
      <c r="A503" s="211"/>
      <c r="B503" s="196" t="s">
        <v>343</v>
      </c>
      <c r="C503" s="197" t="s">
        <v>145</v>
      </c>
      <c r="D503" s="198">
        <v>1.35</v>
      </c>
      <c r="E503" s="199"/>
      <c r="F503" s="199"/>
      <c r="G503" s="200">
        <f t="shared" si="90"/>
        <v>0</v>
      </c>
      <c r="I503" s="45">
        <f>91*2.469*6</f>
        <v>1348.0739999999998</v>
      </c>
    </row>
    <row r="504" spans="1:12" x14ac:dyDescent="0.2">
      <c r="A504" s="195"/>
      <c r="B504" s="196" t="s">
        <v>242</v>
      </c>
      <c r="C504" s="197" t="s">
        <v>145</v>
      </c>
      <c r="D504" s="198">
        <v>0.21</v>
      </c>
      <c r="E504" s="199"/>
      <c r="F504" s="199"/>
      <c r="G504" s="200">
        <f t="shared" si="90"/>
        <v>0</v>
      </c>
      <c r="I504" s="49">
        <f>156*6*0.222</f>
        <v>207.792</v>
      </c>
    </row>
    <row r="505" spans="1:12" x14ac:dyDescent="0.2">
      <c r="A505" s="195" t="s">
        <v>225</v>
      </c>
      <c r="B505" s="201" t="s">
        <v>345</v>
      </c>
      <c r="C505" s="197"/>
      <c r="D505" s="198"/>
      <c r="E505" s="199"/>
      <c r="F505" s="199"/>
      <c r="G505" s="200"/>
      <c r="I505" s="45"/>
      <c r="J505" s="45"/>
    </row>
    <row r="506" spans="1:12" x14ac:dyDescent="0.2">
      <c r="A506" s="195"/>
      <c r="B506" s="196" t="s">
        <v>13</v>
      </c>
      <c r="C506" s="197" t="s">
        <v>145</v>
      </c>
      <c r="D506" s="198">
        <v>7.0000000000000007E-2</v>
      </c>
      <c r="E506" s="199"/>
      <c r="F506" s="199"/>
      <c r="G506" s="200">
        <f t="shared" ref="G506:G507" si="91">(D506*E506)+(D506*F506)</f>
        <v>0</v>
      </c>
      <c r="I506" s="45">
        <f>7*1.58*6</f>
        <v>66.36</v>
      </c>
      <c r="J506" s="45"/>
    </row>
    <row r="507" spans="1:12" x14ac:dyDescent="0.2">
      <c r="A507" s="195"/>
      <c r="B507" s="196" t="s">
        <v>186</v>
      </c>
      <c r="C507" s="197" t="s">
        <v>145</v>
      </c>
      <c r="D507" s="198">
        <v>0.02</v>
      </c>
      <c r="E507" s="199"/>
      <c r="F507" s="199"/>
      <c r="G507" s="200">
        <f t="shared" si="91"/>
        <v>0</v>
      </c>
      <c r="I507" s="49">
        <f>14*0.222*6</f>
        <v>18.648</v>
      </c>
    </row>
    <row r="508" spans="1:12" x14ac:dyDescent="0.2">
      <c r="A508" s="195" t="s">
        <v>227</v>
      </c>
      <c r="B508" s="201" t="s">
        <v>344</v>
      </c>
      <c r="C508" s="197"/>
      <c r="D508" s="198"/>
      <c r="E508" s="199"/>
      <c r="F508" s="199"/>
      <c r="G508" s="200"/>
      <c r="I508" s="45"/>
      <c r="J508" s="45">
        <f>I508*0.02</f>
        <v>0</v>
      </c>
    </row>
    <row r="509" spans="1:12" x14ac:dyDescent="0.2">
      <c r="A509" s="195"/>
      <c r="B509" s="196" t="s">
        <v>13</v>
      </c>
      <c r="C509" s="197" t="s">
        <v>145</v>
      </c>
      <c r="D509" s="198">
        <v>0.08</v>
      </c>
      <c r="E509" s="199"/>
      <c r="F509" s="199"/>
      <c r="G509" s="200">
        <f t="shared" ref="G509:G510" si="92">(D509*E509)+(D509*F509)</f>
        <v>0</v>
      </c>
      <c r="I509" s="45">
        <f>8*1.58*6</f>
        <v>75.84</v>
      </c>
    </row>
    <row r="510" spans="1:12" x14ac:dyDescent="0.2">
      <c r="A510" s="195"/>
      <c r="B510" s="196" t="s">
        <v>186</v>
      </c>
      <c r="C510" s="197" t="s">
        <v>145</v>
      </c>
      <c r="D510" s="198">
        <v>1.4999999999999999E-2</v>
      </c>
      <c r="E510" s="199"/>
      <c r="F510" s="199"/>
      <c r="G510" s="200">
        <f t="shared" si="92"/>
        <v>0</v>
      </c>
      <c r="I510" s="49">
        <f>10*0.222*6</f>
        <v>13.32</v>
      </c>
    </row>
    <row r="511" spans="1:12" x14ac:dyDescent="0.2">
      <c r="A511" s="195" t="s">
        <v>226</v>
      </c>
      <c r="B511" s="201" t="s">
        <v>513</v>
      </c>
      <c r="C511" s="197"/>
      <c r="D511" s="198"/>
      <c r="E511" s="199"/>
      <c r="F511" s="199"/>
      <c r="G511" s="200"/>
      <c r="I511" s="45"/>
    </row>
    <row r="512" spans="1:12" x14ac:dyDescent="0.2">
      <c r="A512" s="195"/>
      <c r="B512" s="196" t="s">
        <v>14</v>
      </c>
      <c r="C512" s="197" t="s">
        <v>145</v>
      </c>
      <c r="D512" s="198">
        <v>0.25</v>
      </c>
      <c r="E512" s="199"/>
      <c r="F512" s="199"/>
      <c r="G512" s="200">
        <f t="shared" ref="G512:G513" si="93">(D512*E512)+(D512*F512)</f>
        <v>0</v>
      </c>
      <c r="I512" s="45">
        <f>42*0.888*6</f>
        <v>223.77600000000001</v>
      </c>
    </row>
    <row r="513" spans="1:10" x14ac:dyDescent="0.2">
      <c r="A513" s="638"/>
      <c r="B513" s="639" t="s">
        <v>186</v>
      </c>
      <c r="C513" s="500" t="s">
        <v>145</v>
      </c>
      <c r="D513" s="640">
        <v>7.0000000000000007E-2</v>
      </c>
      <c r="E513" s="641"/>
      <c r="F513" s="641"/>
      <c r="G513" s="642">
        <f t="shared" si="93"/>
        <v>0</v>
      </c>
      <c r="I513" s="49">
        <f>49*0.222*6</f>
        <v>65.268000000000001</v>
      </c>
    </row>
    <row r="514" spans="1:10" x14ac:dyDescent="0.2">
      <c r="A514" s="195"/>
      <c r="B514" s="196"/>
      <c r="C514" s="197"/>
      <c r="D514" s="198"/>
      <c r="E514" s="199"/>
      <c r="F514" s="199"/>
      <c r="G514" s="200"/>
      <c r="I514" s="49"/>
    </row>
    <row r="515" spans="1:10" x14ac:dyDescent="0.2">
      <c r="A515" s="195" t="s">
        <v>203</v>
      </c>
      <c r="B515" s="201" t="s">
        <v>249</v>
      </c>
      <c r="C515" s="197"/>
      <c r="D515" s="198"/>
      <c r="E515" s="199"/>
      <c r="F515" s="199"/>
      <c r="G515" s="200"/>
      <c r="H515" s="60"/>
      <c r="I515" s="49"/>
    </row>
    <row r="516" spans="1:10" x14ac:dyDescent="0.2">
      <c r="A516" s="195"/>
      <c r="B516" s="196" t="s">
        <v>13</v>
      </c>
      <c r="C516" s="197" t="s">
        <v>145</v>
      </c>
      <c r="D516" s="198">
        <v>0.2</v>
      </c>
      <c r="E516" s="199"/>
      <c r="F516" s="199"/>
      <c r="G516" s="200">
        <f t="shared" ref="G516:G519" si="94">(D516*E516)+(D516*F516)</f>
        <v>0</v>
      </c>
      <c r="I516" s="45"/>
      <c r="J516" s="45"/>
    </row>
    <row r="517" spans="1:10" x14ac:dyDescent="0.2">
      <c r="A517" s="195"/>
      <c r="B517" s="196" t="s">
        <v>14</v>
      </c>
      <c r="C517" s="197" t="s">
        <v>145</v>
      </c>
      <c r="D517" s="198">
        <v>0.35</v>
      </c>
      <c r="E517" s="199"/>
      <c r="F517" s="199"/>
      <c r="G517" s="200">
        <f t="shared" si="94"/>
        <v>0</v>
      </c>
      <c r="I517" s="45"/>
      <c r="J517" s="45"/>
    </row>
    <row r="518" spans="1:10" x14ac:dyDescent="0.2">
      <c r="A518" s="195"/>
      <c r="B518" s="196"/>
      <c r="C518" s="197"/>
      <c r="D518" s="198"/>
      <c r="E518" s="199"/>
      <c r="F518" s="199"/>
      <c r="G518" s="200"/>
      <c r="I518" s="45"/>
      <c r="J518" s="45"/>
    </row>
    <row r="519" spans="1:10" x14ac:dyDescent="0.2">
      <c r="A519" s="195" t="s">
        <v>204</v>
      </c>
      <c r="B519" s="201" t="s">
        <v>547</v>
      </c>
      <c r="C519" s="197"/>
      <c r="D519" s="198"/>
      <c r="E519" s="209"/>
      <c r="F519" s="199"/>
      <c r="G519" s="200">
        <f t="shared" si="94"/>
        <v>0</v>
      </c>
      <c r="H519" s="60"/>
      <c r="I519" s="76"/>
    </row>
    <row r="520" spans="1:10" x14ac:dyDescent="0.2">
      <c r="A520" s="195"/>
      <c r="B520" s="201" t="s">
        <v>352</v>
      </c>
      <c r="C520" s="197"/>
      <c r="D520" s="198"/>
      <c r="E520" s="199"/>
      <c r="F520" s="199"/>
      <c r="G520" s="200"/>
      <c r="H520" s="60"/>
      <c r="I520" s="60"/>
    </row>
    <row r="521" spans="1:10" x14ac:dyDescent="0.2">
      <c r="A521" s="195"/>
      <c r="B521" s="196" t="s">
        <v>343</v>
      </c>
      <c r="C521" s="197" t="s">
        <v>145</v>
      </c>
      <c r="D521" s="198">
        <v>0.06</v>
      </c>
      <c r="E521" s="199"/>
      <c r="F521" s="199"/>
      <c r="G521" s="200">
        <f t="shared" ref="G521:G523" si="95">(D521*E521)+(D521*F521)</f>
        <v>0</v>
      </c>
      <c r="H521" s="60"/>
      <c r="I521" s="82">
        <f>4*2.469*6</f>
        <v>59.256</v>
      </c>
    </row>
    <row r="522" spans="1:10" x14ac:dyDescent="0.2">
      <c r="A522" s="195"/>
      <c r="B522" s="196" t="s">
        <v>13</v>
      </c>
      <c r="C522" s="197" t="s">
        <v>145</v>
      </c>
      <c r="D522" s="198">
        <v>0.02</v>
      </c>
      <c r="E522" s="199"/>
      <c r="F522" s="199"/>
      <c r="G522" s="200">
        <f t="shared" si="95"/>
        <v>0</v>
      </c>
      <c r="H522" s="60"/>
      <c r="I522" s="82">
        <f>2*1.58*6</f>
        <v>18.96</v>
      </c>
    </row>
    <row r="523" spans="1:10" x14ac:dyDescent="0.2">
      <c r="A523" s="195"/>
      <c r="B523" s="196" t="s">
        <v>15</v>
      </c>
      <c r="C523" s="197" t="s">
        <v>145</v>
      </c>
      <c r="D523" s="198">
        <v>1.4999999999999999E-2</v>
      </c>
      <c r="E523" s="199"/>
      <c r="F523" s="199"/>
      <c r="G523" s="200">
        <f t="shared" si="95"/>
        <v>0</v>
      </c>
      <c r="H523" s="60"/>
      <c r="I523" s="82">
        <f>11*0.222*6</f>
        <v>14.652000000000001</v>
      </c>
    </row>
    <row r="524" spans="1:10" x14ac:dyDescent="0.2">
      <c r="A524" s="195"/>
      <c r="B524" s="201" t="s">
        <v>353</v>
      </c>
      <c r="C524" s="197"/>
      <c r="D524" s="198"/>
      <c r="E524" s="199"/>
      <c r="F524" s="199"/>
      <c r="G524" s="200"/>
      <c r="H524" s="60"/>
      <c r="I524" s="60"/>
    </row>
    <row r="525" spans="1:10" x14ac:dyDescent="0.2">
      <c r="A525" s="195"/>
      <c r="B525" s="196" t="s">
        <v>343</v>
      </c>
      <c r="C525" s="197" t="s">
        <v>145</v>
      </c>
      <c r="D525" s="198">
        <v>0.06</v>
      </c>
      <c r="E525" s="199"/>
      <c r="F525" s="199"/>
      <c r="G525" s="200">
        <f t="shared" ref="G525:G526" si="96">(D525*E525)+(D525*F525)</f>
        <v>0</v>
      </c>
      <c r="H525" s="60"/>
      <c r="I525" s="82">
        <f>4*2.469*6</f>
        <v>59.256</v>
      </c>
    </row>
    <row r="526" spans="1:10" x14ac:dyDescent="0.2">
      <c r="A526" s="195"/>
      <c r="B526" s="196" t="s">
        <v>15</v>
      </c>
      <c r="C526" s="197" t="s">
        <v>145</v>
      </c>
      <c r="D526" s="198">
        <v>0.01</v>
      </c>
      <c r="E526" s="199"/>
      <c r="F526" s="199"/>
      <c r="G526" s="200">
        <f t="shared" si="96"/>
        <v>0</v>
      </c>
      <c r="H526" s="60"/>
      <c r="I526" s="82">
        <f>7*0.222*6</f>
        <v>9.3239999999999998</v>
      </c>
    </row>
    <row r="527" spans="1:10" x14ac:dyDescent="0.2">
      <c r="A527" s="195"/>
      <c r="B527" s="201" t="s">
        <v>355</v>
      </c>
      <c r="C527" s="197"/>
      <c r="D527" s="198"/>
      <c r="E527" s="199"/>
      <c r="F527" s="199"/>
      <c r="G527" s="200"/>
      <c r="H527" s="60"/>
      <c r="I527" s="60"/>
    </row>
    <row r="528" spans="1:10" x14ac:dyDescent="0.2">
      <c r="A528" s="195"/>
      <c r="B528" s="196" t="s">
        <v>13</v>
      </c>
      <c r="C528" s="197" t="s">
        <v>145</v>
      </c>
      <c r="D528" s="198">
        <v>0.04</v>
      </c>
      <c r="E528" s="199"/>
      <c r="F528" s="199"/>
      <c r="G528" s="200">
        <f t="shared" ref="G528:G529" si="97">(D528*E528)+(D528*F528)</f>
        <v>0</v>
      </c>
      <c r="H528" s="60"/>
      <c r="I528" s="82">
        <f>4*1.58*6</f>
        <v>37.92</v>
      </c>
    </row>
    <row r="529" spans="1:11" x14ac:dyDescent="0.2">
      <c r="A529" s="195"/>
      <c r="B529" s="196" t="s">
        <v>15</v>
      </c>
      <c r="C529" s="197" t="s">
        <v>145</v>
      </c>
      <c r="D529" s="198">
        <v>0.01</v>
      </c>
      <c r="E529" s="199"/>
      <c r="F529" s="199"/>
      <c r="G529" s="200">
        <f t="shared" si="97"/>
        <v>0</v>
      </c>
      <c r="H529" s="60"/>
      <c r="I529" s="82">
        <f>8*0.222*6</f>
        <v>10.656000000000001</v>
      </c>
    </row>
    <row r="530" spans="1:11" x14ac:dyDescent="0.2">
      <c r="A530" s="195"/>
      <c r="B530" s="201" t="s">
        <v>357</v>
      </c>
      <c r="C530" s="197"/>
      <c r="D530" s="198"/>
      <c r="E530" s="199"/>
      <c r="F530" s="199"/>
      <c r="G530" s="200"/>
      <c r="H530" s="60"/>
      <c r="I530" s="60"/>
    </row>
    <row r="531" spans="1:11" x14ac:dyDescent="0.2">
      <c r="A531" s="195"/>
      <c r="B531" s="196" t="s">
        <v>13</v>
      </c>
      <c r="C531" s="197" t="s">
        <v>145</v>
      </c>
      <c r="D531" s="198">
        <v>0.05</v>
      </c>
      <c r="E531" s="199"/>
      <c r="F531" s="199"/>
      <c r="G531" s="200">
        <f t="shared" ref="G531:G532" si="98">(D531*E531)+(D531*F531)</f>
        <v>0</v>
      </c>
      <c r="H531" s="60"/>
      <c r="I531" s="82">
        <f>5*1.58*6</f>
        <v>47.400000000000006</v>
      </c>
    </row>
    <row r="532" spans="1:11" x14ac:dyDescent="0.2">
      <c r="A532" s="195"/>
      <c r="B532" s="196" t="s">
        <v>15</v>
      </c>
      <c r="C532" s="197" t="s">
        <v>145</v>
      </c>
      <c r="D532" s="198">
        <v>0.04</v>
      </c>
      <c r="E532" s="199"/>
      <c r="F532" s="199"/>
      <c r="G532" s="200">
        <f t="shared" si="98"/>
        <v>0</v>
      </c>
      <c r="H532" s="60"/>
      <c r="I532" s="82">
        <f>12*0.222*6</f>
        <v>15.984000000000002</v>
      </c>
    </row>
    <row r="533" spans="1:11" x14ac:dyDescent="0.2">
      <c r="A533" s="195"/>
      <c r="B533" s="196"/>
      <c r="C533" s="197"/>
      <c r="D533" s="198"/>
      <c r="E533" s="199"/>
      <c r="F533" s="199"/>
      <c r="G533" s="200"/>
      <c r="H533" s="60"/>
      <c r="I533" s="82"/>
    </row>
    <row r="534" spans="1:11" x14ac:dyDescent="0.2">
      <c r="A534" s="195" t="s">
        <v>205</v>
      </c>
      <c r="B534" s="201" t="s">
        <v>548</v>
      </c>
      <c r="C534" s="197"/>
      <c r="D534" s="198"/>
      <c r="E534" s="199"/>
      <c r="F534" s="199"/>
      <c r="G534" s="200"/>
      <c r="H534" s="60"/>
      <c r="I534" s="60"/>
    </row>
    <row r="535" spans="1:11" x14ac:dyDescent="0.2">
      <c r="A535" s="195"/>
      <c r="B535" s="201" t="s">
        <v>364</v>
      </c>
      <c r="C535" s="197"/>
      <c r="D535" s="198"/>
      <c r="E535" s="199"/>
      <c r="F535" s="199"/>
      <c r="G535" s="200"/>
      <c r="H535" s="60"/>
      <c r="I535" s="60"/>
    </row>
    <row r="536" spans="1:11" x14ac:dyDescent="0.2">
      <c r="A536" s="221"/>
      <c r="B536" s="196" t="s">
        <v>16</v>
      </c>
      <c r="C536" s="197" t="s">
        <v>145</v>
      </c>
      <c r="D536" s="198">
        <v>0.252</v>
      </c>
      <c r="E536" s="199"/>
      <c r="F536" s="199"/>
      <c r="G536" s="200">
        <f t="shared" ref="G536" si="99">(D536*E536)+(D536*F536)</f>
        <v>0</v>
      </c>
      <c r="H536" s="60"/>
      <c r="I536" s="82">
        <f>68*0.617*6</f>
        <v>251.73600000000002</v>
      </c>
    </row>
    <row r="537" spans="1:11" x14ac:dyDescent="0.2">
      <c r="A537" s="195"/>
      <c r="B537" s="212"/>
      <c r="C537" s="213"/>
      <c r="D537" s="214"/>
      <c r="E537" s="199"/>
      <c r="F537" s="199"/>
      <c r="G537" s="200"/>
    </row>
    <row r="538" spans="1:11" x14ac:dyDescent="0.2">
      <c r="A538" s="202" t="s">
        <v>149</v>
      </c>
      <c r="B538" s="203" t="s">
        <v>253</v>
      </c>
      <c r="C538" s="182"/>
      <c r="D538" s="183"/>
      <c r="E538" s="184"/>
      <c r="F538" s="184"/>
      <c r="G538" s="185"/>
      <c r="H538" s="60"/>
      <c r="I538" s="60"/>
      <c r="J538" s="60"/>
      <c r="K538" s="60"/>
    </row>
    <row r="539" spans="1:11" x14ac:dyDescent="0.2">
      <c r="A539" s="195" t="s">
        <v>109</v>
      </c>
      <c r="B539" s="201" t="s">
        <v>254</v>
      </c>
      <c r="C539" s="197"/>
      <c r="D539" s="198"/>
      <c r="E539" s="199"/>
      <c r="F539" s="199"/>
      <c r="G539" s="200"/>
      <c r="H539" s="60"/>
      <c r="I539" s="60"/>
      <c r="J539" s="60"/>
      <c r="K539" s="60"/>
    </row>
    <row r="540" spans="1:11" x14ac:dyDescent="0.2">
      <c r="A540" s="195" t="s">
        <v>224</v>
      </c>
      <c r="B540" s="201" t="s">
        <v>360</v>
      </c>
      <c r="C540" s="197"/>
      <c r="D540" s="198"/>
      <c r="E540" s="199"/>
      <c r="F540" s="199"/>
      <c r="G540" s="200"/>
      <c r="H540" s="60"/>
      <c r="I540" s="60"/>
      <c r="J540" s="60"/>
      <c r="K540" s="60"/>
    </row>
    <row r="541" spans="1:11" x14ac:dyDescent="0.2">
      <c r="A541" s="195"/>
      <c r="B541" s="196" t="s">
        <v>13</v>
      </c>
      <c r="C541" s="197" t="s">
        <v>145</v>
      </c>
      <c r="D541" s="198">
        <v>0.1</v>
      </c>
      <c r="E541" s="199"/>
      <c r="F541" s="199"/>
      <c r="G541" s="200">
        <f t="shared" ref="G541:G542" si="100">(D541*E541)+(D541*F541)</f>
        <v>0</v>
      </c>
      <c r="H541" s="60"/>
      <c r="I541" s="82">
        <f>10*1.58*6</f>
        <v>94.800000000000011</v>
      </c>
      <c r="J541" s="60"/>
      <c r="K541" s="87"/>
    </row>
    <row r="542" spans="1:11" x14ac:dyDescent="0.2">
      <c r="A542" s="195"/>
      <c r="B542" s="196" t="s">
        <v>15</v>
      </c>
      <c r="C542" s="197" t="s">
        <v>145</v>
      </c>
      <c r="D542" s="198">
        <v>1.2E-2</v>
      </c>
      <c r="E542" s="199"/>
      <c r="F542" s="199"/>
      <c r="G542" s="200">
        <f t="shared" si="100"/>
        <v>0</v>
      </c>
      <c r="H542" s="60"/>
      <c r="I542" s="82">
        <f>9*0.222*6</f>
        <v>11.988</v>
      </c>
      <c r="J542" s="60"/>
      <c r="K542" s="60"/>
    </row>
    <row r="543" spans="1:11" x14ac:dyDescent="0.2">
      <c r="A543" s="195" t="s">
        <v>225</v>
      </c>
      <c r="B543" s="201" t="s">
        <v>361</v>
      </c>
      <c r="C543" s="197"/>
      <c r="D543" s="198"/>
      <c r="E543" s="199"/>
      <c r="F543" s="199"/>
      <c r="G543" s="200"/>
      <c r="H543" s="60"/>
      <c r="I543" s="60"/>
      <c r="J543" s="60"/>
      <c r="K543" s="60"/>
    </row>
    <row r="544" spans="1:11" x14ac:dyDescent="0.2">
      <c r="A544" s="195"/>
      <c r="B544" s="196" t="s">
        <v>14</v>
      </c>
      <c r="C544" s="197" t="s">
        <v>145</v>
      </c>
      <c r="D544" s="198">
        <v>0.23</v>
      </c>
      <c r="E544" s="199"/>
      <c r="F544" s="199"/>
      <c r="G544" s="200">
        <f t="shared" ref="G544:G545" si="101">(D544*E544)+(D544*F544)</f>
        <v>0</v>
      </c>
      <c r="H544" s="60"/>
      <c r="I544" s="82">
        <f>42*0.888*6</f>
        <v>223.77600000000001</v>
      </c>
      <c r="J544" s="60"/>
      <c r="K544" s="60"/>
    </row>
    <row r="545" spans="1:11" x14ac:dyDescent="0.2">
      <c r="A545" s="195"/>
      <c r="B545" s="196" t="s">
        <v>15</v>
      </c>
      <c r="C545" s="197" t="s">
        <v>145</v>
      </c>
      <c r="D545" s="198">
        <v>0.08</v>
      </c>
      <c r="E545" s="199"/>
      <c r="F545" s="199"/>
      <c r="G545" s="200">
        <f t="shared" si="101"/>
        <v>0</v>
      </c>
      <c r="H545" s="60"/>
      <c r="I545" s="82">
        <f>55*0.222*6</f>
        <v>73.260000000000005</v>
      </c>
      <c r="J545" s="60"/>
      <c r="K545" s="60"/>
    </row>
    <row r="546" spans="1:11" x14ac:dyDescent="0.2">
      <c r="A546" s="195" t="s">
        <v>227</v>
      </c>
      <c r="B546" s="201" t="s">
        <v>355</v>
      </c>
      <c r="C546" s="197"/>
      <c r="D546" s="198"/>
      <c r="E546" s="199"/>
      <c r="F546" s="199"/>
      <c r="G546" s="200"/>
      <c r="H546" s="60"/>
      <c r="I546" s="60"/>
      <c r="J546" s="60"/>
      <c r="K546" s="60"/>
    </row>
    <row r="547" spans="1:11" x14ac:dyDescent="0.2">
      <c r="A547" s="195"/>
      <c r="B547" s="196" t="s">
        <v>13</v>
      </c>
      <c r="C547" s="197" t="s">
        <v>145</v>
      </c>
      <c r="D547" s="198">
        <v>0.45</v>
      </c>
      <c r="E547" s="199"/>
      <c r="F547" s="199"/>
      <c r="G547" s="200">
        <f t="shared" ref="G547:G548" si="102">(D547*E547)+(D547*F547)</f>
        <v>0</v>
      </c>
      <c r="H547" s="60"/>
      <c r="I547" s="82">
        <f>47*1.58*6</f>
        <v>445.56000000000006</v>
      </c>
      <c r="J547" s="60"/>
      <c r="K547" s="60"/>
    </row>
    <row r="548" spans="1:11" x14ac:dyDescent="0.2">
      <c r="A548" s="195"/>
      <c r="B548" s="196" t="s">
        <v>15</v>
      </c>
      <c r="C548" s="197" t="s">
        <v>145</v>
      </c>
      <c r="D548" s="198">
        <v>0.17</v>
      </c>
      <c r="E548" s="199"/>
      <c r="F548" s="199"/>
      <c r="G548" s="200">
        <f t="shared" si="102"/>
        <v>0</v>
      </c>
      <c r="H548" s="60"/>
      <c r="I548" s="82">
        <f>124*0.222*6</f>
        <v>165.16800000000001</v>
      </c>
      <c r="J548" s="60"/>
      <c r="K548" s="60"/>
    </row>
    <row r="549" spans="1:11" x14ac:dyDescent="0.2">
      <c r="A549" s="195"/>
      <c r="B549" s="196"/>
      <c r="C549" s="197"/>
      <c r="D549" s="198"/>
      <c r="E549" s="199"/>
      <c r="F549" s="199"/>
      <c r="G549" s="200"/>
      <c r="H549" s="60"/>
      <c r="I549" s="82"/>
      <c r="J549" s="60"/>
      <c r="K549" s="60"/>
    </row>
    <row r="550" spans="1:11" x14ac:dyDescent="0.2">
      <c r="A550" s="195" t="s">
        <v>161</v>
      </c>
      <c r="B550" s="201" t="s">
        <v>362</v>
      </c>
      <c r="C550" s="197"/>
      <c r="D550" s="198"/>
      <c r="E550" s="199"/>
      <c r="F550" s="199"/>
      <c r="G550" s="200"/>
    </row>
    <row r="551" spans="1:11" x14ac:dyDescent="0.2">
      <c r="A551" s="195" t="s">
        <v>188</v>
      </c>
      <c r="B551" s="196" t="s">
        <v>16</v>
      </c>
      <c r="C551" s="197" t="s">
        <v>145</v>
      </c>
      <c r="D551" s="198">
        <v>0.97</v>
      </c>
      <c r="E551" s="199"/>
      <c r="F551" s="199"/>
      <c r="G551" s="200">
        <f t="shared" ref="G551" si="103">(D551*E551)+(D551*F551)</f>
        <v>0</v>
      </c>
      <c r="H551" s="60"/>
      <c r="I551" s="82">
        <f>260*0.617*6</f>
        <v>962.52</v>
      </c>
    </row>
    <row r="552" spans="1:11" x14ac:dyDescent="0.2">
      <c r="A552" s="195" t="s">
        <v>163</v>
      </c>
      <c r="B552" s="201" t="s">
        <v>336</v>
      </c>
      <c r="C552" s="197"/>
      <c r="D552" s="198"/>
      <c r="E552" s="209"/>
      <c r="F552" s="199"/>
      <c r="G552" s="200"/>
    </row>
    <row r="553" spans="1:11" x14ac:dyDescent="0.2">
      <c r="A553" s="195" t="s">
        <v>224</v>
      </c>
      <c r="B553" s="201" t="s">
        <v>363</v>
      </c>
      <c r="C553" s="197"/>
      <c r="D553" s="198"/>
      <c r="E553" s="199"/>
      <c r="F553" s="199"/>
      <c r="G553" s="200">
        <f t="shared" ref="G553:G555" si="104">(D553*E553)+(D553*F553)</f>
        <v>0</v>
      </c>
    </row>
    <row r="554" spans="1:11" x14ac:dyDescent="0.2">
      <c r="A554" s="211"/>
      <c r="B554" s="196" t="s">
        <v>343</v>
      </c>
      <c r="C554" s="197" t="s">
        <v>145</v>
      </c>
      <c r="D554" s="198">
        <v>0.18</v>
      </c>
      <c r="E554" s="199"/>
      <c r="F554" s="199"/>
      <c r="G554" s="200">
        <f t="shared" si="104"/>
        <v>0</v>
      </c>
      <c r="I554" s="45">
        <f>12*2.469*6</f>
        <v>177.768</v>
      </c>
    </row>
    <row r="555" spans="1:11" x14ac:dyDescent="0.2">
      <c r="A555" s="195"/>
      <c r="B555" s="196" t="s">
        <v>242</v>
      </c>
      <c r="C555" s="197" t="s">
        <v>145</v>
      </c>
      <c r="D555" s="198">
        <v>0.21</v>
      </c>
      <c r="E555" s="199"/>
      <c r="F555" s="199"/>
      <c r="G555" s="200">
        <f t="shared" si="104"/>
        <v>0</v>
      </c>
      <c r="I555" s="49">
        <f>17*6*0.222</f>
        <v>22.644000000000002</v>
      </c>
    </row>
    <row r="556" spans="1:11" x14ac:dyDescent="0.2">
      <c r="A556" s="195" t="s">
        <v>225</v>
      </c>
      <c r="B556" s="201" t="s">
        <v>345</v>
      </c>
      <c r="C556" s="197"/>
      <c r="D556" s="198"/>
      <c r="E556" s="199"/>
      <c r="F556" s="199"/>
      <c r="G556" s="200"/>
      <c r="I556" s="45"/>
    </row>
    <row r="557" spans="1:11" x14ac:dyDescent="0.2">
      <c r="A557" s="195"/>
      <c r="B557" s="196" t="s">
        <v>13</v>
      </c>
      <c r="C557" s="197" t="s">
        <v>145</v>
      </c>
      <c r="D557" s="198">
        <v>0.04</v>
      </c>
      <c r="E557" s="199"/>
      <c r="F557" s="199"/>
      <c r="G557" s="200">
        <f t="shared" ref="G557:G558" si="105">(D557*E557)+(D557*F557)</f>
        <v>0</v>
      </c>
      <c r="I557" s="45">
        <f>4*1.58*6</f>
        <v>37.92</v>
      </c>
    </row>
    <row r="558" spans="1:11" x14ac:dyDescent="0.2">
      <c r="A558" s="195"/>
      <c r="B558" s="196" t="s">
        <v>186</v>
      </c>
      <c r="C558" s="197" t="s">
        <v>145</v>
      </c>
      <c r="D558" s="198">
        <v>1.2E-2</v>
      </c>
      <c r="E558" s="199"/>
      <c r="F558" s="199"/>
      <c r="G558" s="200">
        <f t="shared" si="105"/>
        <v>0</v>
      </c>
      <c r="I558" s="49">
        <f>8*0.222*6</f>
        <v>10.656000000000001</v>
      </c>
    </row>
    <row r="559" spans="1:11" x14ac:dyDescent="0.2">
      <c r="A559" s="195" t="s">
        <v>227</v>
      </c>
      <c r="B559" s="201" t="s">
        <v>344</v>
      </c>
      <c r="C559" s="197"/>
      <c r="D559" s="198"/>
      <c r="E559" s="199"/>
      <c r="F559" s="199"/>
      <c r="G559" s="200"/>
      <c r="I559" s="45"/>
    </row>
    <row r="560" spans="1:11" x14ac:dyDescent="0.2">
      <c r="A560" s="195"/>
      <c r="B560" s="196" t="s">
        <v>13</v>
      </c>
      <c r="C560" s="197" t="s">
        <v>145</v>
      </c>
      <c r="D560" s="198">
        <v>0.04</v>
      </c>
      <c r="E560" s="199"/>
      <c r="F560" s="199"/>
      <c r="G560" s="200">
        <f t="shared" ref="G560:G561" si="106">(D560*E560)+(D560*F560)</f>
        <v>0</v>
      </c>
      <c r="I560" s="45">
        <f>4*1.58*6</f>
        <v>37.92</v>
      </c>
    </row>
    <row r="561" spans="1:16" x14ac:dyDescent="0.2">
      <c r="A561" s="195"/>
      <c r="B561" s="196" t="s">
        <v>186</v>
      </c>
      <c r="C561" s="197" t="s">
        <v>145</v>
      </c>
      <c r="D561" s="198">
        <v>0.01</v>
      </c>
      <c r="E561" s="199"/>
      <c r="F561" s="199"/>
      <c r="G561" s="200">
        <f t="shared" si="106"/>
        <v>0</v>
      </c>
      <c r="I561" s="49">
        <f>5*0.222*6</f>
        <v>6.66</v>
      </c>
    </row>
    <row r="562" spans="1:16" x14ac:dyDescent="0.2">
      <c r="A562" s="195" t="s">
        <v>193</v>
      </c>
      <c r="B562" s="201" t="s">
        <v>327</v>
      </c>
      <c r="C562" s="197"/>
      <c r="D562" s="198"/>
      <c r="E562" s="199"/>
      <c r="F562" s="199"/>
      <c r="G562" s="200"/>
    </row>
    <row r="563" spans="1:16" x14ac:dyDescent="0.2">
      <c r="A563" s="195" t="s">
        <v>188</v>
      </c>
      <c r="B563" s="196" t="s">
        <v>317</v>
      </c>
      <c r="C563" s="197"/>
      <c r="D563" s="198"/>
      <c r="E563" s="209"/>
      <c r="F563" s="199"/>
      <c r="G563" s="200"/>
      <c r="I563" s="19">
        <f>(2.92*2)+4.08+3.22+4.13+3.27+2.97</f>
        <v>23.509999999999998</v>
      </c>
      <c r="J563" s="19">
        <f>I563*0.965</f>
        <v>22.687149999999999</v>
      </c>
    </row>
    <row r="564" spans="1:16" x14ac:dyDescent="0.2">
      <c r="A564" s="195"/>
      <c r="B564" s="196" t="s">
        <v>13</v>
      </c>
      <c r="C564" s="197" t="s">
        <v>145</v>
      </c>
      <c r="D564" s="198">
        <v>0.45</v>
      </c>
      <c r="E564" s="199"/>
      <c r="F564" s="199"/>
      <c r="G564" s="200">
        <f t="shared" ref="G564:G565" si="107">(D564*E564)+(D564*F564)</f>
        <v>0</v>
      </c>
      <c r="H564" s="60"/>
      <c r="I564" s="82">
        <f>26*1.58*6</f>
        <v>246.48</v>
      </c>
      <c r="J564" s="60"/>
    </row>
    <row r="565" spans="1:16" x14ac:dyDescent="0.2">
      <c r="A565" s="195"/>
      <c r="B565" s="196" t="s">
        <v>15</v>
      </c>
      <c r="C565" s="197" t="s">
        <v>145</v>
      </c>
      <c r="D565" s="198">
        <v>8.2000000000000003E-2</v>
      </c>
      <c r="E565" s="199"/>
      <c r="F565" s="199"/>
      <c r="G565" s="200">
        <f t="shared" si="107"/>
        <v>0</v>
      </c>
      <c r="H565" s="60"/>
      <c r="I565" s="82">
        <f>61*0.222*6</f>
        <v>81.251999999999995</v>
      </c>
      <c r="J565" s="60"/>
    </row>
    <row r="566" spans="1:16" x14ac:dyDescent="0.2">
      <c r="A566" s="195" t="s">
        <v>329</v>
      </c>
      <c r="B566" s="201" t="s">
        <v>288</v>
      </c>
      <c r="C566" s="197"/>
      <c r="D566" s="198"/>
      <c r="E566" s="199"/>
      <c r="F566" s="199"/>
      <c r="G566" s="200"/>
    </row>
    <row r="567" spans="1:16" ht="24" x14ac:dyDescent="0.2">
      <c r="A567" s="210" t="s">
        <v>188</v>
      </c>
      <c r="B567" s="196" t="s">
        <v>476</v>
      </c>
      <c r="C567" s="197"/>
      <c r="D567" s="198"/>
      <c r="E567" s="199"/>
      <c r="F567" s="199"/>
      <c r="G567" s="200"/>
    </row>
    <row r="568" spans="1:16" x14ac:dyDescent="0.2">
      <c r="A568" s="195" t="s">
        <v>224</v>
      </c>
      <c r="B568" s="196" t="s">
        <v>16</v>
      </c>
      <c r="C568" s="197" t="s">
        <v>145</v>
      </c>
      <c r="D568" s="198">
        <v>0.25</v>
      </c>
      <c r="E568" s="199"/>
      <c r="F568" s="199"/>
      <c r="G568" s="200">
        <f t="shared" ref="G568" si="108">(D568*E568)+(D568*F568)</f>
        <v>0</v>
      </c>
      <c r="H568" s="60"/>
      <c r="I568" s="82">
        <f>105*0.617*6</f>
        <v>388.71</v>
      </c>
      <c r="J568" s="19">
        <f>3.28*3.47</f>
        <v>11.381600000000001</v>
      </c>
      <c r="K568" s="19">
        <f>J568*12*2</f>
        <v>273.15840000000003</v>
      </c>
      <c r="L568" s="19">
        <f>K568*0.617</f>
        <v>168.53873280000002</v>
      </c>
      <c r="N568" s="19">
        <f>13.5*3*0.617</f>
        <v>24.988499999999998</v>
      </c>
      <c r="O568" s="19">
        <f>90*0.617</f>
        <v>55.53</v>
      </c>
      <c r="P568" s="19">
        <f>L568+M568+N568+O568</f>
        <v>249.05723280000001</v>
      </c>
    </row>
    <row r="569" spans="1:16" ht="13.5" customHeight="1" x14ac:dyDescent="0.2">
      <c r="A569" s="210" t="s">
        <v>189</v>
      </c>
      <c r="B569" s="196" t="s">
        <v>477</v>
      </c>
      <c r="C569" s="197"/>
      <c r="D569" s="198"/>
      <c r="E569" s="199"/>
      <c r="F569" s="199"/>
      <c r="G569" s="200"/>
    </row>
    <row r="570" spans="1:16" x14ac:dyDescent="0.2">
      <c r="A570" s="195" t="s">
        <v>224</v>
      </c>
      <c r="B570" s="196" t="s">
        <v>16</v>
      </c>
      <c r="C570" s="197" t="s">
        <v>145</v>
      </c>
      <c r="D570" s="198">
        <v>0.4</v>
      </c>
      <c r="E570" s="199"/>
      <c r="F570" s="199"/>
      <c r="G570" s="200">
        <f t="shared" ref="G570" si="109">(D570*E570)+(D570*F570)</f>
        <v>0</v>
      </c>
      <c r="H570" s="60"/>
      <c r="I570" s="82">
        <f>105*0.617*6</f>
        <v>388.71</v>
      </c>
    </row>
    <row r="571" spans="1:16" x14ac:dyDescent="0.2">
      <c r="A571" s="195" t="s">
        <v>330</v>
      </c>
      <c r="B571" s="201" t="s">
        <v>328</v>
      </c>
      <c r="C571" s="197"/>
      <c r="D571" s="198"/>
      <c r="E571" s="199"/>
      <c r="F571" s="199"/>
      <c r="G571" s="200"/>
    </row>
    <row r="572" spans="1:16" x14ac:dyDescent="0.2">
      <c r="A572" s="638" t="s">
        <v>224</v>
      </c>
      <c r="B572" s="639" t="s">
        <v>16</v>
      </c>
      <c r="C572" s="500" t="s">
        <v>145</v>
      </c>
      <c r="D572" s="640">
        <v>0.17</v>
      </c>
      <c r="E572" s="641"/>
      <c r="F572" s="641"/>
      <c r="G572" s="642">
        <f t="shared" ref="G572" si="110">(D572*E572)+(D572*F572)</f>
        <v>0</v>
      </c>
      <c r="H572" s="60"/>
      <c r="I572" s="82">
        <f>159+105</f>
        <v>264</v>
      </c>
      <c r="J572" s="76">
        <f>I572*0.617</f>
        <v>162.88800000000001</v>
      </c>
    </row>
    <row r="573" spans="1:16" x14ac:dyDescent="0.2">
      <c r="A573" s="195"/>
      <c r="B573" s="196"/>
      <c r="C573" s="197"/>
      <c r="D573" s="198"/>
      <c r="E573" s="199"/>
      <c r="F573" s="199"/>
      <c r="G573" s="166"/>
      <c r="H573" s="60"/>
      <c r="I573" s="76"/>
      <c r="J573" s="76"/>
    </row>
    <row r="574" spans="1:16" x14ac:dyDescent="0.2">
      <c r="A574" s="157" t="s">
        <v>191</v>
      </c>
      <c r="B574" s="191" t="s">
        <v>258</v>
      </c>
      <c r="C574" s="168"/>
      <c r="D574" s="160"/>
      <c r="E574" s="161"/>
      <c r="F574" s="160"/>
      <c r="G574" s="192"/>
    </row>
    <row r="575" spans="1:16" x14ac:dyDescent="0.2">
      <c r="A575" s="195" t="s">
        <v>188</v>
      </c>
      <c r="B575" s="201" t="s">
        <v>466</v>
      </c>
      <c r="C575" s="197"/>
      <c r="D575" s="198"/>
      <c r="E575" s="199"/>
      <c r="F575" s="199"/>
      <c r="G575" s="200">
        <f t="shared" ref="G575:G581" si="111">(D575*E575)+(D575*F575)</f>
        <v>0</v>
      </c>
    </row>
    <row r="576" spans="1:16" ht="87" customHeight="1" x14ac:dyDescent="0.2">
      <c r="A576" s="195"/>
      <c r="B576" s="196" t="s">
        <v>467</v>
      </c>
      <c r="C576" s="197" t="s">
        <v>114</v>
      </c>
      <c r="D576" s="198">
        <v>1</v>
      </c>
      <c r="E576" s="199"/>
      <c r="F576" s="199"/>
      <c r="G576" s="200">
        <f t="shared" si="111"/>
        <v>0</v>
      </c>
    </row>
    <row r="577" spans="1:9" x14ac:dyDescent="0.2">
      <c r="A577" s="195" t="s">
        <v>189</v>
      </c>
      <c r="B577" s="201" t="s">
        <v>549</v>
      </c>
      <c r="C577" s="197"/>
      <c r="D577" s="198"/>
      <c r="E577" s="199"/>
      <c r="F577" s="199"/>
      <c r="G577" s="200">
        <f t="shared" si="111"/>
        <v>0</v>
      </c>
    </row>
    <row r="578" spans="1:9" ht="49.5" customHeight="1" x14ac:dyDescent="0.2">
      <c r="A578" s="195"/>
      <c r="B578" s="196" t="s">
        <v>552</v>
      </c>
      <c r="C578" s="197"/>
      <c r="D578" s="198"/>
      <c r="E578" s="199"/>
      <c r="F578" s="199"/>
      <c r="G578" s="200">
        <f t="shared" si="111"/>
        <v>0</v>
      </c>
    </row>
    <row r="579" spans="1:9" ht="13.5" x14ac:dyDescent="0.2">
      <c r="A579" s="195" t="s">
        <v>259</v>
      </c>
      <c r="B579" s="196" t="s">
        <v>260</v>
      </c>
      <c r="C579" s="197" t="s">
        <v>156</v>
      </c>
      <c r="D579" s="198">
        <v>1.1499999999999999</v>
      </c>
      <c r="E579" s="199"/>
      <c r="F579" s="199"/>
      <c r="G579" s="200">
        <f t="shared" si="111"/>
        <v>0</v>
      </c>
      <c r="I579" s="19">
        <f>20.3*0.45*0.125</f>
        <v>1.141875</v>
      </c>
    </row>
    <row r="580" spans="1:9" ht="13.5" x14ac:dyDescent="0.2">
      <c r="A580" s="195" t="s">
        <v>225</v>
      </c>
      <c r="B580" s="196" t="s">
        <v>261</v>
      </c>
      <c r="C580" s="197" t="s">
        <v>156</v>
      </c>
      <c r="D580" s="198">
        <v>1.1499999999999999</v>
      </c>
      <c r="E580" s="199"/>
      <c r="F580" s="199"/>
      <c r="G580" s="200">
        <f t="shared" si="111"/>
        <v>0</v>
      </c>
    </row>
    <row r="581" spans="1:9" ht="13.5" x14ac:dyDescent="0.2">
      <c r="A581" s="195" t="s">
        <v>227</v>
      </c>
      <c r="B581" s="196" t="s">
        <v>262</v>
      </c>
      <c r="C581" s="197" t="s">
        <v>156</v>
      </c>
      <c r="D581" s="198">
        <v>1.1499999999999999</v>
      </c>
      <c r="E581" s="199"/>
      <c r="F581" s="199"/>
      <c r="G581" s="200">
        <f t="shared" si="111"/>
        <v>0</v>
      </c>
    </row>
    <row r="582" spans="1:9" x14ac:dyDescent="0.2">
      <c r="A582" s="195" t="s">
        <v>202</v>
      </c>
      <c r="B582" s="201" t="s">
        <v>550</v>
      </c>
      <c r="C582" s="197"/>
      <c r="D582" s="198"/>
      <c r="E582" s="199"/>
      <c r="F582" s="199"/>
      <c r="G582" s="200">
        <f t="shared" ref="G582:G584" si="112">(D582*E582)+(D582*F582)</f>
        <v>0</v>
      </c>
    </row>
    <row r="583" spans="1:9" ht="48" x14ac:dyDescent="0.2">
      <c r="A583" s="195"/>
      <c r="B583" s="196" t="s">
        <v>551</v>
      </c>
      <c r="C583" s="197"/>
      <c r="D583" s="198"/>
      <c r="E583" s="199"/>
      <c r="F583" s="199"/>
      <c r="G583" s="200">
        <f t="shared" si="112"/>
        <v>0</v>
      </c>
    </row>
    <row r="584" spans="1:9" ht="13.5" x14ac:dyDescent="0.2">
      <c r="A584" s="195" t="s">
        <v>259</v>
      </c>
      <c r="B584" s="196" t="s">
        <v>260</v>
      </c>
      <c r="C584" s="197" t="s">
        <v>156</v>
      </c>
      <c r="D584" s="198">
        <v>0.85</v>
      </c>
      <c r="E584" s="199"/>
      <c r="F584" s="199"/>
      <c r="G584" s="200">
        <f t="shared" si="112"/>
        <v>0</v>
      </c>
      <c r="I584" s="19">
        <f>3.7*10*0.15*0.15</f>
        <v>0.83249999999999991</v>
      </c>
    </row>
    <row r="585" spans="1:9" ht="13.5" x14ac:dyDescent="0.2">
      <c r="A585" s="195" t="s">
        <v>225</v>
      </c>
      <c r="B585" s="196" t="s">
        <v>261</v>
      </c>
      <c r="C585" s="197" t="s">
        <v>156</v>
      </c>
      <c r="D585" s="198">
        <v>0.85</v>
      </c>
      <c r="E585" s="199"/>
      <c r="F585" s="199"/>
      <c r="G585" s="200">
        <f t="shared" ref="G585:G586" si="113">(D585*E585)+(D585*F585)</f>
        <v>0</v>
      </c>
    </row>
    <row r="586" spans="1:9" ht="13.5" x14ac:dyDescent="0.2">
      <c r="A586" s="195" t="s">
        <v>227</v>
      </c>
      <c r="B586" s="196" t="s">
        <v>262</v>
      </c>
      <c r="C586" s="197" t="s">
        <v>156</v>
      </c>
      <c r="D586" s="198">
        <v>0.85</v>
      </c>
      <c r="E586" s="199"/>
      <c r="F586" s="199"/>
      <c r="G586" s="200">
        <f t="shared" si="113"/>
        <v>0</v>
      </c>
    </row>
    <row r="587" spans="1:9" x14ac:dyDescent="0.2">
      <c r="A587" s="195"/>
      <c r="B587" s="196"/>
      <c r="C587" s="197"/>
      <c r="D587" s="198"/>
      <c r="E587" s="199"/>
      <c r="F587" s="199"/>
      <c r="G587" s="200"/>
    </row>
    <row r="588" spans="1:9" x14ac:dyDescent="0.2">
      <c r="A588" s="157" t="s">
        <v>238</v>
      </c>
      <c r="B588" s="167" t="s">
        <v>263</v>
      </c>
      <c r="C588" s="168"/>
      <c r="D588" s="160"/>
      <c r="E588" s="161"/>
      <c r="F588" s="160"/>
      <c r="G588" s="192"/>
    </row>
    <row r="589" spans="1:9" ht="27" customHeight="1" x14ac:dyDescent="0.2">
      <c r="A589" s="181" t="s">
        <v>188</v>
      </c>
      <c r="B589" s="177" t="s">
        <v>468</v>
      </c>
      <c r="C589" s="178" t="s">
        <v>17</v>
      </c>
      <c r="D589" s="179">
        <v>1</v>
      </c>
      <c r="E589" s="180"/>
      <c r="F589" s="180"/>
      <c r="G589" s="166">
        <f t="shared" ref="G589:G590" si="114">(D589*E589)+(D589*F589)</f>
        <v>0</v>
      </c>
    </row>
    <row r="590" spans="1:9" ht="40.5" customHeight="1" x14ac:dyDescent="0.2">
      <c r="A590" s="181" t="s">
        <v>189</v>
      </c>
      <c r="B590" s="177" t="s">
        <v>469</v>
      </c>
      <c r="C590" s="178" t="s">
        <v>17</v>
      </c>
      <c r="D590" s="179">
        <v>1</v>
      </c>
      <c r="E590" s="180"/>
      <c r="F590" s="180"/>
      <c r="G590" s="166">
        <f t="shared" si="114"/>
        <v>0</v>
      </c>
    </row>
    <row r="591" spans="1:9" ht="36" x14ac:dyDescent="0.2">
      <c r="A591" s="181" t="s">
        <v>202</v>
      </c>
      <c r="B591" s="177" t="s">
        <v>470</v>
      </c>
      <c r="C591" s="178" t="s">
        <v>17</v>
      </c>
      <c r="D591" s="179">
        <v>1</v>
      </c>
      <c r="E591" s="180"/>
      <c r="F591" s="180"/>
      <c r="G591" s="166">
        <f>(D591*E591)+(D591*F591)</f>
        <v>0</v>
      </c>
    </row>
    <row r="592" spans="1:9" x14ac:dyDescent="0.2">
      <c r="A592" s="176"/>
      <c r="B592" s="177"/>
      <c r="C592" s="178"/>
      <c r="D592" s="179"/>
      <c r="E592" s="180"/>
      <c r="F592" s="180"/>
      <c r="G592" s="166"/>
    </row>
    <row r="593" spans="1:7" x14ac:dyDescent="0.2">
      <c r="A593" s="176"/>
      <c r="B593" s="177"/>
      <c r="C593" s="178"/>
      <c r="D593" s="179"/>
      <c r="E593" s="180"/>
      <c r="F593" s="180"/>
      <c r="G593" s="166"/>
    </row>
    <row r="594" spans="1:7" x14ac:dyDescent="0.2">
      <c r="A594" s="176"/>
      <c r="B594" s="177"/>
      <c r="C594" s="178"/>
      <c r="D594" s="179"/>
      <c r="E594" s="180"/>
      <c r="F594" s="180"/>
      <c r="G594" s="166"/>
    </row>
    <row r="595" spans="1:7" x14ac:dyDescent="0.2">
      <c r="A595" s="176"/>
      <c r="B595" s="177"/>
      <c r="C595" s="178"/>
      <c r="D595" s="179"/>
      <c r="E595" s="180"/>
      <c r="F595" s="180"/>
      <c r="G595" s="166"/>
    </row>
    <row r="596" spans="1:7" x14ac:dyDescent="0.2">
      <c r="A596" s="176"/>
      <c r="B596" s="177"/>
      <c r="C596" s="178"/>
      <c r="D596" s="179"/>
      <c r="E596" s="180"/>
      <c r="F596" s="180"/>
      <c r="G596" s="166"/>
    </row>
    <row r="597" spans="1:7" x14ac:dyDescent="0.2">
      <c r="A597" s="176"/>
      <c r="B597" s="177"/>
      <c r="C597" s="178"/>
      <c r="D597" s="179"/>
      <c r="E597" s="180"/>
      <c r="F597" s="180"/>
      <c r="G597" s="166"/>
    </row>
    <row r="598" spans="1:7" x14ac:dyDescent="0.2">
      <c r="A598" s="176"/>
      <c r="B598" s="177"/>
      <c r="C598" s="178"/>
      <c r="D598" s="179"/>
      <c r="E598" s="180"/>
      <c r="F598" s="180"/>
      <c r="G598" s="166"/>
    </row>
    <row r="599" spans="1:7" x14ac:dyDescent="0.2">
      <c r="A599" s="176"/>
      <c r="B599" s="177"/>
      <c r="C599" s="178"/>
      <c r="D599" s="179"/>
      <c r="E599" s="180"/>
      <c r="F599" s="180"/>
      <c r="G599" s="166"/>
    </row>
    <row r="600" spans="1:7" x14ac:dyDescent="0.2">
      <c r="A600" s="176"/>
      <c r="B600" s="177"/>
      <c r="C600" s="178"/>
      <c r="D600" s="179"/>
      <c r="E600" s="180"/>
      <c r="F600" s="180"/>
      <c r="G600" s="166"/>
    </row>
    <row r="601" spans="1:7" x14ac:dyDescent="0.2">
      <c r="A601" s="176"/>
      <c r="B601" s="177"/>
      <c r="C601" s="178"/>
      <c r="D601" s="179"/>
      <c r="E601" s="180"/>
      <c r="F601" s="180"/>
      <c r="G601" s="166"/>
    </row>
    <row r="602" spans="1:7" x14ac:dyDescent="0.2">
      <c r="A602" s="176"/>
      <c r="B602" s="177"/>
      <c r="C602" s="178"/>
      <c r="D602" s="179"/>
      <c r="E602" s="180"/>
      <c r="F602" s="180"/>
      <c r="G602" s="166"/>
    </row>
    <row r="603" spans="1:7" x14ac:dyDescent="0.2">
      <c r="A603" s="176"/>
      <c r="B603" s="177"/>
      <c r="C603" s="178"/>
      <c r="D603" s="179"/>
      <c r="E603" s="180"/>
      <c r="F603" s="180"/>
      <c r="G603" s="166"/>
    </row>
    <row r="604" spans="1:7" x14ac:dyDescent="0.2">
      <c r="A604" s="176"/>
      <c r="B604" s="177"/>
      <c r="C604" s="178"/>
      <c r="D604" s="179"/>
      <c r="E604" s="180"/>
      <c r="F604" s="180"/>
      <c r="G604" s="166"/>
    </row>
    <row r="605" spans="1:7" x14ac:dyDescent="0.2">
      <c r="A605" s="176"/>
      <c r="B605" s="177"/>
      <c r="C605" s="178"/>
      <c r="D605" s="179"/>
      <c r="E605" s="180"/>
      <c r="F605" s="180"/>
      <c r="G605" s="166"/>
    </row>
    <row r="606" spans="1:7" x14ac:dyDescent="0.2">
      <c r="A606" s="176"/>
      <c r="B606" s="177"/>
      <c r="C606" s="178"/>
      <c r="D606" s="179"/>
      <c r="E606" s="180"/>
      <c r="F606" s="180"/>
      <c r="G606" s="166"/>
    </row>
    <row r="607" spans="1:7" x14ac:dyDescent="0.2">
      <c r="A607" s="176"/>
      <c r="B607" s="177"/>
      <c r="C607" s="178"/>
      <c r="D607" s="179"/>
      <c r="E607" s="180"/>
      <c r="F607" s="180"/>
      <c r="G607" s="166"/>
    </row>
    <row r="608" spans="1:7" x14ac:dyDescent="0.2">
      <c r="A608" s="176"/>
      <c r="B608" s="177"/>
      <c r="C608" s="178"/>
      <c r="D608" s="179"/>
      <c r="E608" s="180"/>
      <c r="F608" s="180"/>
      <c r="G608" s="166"/>
    </row>
    <row r="609" spans="1:10" x14ac:dyDescent="0.2">
      <c r="A609" s="176"/>
      <c r="B609" s="177"/>
      <c r="C609" s="178"/>
      <c r="D609" s="179"/>
      <c r="E609" s="180"/>
      <c r="F609" s="180"/>
      <c r="G609" s="166"/>
    </row>
    <row r="610" spans="1:10" x14ac:dyDescent="0.2">
      <c r="A610" s="176"/>
      <c r="B610" s="177"/>
      <c r="C610" s="178"/>
      <c r="D610" s="179"/>
      <c r="E610" s="180"/>
      <c r="F610" s="180"/>
      <c r="G610" s="166"/>
    </row>
    <row r="611" spans="1:10" x14ac:dyDescent="0.2">
      <c r="A611" s="290"/>
      <c r="B611" s="291" t="s">
        <v>168</v>
      </c>
      <c r="C611" s="292"/>
      <c r="D611" s="293"/>
      <c r="E611" s="294"/>
      <c r="F611" s="386"/>
      <c r="G611" s="48"/>
    </row>
    <row r="612" spans="1:10" x14ac:dyDescent="0.2">
      <c r="A612" s="335"/>
      <c r="B612" s="387" t="s">
        <v>198</v>
      </c>
      <c r="C612" s="388"/>
      <c r="D612" s="389"/>
      <c r="E612" s="390"/>
      <c r="F612" s="391"/>
      <c r="G612" s="79">
        <f>SUM(G106:G610)</f>
        <v>0</v>
      </c>
    </row>
    <row r="613" spans="1:10" x14ac:dyDescent="0.2">
      <c r="A613" s="297"/>
      <c r="B613" s="298" t="s">
        <v>103</v>
      </c>
      <c r="C613" s="299"/>
      <c r="D613" s="96"/>
      <c r="E613" s="300"/>
      <c r="F613" s="152"/>
      <c r="G613" s="301"/>
    </row>
    <row r="614" spans="1:10" x14ac:dyDescent="0.2">
      <c r="A614" s="297"/>
      <c r="B614" s="302" t="s">
        <v>104</v>
      </c>
      <c r="C614" s="299"/>
      <c r="D614" s="96"/>
      <c r="E614" s="300"/>
      <c r="F614" s="152"/>
      <c r="G614" s="301"/>
    </row>
    <row r="615" spans="1:10" x14ac:dyDescent="0.2">
      <c r="A615" s="319">
        <v>4.0999999999999996</v>
      </c>
      <c r="B615" s="339" t="s">
        <v>44</v>
      </c>
      <c r="C615" s="299"/>
      <c r="D615" s="96"/>
      <c r="E615" s="300"/>
      <c r="F615" s="152"/>
      <c r="G615" s="301"/>
    </row>
    <row r="616" spans="1:10" ht="42" customHeight="1" x14ac:dyDescent="0.2">
      <c r="A616" s="297"/>
      <c r="B616" s="621" t="s">
        <v>105</v>
      </c>
      <c r="C616" s="621"/>
      <c r="D616" s="621"/>
      <c r="E616" s="621"/>
      <c r="F616" s="222"/>
      <c r="G616" s="223"/>
    </row>
    <row r="617" spans="1:10" ht="39" customHeight="1" x14ac:dyDescent="0.2">
      <c r="A617" s="297"/>
      <c r="B617" s="621" t="s">
        <v>182</v>
      </c>
      <c r="C617" s="621"/>
      <c r="D617" s="621"/>
      <c r="E617" s="621"/>
      <c r="F617" s="333"/>
      <c r="G617" s="334"/>
    </row>
    <row r="618" spans="1:10" ht="28.5" customHeight="1" x14ac:dyDescent="0.2">
      <c r="A618" s="297"/>
      <c r="B618" s="621" t="s">
        <v>554</v>
      </c>
      <c r="C618" s="621"/>
      <c r="D618" s="621"/>
      <c r="E618" s="621"/>
      <c r="F618" s="333"/>
      <c r="G618" s="334"/>
    </row>
    <row r="619" spans="1:10" ht="28.5" customHeight="1" x14ac:dyDescent="0.2">
      <c r="A619" s="297"/>
      <c r="B619" s="611" t="s">
        <v>625</v>
      </c>
      <c r="C619" s="611"/>
      <c r="D619" s="611"/>
      <c r="E619" s="611"/>
      <c r="F619" s="336"/>
      <c r="G619" s="337"/>
    </row>
    <row r="620" spans="1:10" ht="21" customHeight="1" x14ac:dyDescent="0.2">
      <c r="A620" s="228" t="s">
        <v>146</v>
      </c>
      <c r="B620" s="229" t="s">
        <v>150</v>
      </c>
      <c r="C620" s="230"/>
      <c r="D620" s="231"/>
      <c r="E620" s="232"/>
      <c r="F620" s="232"/>
      <c r="G620" s="233"/>
    </row>
    <row r="621" spans="1:10" x14ac:dyDescent="0.2">
      <c r="A621" s="170" t="s">
        <v>169</v>
      </c>
      <c r="B621" s="234" t="s">
        <v>555</v>
      </c>
      <c r="C621" s="172"/>
      <c r="D621" s="173"/>
      <c r="E621" s="174"/>
      <c r="F621" s="174"/>
      <c r="G621" s="175"/>
    </row>
    <row r="622" spans="1:10" x14ac:dyDescent="0.2">
      <c r="A622" s="211" t="s">
        <v>170</v>
      </c>
      <c r="B622" s="235" t="s">
        <v>366</v>
      </c>
      <c r="C622" s="213"/>
      <c r="D622" s="214"/>
      <c r="E622" s="216"/>
      <c r="F622" s="216"/>
      <c r="G622" s="217"/>
    </row>
    <row r="623" spans="1:10" ht="13.5" x14ac:dyDescent="0.2">
      <c r="A623" s="210" t="s">
        <v>188</v>
      </c>
      <c r="B623" s="196" t="s">
        <v>553</v>
      </c>
      <c r="C623" s="197" t="s">
        <v>157</v>
      </c>
      <c r="D623" s="198">
        <v>51.1</v>
      </c>
      <c r="E623" s="199"/>
      <c r="F623" s="199"/>
      <c r="G623" s="200">
        <f t="shared" ref="G623" si="115">(D623*E623)+(D623*F623)</f>
        <v>0</v>
      </c>
      <c r="I623" s="19">
        <f>7.7*2+3.7*5*3+2.92*3+2.65*7</f>
        <v>98.210000000000008</v>
      </c>
      <c r="J623" s="19">
        <f>I623*0.52</f>
        <v>51.069200000000009</v>
      </c>
    </row>
    <row r="624" spans="1:10" x14ac:dyDescent="0.2">
      <c r="A624" s="176"/>
      <c r="B624" s="237"/>
      <c r="C624" s="178"/>
      <c r="D624" s="179"/>
      <c r="E624" s="180"/>
      <c r="F624" s="180"/>
      <c r="G624" s="166"/>
    </row>
    <row r="625" spans="1:24" x14ac:dyDescent="0.2">
      <c r="A625" s="170" t="s">
        <v>171</v>
      </c>
      <c r="B625" s="234" t="s">
        <v>66</v>
      </c>
      <c r="C625" s="172"/>
      <c r="D625" s="173"/>
      <c r="E625" s="174"/>
      <c r="F625" s="174"/>
      <c r="G625" s="175"/>
    </row>
    <row r="626" spans="1:24" x14ac:dyDescent="0.2">
      <c r="A626" s="211" t="s">
        <v>174</v>
      </c>
      <c r="B626" s="235" t="s">
        <v>366</v>
      </c>
      <c r="C626" s="213"/>
      <c r="D626" s="214"/>
      <c r="E626" s="216"/>
      <c r="F626" s="216"/>
      <c r="G626" s="217"/>
    </row>
    <row r="627" spans="1:24" ht="13.5" x14ac:dyDescent="0.2">
      <c r="A627" s="210" t="s">
        <v>188</v>
      </c>
      <c r="B627" s="196" t="s">
        <v>557</v>
      </c>
      <c r="C627" s="197" t="s">
        <v>157</v>
      </c>
      <c r="D627" s="198">
        <v>126.52</v>
      </c>
      <c r="E627" s="199"/>
      <c r="F627" s="199"/>
      <c r="G627" s="200">
        <f t="shared" ref="G627:G628" si="116">(D627*E627)+(D627*F627)</f>
        <v>0</v>
      </c>
      <c r="I627" s="19">
        <f>3.7*10+2.92*2+7.7</f>
        <v>50.540000000000006</v>
      </c>
      <c r="J627" s="19">
        <f>I627*3.2</f>
        <v>161.72800000000004</v>
      </c>
      <c r="K627" s="19">
        <v>35.21</v>
      </c>
      <c r="L627" s="19">
        <f>J627-K627</f>
        <v>126.51800000000003</v>
      </c>
    </row>
    <row r="628" spans="1:24" ht="13.5" x14ac:dyDescent="0.2">
      <c r="A628" s="210" t="s">
        <v>189</v>
      </c>
      <c r="B628" s="196" t="s">
        <v>556</v>
      </c>
      <c r="C628" s="197" t="s">
        <v>157</v>
      </c>
      <c r="D628" s="198">
        <v>24.64</v>
      </c>
      <c r="E628" s="199"/>
      <c r="F628" s="199"/>
      <c r="G628" s="200">
        <f t="shared" si="116"/>
        <v>0</v>
      </c>
      <c r="I628" s="19">
        <f>7.7</f>
        <v>7.7</v>
      </c>
      <c r="J628" s="19">
        <f>I628*3.2</f>
        <v>24.64</v>
      </c>
    </row>
    <row r="629" spans="1:24" x14ac:dyDescent="0.2">
      <c r="A629" s="195"/>
      <c r="B629" s="236"/>
      <c r="C629" s="197"/>
      <c r="D629" s="198"/>
      <c r="E629" s="199"/>
      <c r="F629" s="199"/>
      <c r="G629" s="200"/>
    </row>
    <row r="630" spans="1:24" x14ac:dyDescent="0.2">
      <c r="A630" s="211" t="s">
        <v>9</v>
      </c>
      <c r="B630" s="235" t="s">
        <v>367</v>
      </c>
      <c r="C630" s="213"/>
      <c r="D630" s="214"/>
      <c r="E630" s="216"/>
      <c r="F630" s="216"/>
      <c r="G630" s="217"/>
    </row>
    <row r="631" spans="1:24" ht="13.5" x14ac:dyDescent="0.2">
      <c r="A631" s="210" t="s">
        <v>188</v>
      </c>
      <c r="B631" s="196" t="s">
        <v>565</v>
      </c>
      <c r="C631" s="197" t="s">
        <v>157</v>
      </c>
      <c r="D631" s="198">
        <v>62.6</v>
      </c>
      <c r="E631" s="199"/>
      <c r="F631" s="199"/>
      <c r="G631" s="200">
        <f t="shared" ref="G631:G632" si="117">(D631*E631)+(D631*F631)</f>
        <v>0</v>
      </c>
      <c r="I631" s="19">
        <f>7.7*2+1.925+2.265+2.625</f>
        <v>22.215</v>
      </c>
      <c r="J631" s="19">
        <f>I631*3.1</f>
        <v>68.866500000000002</v>
      </c>
      <c r="K631" s="19">
        <f>K632*4</f>
        <v>11.190999999999999</v>
      </c>
      <c r="L631" s="19">
        <f>J631-K631</f>
        <v>57.6755</v>
      </c>
      <c r="M631" s="19">
        <f>2.725*1.8</f>
        <v>4.9050000000000002</v>
      </c>
      <c r="N631" s="19">
        <f>SUM(L631:M631)</f>
        <v>62.580500000000001</v>
      </c>
    </row>
    <row r="632" spans="1:24" ht="13.5" x14ac:dyDescent="0.2">
      <c r="A632" s="210" t="s">
        <v>189</v>
      </c>
      <c r="B632" s="196" t="s">
        <v>553</v>
      </c>
      <c r="C632" s="197" t="s">
        <v>157</v>
      </c>
      <c r="D632" s="198">
        <v>21.1</v>
      </c>
      <c r="E632" s="199"/>
      <c r="F632" s="199"/>
      <c r="G632" s="200">
        <f t="shared" si="117"/>
        <v>0</v>
      </c>
      <c r="I632" s="19">
        <v>7.7</v>
      </c>
      <c r="J632" s="19">
        <f>I632*3.1</f>
        <v>23.87</v>
      </c>
      <c r="K632" s="19">
        <f>0.95*2.945</f>
        <v>2.7977499999999997</v>
      </c>
      <c r="L632" s="19">
        <f>J632-K632</f>
        <v>21.07225</v>
      </c>
    </row>
    <row r="633" spans="1:24" x14ac:dyDescent="0.2">
      <c r="A633" s="176"/>
      <c r="B633" s="237"/>
      <c r="C633" s="178"/>
      <c r="D633" s="179"/>
      <c r="E633" s="180"/>
      <c r="F633" s="180"/>
      <c r="G633" s="166"/>
    </row>
    <row r="634" spans="1:24" x14ac:dyDescent="0.2">
      <c r="A634" s="170" t="s">
        <v>56</v>
      </c>
      <c r="B634" s="234" t="s">
        <v>68</v>
      </c>
      <c r="C634" s="172"/>
      <c r="D634" s="173"/>
      <c r="E634" s="174"/>
      <c r="F634" s="174"/>
      <c r="G634" s="175"/>
    </row>
    <row r="635" spans="1:24" x14ac:dyDescent="0.2">
      <c r="A635" s="211" t="s">
        <v>176</v>
      </c>
      <c r="B635" s="235" t="s">
        <v>366</v>
      </c>
      <c r="C635" s="213"/>
      <c r="D635" s="214"/>
      <c r="E635" s="216"/>
      <c r="F635" s="216"/>
      <c r="G635" s="217"/>
    </row>
    <row r="636" spans="1:24" ht="13.5" x14ac:dyDescent="0.2">
      <c r="A636" s="210" t="s">
        <v>188</v>
      </c>
      <c r="B636" s="196" t="s">
        <v>557</v>
      </c>
      <c r="C636" s="197" t="s">
        <v>157</v>
      </c>
      <c r="D636" s="198">
        <v>108.7</v>
      </c>
      <c r="E636" s="199"/>
      <c r="F636" s="199"/>
      <c r="G636" s="200">
        <f t="shared" ref="G636:G637" si="118">(D636*E636)+(D636*F636)</f>
        <v>0</v>
      </c>
      <c r="I636" s="19">
        <f>3.7*10+2.92+7.7+3.27</f>
        <v>50.890000000000008</v>
      </c>
      <c r="J636" s="19">
        <f>I636*3.1</f>
        <v>157.75900000000001</v>
      </c>
      <c r="K636" s="19">
        <v>49.08</v>
      </c>
      <c r="L636" s="19">
        <f>J636-K636</f>
        <v>108.67900000000002</v>
      </c>
    </row>
    <row r="637" spans="1:24" ht="13.5" x14ac:dyDescent="0.2">
      <c r="A637" s="210" t="s">
        <v>189</v>
      </c>
      <c r="B637" s="196" t="s">
        <v>556</v>
      </c>
      <c r="C637" s="197" t="s">
        <v>157</v>
      </c>
      <c r="D637" s="198">
        <v>12.9</v>
      </c>
      <c r="E637" s="199"/>
      <c r="F637" s="199"/>
      <c r="G637" s="200">
        <f t="shared" si="118"/>
        <v>0</v>
      </c>
      <c r="I637" s="19">
        <v>4.13</v>
      </c>
      <c r="J637" s="19">
        <f>I637*3.1</f>
        <v>12.803000000000001</v>
      </c>
      <c r="X637" s="19">
        <f>V637-W637</f>
        <v>0</v>
      </c>
    </row>
    <row r="638" spans="1:24" x14ac:dyDescent="0.2">
      <c r="A638" s="195"/>
      <c r="B638" s="236"/>
      <c r="C638" s="197"/>
      <c r="D638" s="198"/>
      <c r="E638" s="199"/>
      <c r="F638" s="199"/>
      <c r="G638" s="200"/>
      <c r="M638" s="46"/>
    </row>
    <row r="639" spans="1:24" x14ac:dyDescent="0.2">
      <c r="A639" s="211" t="s">
        <v>67</v>
      </c>
      <c r="B639" s="235" t="s">
        <v>367</v>
      </c>
      <c r="C639" s="213"/>
      <c r="D639" s="214"/>
      <c r="E639" s="216"/>
      <c r="F639" s="216"/>
      <c r="G639" s="217"/>
    </row>
    <row r="640" spans="1:24" ht="13.5" x14ac:dyDescent="0.2">
      <c r="A640" s="210" t="s">
        <v>188</v>
      </c>
      <c r="B640" s="196" t="s">
        <v>565</v>
      </c>
      <c r="C640" s="197" t="s">
        <v>157</v>
      </c>
      <c r="D640" s="198">
        <v>47.71</v>
      </c>
      <c r="E640" s="199"/>
      <c r="F640" s="199"/>
      <c r="G640" s="200">
        <f t="shared" ref="G640:G641" si="119">(D640*E640)+(D640*F640)</f>
        <v>0</v>
      </c>
      <c r="I640" s="19">
        <f>7.7*2+2.92</f>
        <v>18.32</v>
      </c>
      <c r="J640" s="19">
        <f>I640*3.1</f>
        <v>56.792000000000002</v>
      </c>
      <c r="K640" s="19">
        <f>0.95*2.945*3+0.69</f>
        <v>9.0832499999999978</v>
      </c>
      <c r="L640" s="19">
        <f>J640-K640</f>
        <v>47.708750000000002</v>
      </c>
    </row>
    <row r="641" spans="1:16" ht="13.5" x14ac:dyDescent="0.2">
      <c r="A641" s="210" t="s">
        <v>189</v>
      </c>
      <c r="B641" s="196" t="s">
        <v>553</v>
      </c>
      <c r="C641" s="197" t="s">
        <v>157</v>
      </c>
      <c r="D641" s="198">
        <v>23.9</v>
      </c>
      <c r="E641" s="199"/>
      <c r="F641" s="199"/>
      <c r="G641" s="200">
        <f t="shared" si="119"/>
        <v>0</v>
      </c>
      <c r="I641" s="19">
        <v>7.7</v>
      </c>
      <c r="J641" s="19">
        <f>I641*3.1</f>
        <v>23.87</v>
      </c>
      <c r="L641" s="19">
        <f>J641-K641</f>
        <v>23.87</v>
      </c>
    </row>
    <row r="642" spans="1:16" ht="13.5" x14ac:dyDescent="0.2">
      <c r="A642" s="210" t="s">
        <v>202</v>
      </c>
      <c r="B642" s="196" t="s">
        <v>568</v>
      </c>
      <c r="C642" s="197" t="s">
        <v>157</v>
      </c>
      <c r="D642" s="198">
        <v>26.55</v>
      </c>
      <c r="E642" s="199"/>
      <c r="F642" s="199"/>
      <c r="G642" s="200">
        <f t="shared" ref="G642" si="120">(D642*E642)+(D642*F642)</f>
        <v>0</v>
      </c>
      <c r="I642" s="19">
        <f>3.17+1.75*2</f>
        <v>6.67</v>
      </c>
      <c r="J642" s="19">
        <f>0.43*2+0.3*2+0.375+0.625</f>
        <v>2.46</v>
      </c>
      <c r="K642" s="19">
        <f>SUM(I642:J642)</f>
        <v>9.129999999999999</v>
      </c>
      <c r="L642" s="19">
        <f>K642*3.365</f>
        <v>30.722449999999998</v>
      </c>
      <c r="M642" s="19">
        <f>0.7*2*3</f>
        <v>4.1999999999999993</v>
      </c>
      <c r="O642" s="19">
        <f>SUM(M642:N642)</f>
        <v>4.1999999999999993</v>
      </c>
      <c r="P642" s="19">
        <f>L642-O642</f>
        <v>26.522449999999999</v>
      </c>
    </row>
    <row r="643" spans="1:16" x14ac:dyDescent="0.2">
      <c r="A643" s="176"/>
      <c r="B643" s="237"/>
      <c r="C643" s="178"/>
      <c r="D643" s="179"/>
      <c r="E643" s="180"/>
      <c r="F643" s="180"/>
      <c r="G643" s="166"/>
    </row>
    <row r="644" spans="1:16" x14ac:dyDescent="0.2">
      <c r="A644" s="170" t="s">
        <v>172</v>
      </c>
      <c r="B644" s="234" t="s">
        <v>69</v>
      </c>
      <c r="C644" s="172"/>
      <c r="D644" s="173"/>
      <c r="E644" s="174"/>
      <c r="F644" s="174"/>
      <c r="G644" s="175"/>
    </row>
    <row r="645" spans="1:16" x14ac:dyDescent="0.2">
      <c r="A645" s="211" t="s">
        <v>102</v>
      </c>
      <c r="B645" s="235" t="s">
        <v>366</v>
      </c>
      <c r="C645" s="213"/>
      <c r="D645" s="214"/>
      <c r="E645" s="216"/>
      <c r="F645" s="216"/>
      <c r="G645" s="217"/>
    </row>
    <row r="646" spans="1:16" ht="13.5" x14ac:dyDescent="0.2">
      <c r="A646" s="210" t="s">
        <v>188</v>
      </c>
      <c r="B646" s="196" t="s">
        <v>557</v>
      </c>
      <c r="C646" s="197" t="s">
        <v>157</v>
      </c>
      <c r="D646" s="198">
        <v>108.7</v>
      </c>
      <c r="E646" s="199"/>
      <c r="F646" s="199"/>
      <c r="G646" s="200">
        <f t="shared" ref="G646:G647" si="121">(D646*E646)+(D646*F646)</f>
        <v>0</v>
      </c>
      <c r="I646" s="19">
        <f>3.7*10+2.92+7.7+3.27</f>
        <v>50.890000000000008</v>
      </c>
      <c r="J646" s="19">
        <f>I646*3.1</f>
        <v>157.75900000000001</v>
      </c>
      <c r="K646" s="19">
        <v>49.08</v>
      </c>
      <c r="L646" s="19">
        <f>J646-K646</f>
        <v>108.67900000000002</v>
      </c>
    </row>
    <row r="647" spans="1:16" ht="13.5" x14ac:dyDescent="0.2">
      <c r="A647" s="210" t="s">
        <v>189</v>
      </c>
      <c r="B647" s="196" t="s">
        <v>556</v>
      </c>
      <c r="C647" s="197" t="s">
        <v>157</v>
      </c>
      <c r="D647" s="198">
        <v>12.9</v>
      </c>
      <c r="E647" s="199"/>
      <c r="F647" s="199"/>
      <c r="G647" s="200">
        <f t="shared" si="121"/>
        <v>0</v>
      </c>
      <c r="I647" s="19">
        <v>4.13</v>
      </c>
      <c r="J647" s="19">
        <f>I647*3.1</f>
        <v>12.803000000000001</v>
      </c>
    </row>
    <row r="648" spans="1:16" x14ac:dyDescent="0.2">
      <c r="A648" s="195"/>
      <c r="B648" s="236"/>
      <c r="C648" s="197"/>
      <c r="D648" s="198"/>
      <c r="E648" s="199"/>
      <c r="F648" s="199"/>
      <c r="G648" s="200"/>
      <c r="M648" s="46"/>
    </row>
    <row r="649" spans="1:16" x14ac:dyDescent="0.2">
      <c r="A649" s="211" t="s">
        <v>146</v>
      </c>
      <c r="B649" s="235" t="s">
        <v>367</v>
      </c>
      <c r="C649" s="213"/>
      <c r="D649" s="214"/>
      <c r="E649" s="216"/>
      <c r="F649" s="216"/>
      <c r="G649" s="217"/>
    </row>
    <row r="650" spans="1:16" ht="13.5" x14ac:dyDescent="0.2">
      <c r="A650" s="210" t="s">
        <v>188</v>
      </c>
      <c r="B650" s="196" t="s">
        <v>565</v>
      </c>
      <c r="C650" s="197" t="s">
        <v>157</v>
      </c>
      <c r="D650" s="198">
        <v>5.6</v>
      </c>
      <c r="E650" s="199"/>
      <c r="F650" s="199"/>
      <c r="G650" s="200">
        <f t="shared" ref="G650:G652" si="122">(D650*E650)+(D650*F650)</f>
        <v>0</v>
      </c>
      <c r="I650" s="19">
        <f>2.92</f>
        <v>2.92</v>
      </c>
      <c r="J650" s="19">
        <f>I650*3.1</f>
        <v>9.0519999999999996</v>
      </c>
      <c r="K650" s="19">
        <f>0.95*2.945+0.69</f>
        <v>3.4877499999999997</v>
      </c>
      <c r="L650" s="19">
        <f>J650-K650</f>
        <v>5.5642499999999995</v>
      </c>
    </row>
    <row r="651" spans="1:16" ht="13.5" x14ac:dyDescent="0.2">
      <c r="A651" s="210" t="s">
        <v>189</v>
      </c>
      <c r="B651" s="196" t="s">
        <v>553</v>
      </c>
      <c r="C651" s="197" t="s">
        <v>157</v>
      </c>
      <c r="D651" s="198">
        <v>23.9</v>
      </c>
      <c r="E651" s="199"/>
      <c r="F651" s="199"/>
      <c r="G651" s="200">
        <f t="shared" si="122"/>
        <v>0</v>
      </c>
      <c r="I651" s="19">
        <v>7.7</v>
      </c>
      <c r="J651" s="19">
        <f>I651*3.1</f>
        <v>23.87</v>
      </c>
      <c r="L651" s="19">
        <f>J651-K651</f>
        <v>23.87</v>
      </c>
    </row>
    <row r="652" spans="1:16" ht="13.5" x14ac:dyDescent="0.2">
      <c r="A652" s="210" t="s">
        <v>202</v>
      </c>
      <c r="B652" s="196" t="s">
        <v>568</v>
      </c>
      <c r="C652" s="197" t="s">
        <v>157</v>
      </c>
      <c r="D652" s="198">
        <v>26.55</v>
      </c>
      <c r="E652" s="199"/>
      <c r="F652" s="199"/>
      <c r="G652" s="200">
        <f t="shared" si="122"/>
        <v>0</v>
      </c>
      <c r="I652" s="19">
        <f>3.17+1.75*2</f>
        <v>6.67</v>
      </c>
      <c r="J652" s="19">
        <f>0.43*2+0.3*2+0.375+0.625</f>
        <v>2.46</v>
      </c>
      <c r="K652" s="19">
        <f>SUM(I652:J652)</f>
        <v>9.129999999999999</v>
      </c>
      <c r="L652" s="19">
        <f>K652*3.365</f>
        <v>30.722449999999998</v>
      </c>
      <c r="M652" s="19">
        <f>0.7*2*3</f>
        <v>4.1999999999999993</v>
      </c>
      <c r="O652" s="19">
        <f>SUM(M652:N652)</f>
        <v>4.1999999999999993</v>
      </c>
      <c r="P652" s="19">
        <f>L652-O652</f>
        <v>26.522449999999999</v>
      </c>
    </row>
    <row r="653" spans="1:16" x14ac:dyDescent="0.2">
      <c r="A653" s="170" t="s">
        <v>173</v>
      </c>
      <c r="B653" s="234" t="s">
        <v>368</v>
      </c>
      <c r="C653" s="172"/>
      <c r="D653" s="173"/>
      <c r="E653" s="174"/>
      <c r="F653" s="174"/>
      <c r="G653" s="175"/>
    </row>
    <row r="654" spans="1:16" x14ac:dyDescent="0.2">
      <c r="A654" s="211" t="s">
        <v>109</v>
      </c>
      <c r="B654" s="235" t="s">
        <v>366</v>
      </c>
      <c r="C654" s="213"/>
      <c r="D654" s="214"/>
      <c r="E654" s="216"/>
      <c r="F654" s="216"/>
      <c r="G654" s="217"/>
    </row>
    <row r="655" spans="1:16" ht="13.5" x14ac:dyDescent="0.2">
      <c r="A655" s="210" t="s">
        <v>188</v>
      </c>
      <c r="B655" s="196" t="s">
        <v>557</v>
      </c>
      <c r="C655" s="197" t="s">
        <v>157</v>
      </c>
      <c r="D655" s="198">
        <v>21.05</v>
      </c>
      <c r="E655" s="199"/>
      <c r="F655" s="199"/>
      <c r="G655" s="200">
        <f t="shared" ref="G655:G656" si="123">(D655*E655)+(D655*F655)</f>
        <v>0</v>
      </c>
      <c r="I655" s="19">
        <f>3.27+2.92+2.92</f>
        <v>9.11</v>
      </c>
      <c r="J655" s="19">
        <f>I655*2.95</f>
        <v>26.874500000000001</v>
      </c>
      <c r="K655" s="19">
        <v>5.83</v>
      </c>
      <c r="L655" s="19">
        <f>J655-K655</f>
        <v>21.044499999999999</v>
      </c>
    </row>
    <row r="656" spans="1:16" ht="13.5" x14ac:dyDescent="0.2">
      <c r="A656" s="210" t="s">
        <v>189</v>
      </c>
      <c r="B656" s="196" t="s">
        <v>556</v>
      </c>
      <c r="C656" s="197" t="s">
        <v>157</v>
      </c>
      <c r="D656" s="198">
        <v>34.9</v>
      </c>
      <c r="E656" s="199"/>
      <c r="F656" s="199"/>
      <c r="G656" s="200">
        <f t="shared" si="123"/>
        <v>0</v>
      </c>
      <c r="I656" s="19">
        <f>7.7+4.13</f>
        <v>11.83</v>
      </c>
      <c r="J656" s="19">
        <f>I656*2.95</f>
        <v>34.898500000000006</v>
      </c>
    </row>
    <row r="657" spans="1:18" x14ac:dyDescent="0.2">
      <c r="A657" s="195"/>
      <c r="B657" s="236"/>
      <c r="C657" s="197"/>
      <c r="D657" s="198"/>
      <c r="E657" s="199"/>
      <c r="F657" s="199"/>
      <c r="G657" s="200"/>
      <c r="M657" s="46"/>
    </row>
    <row r="658" spans="1:18" x14ac:dyDescent="0.2">
      <c r="A658" s="211" t="s">
        <v>161</v>
      </c>
      <c r="B658" s="235" t="s">
        <v>367</v>
      </c>
      <c r="C658" s="213"/>
      <c r="D658" s="214"/>
      <c r="E658" s="216"/>
      <c r="F658" s="216"/>
      <c r="G658" s="217"/>
    </row>
    <row r="659" spans="1:18" ht="13.5" x14ac:dyDescent="0.2">
      <c r="A659" s="210" t="s">
        <v>188</v>
      </c>
      <c r="B659" s="196" t="s">
        <v>565</v>
      </c>
      <c r="C659" s="197" t="s">
        <v>157</v>
      </c>
      <c r="D659" s="198">
        <v>6.45</v>
      </c>
      <c r="E659" s="199"/>
      <c r="F659" s="199"/>
      <c r="G659" s="200">
        <f t="shared" ref="G659:G660" si="124">(D659*E659)+(D659*F659)</f>
        <v>0</v>
      </c>
      <c r="I659" s="19">
        <v>2.97</v>
      </c>
      <c r="J659" s="19">
        <f>I659*3.1</f>
        <v>9.2070000000000007</v>
      </c>
      <c r="K659" s="19">
        <f>0.95*2.945</f>
        <v>2.7977499999999997</v>
      </c>
      <c r="L659" s="19">
        <f>J659-K659</f>
        <v>6.409250000000001</v>
      </c>
    </row>
    <row r="660" spans="1:18" ht="13.5" x14ac:dyDescent="0.2">
      <c r="A660" s="210" t="s">
        <v>189</v>
      </c>
      <c r="B660" s="196" t="s">
        <v>568</v>
      </c>
      <c r="C660" s="197" t="s">
        <v>157</v>
      </c>
      <c r="D660" s="198">
        <v>7.8</v>
      </c>
      <c r="E660" s="199"/>
      <c r="F660" s="199"/>
      <c r="G660" s="200">
        <f t="shared" si="124"/>
        <v>0</v>
      </c>
      <c r="J660" s="19">
        <f>0.43*2+0.3*2+0.375+0.625</f>
        <v>2.46</v>
      </c>
      <c r="K660" s="19">
        <f>SUM(I660:J660)</f>
        <v>2.46</v>
      </c>
      <c r="L660" s="19">
        <f>K660*3.165</f>
        <v>7.7858999999999998</v>
      </c>
    </row>
    <row r="661" spans="1:18" x14ac:dyDescent="0.2">
      <c r="A661" s="239"/>
      <c r="B661" s="204"/>
      <c r="C661" s="205"/>
      <c r="D661" s="206"/>
      <c r="E661" s="207"/>
      <c r="F661" s="207"/>
      <c r="G661" s="208"/>
    </row>
    <row r="662" spans="1:18" x14ac:dyDescent="0.2">
      <c r="A662" s="415">
        <v>4.3</v>
      </c>
      <c r="B662" s="416" t="s">
        <v>106</v>
      </c>
      <c r="C662" s="350"/>
      <c r="D662" s="351"/>
      <c r="E662" s="352"/>
      <c r="F662" s="351"/>
      <c r="G662" s="417"/>
    </row>
    <row r="663" spans="1:18" ht="65.25" customHeight="1" x14ac:dyDescent="0.2">
      <c r="A663" s="297"/>
      <c r="B663" s="621" t="s">
        <v>244</v>
      </c>
      <c r="C663" s="621"/>
      <c r="D663" s="621"/>
      <c r="E663" s="621"/>
      <c r="F663" s="333"/>
      <c r="G663" s="334"/>
    </row>
    <row r="664" spans="1:18" ht="13.5" customHeight="1" x14ac:dyDescent="0.2">
      <c r="A664" s="297"/>
      <c r="B664" s="621" t="s">
        <v>369</v>
      </c>
      <c r="C664" s="621"/>
      <c r="D664" s="621"/>
      <c r="E664" s="621"/>
      <c r="F664" s="333"/>
      <c r="G664" s="334"/>
    </row>
    <row r="665" spans="1:18" ht="27.75" customHeight="1" x14ac:dyDescent="0.2">
      <c r="A665" s="335"/>
      <c r="B665" s="607" t="s">
        <v>536</v>
      </c>
      <c r="C665" s="607"/>
      <c r="D665" s="607"/>
      <c r="E665" s="607"/>
      <c r="F665" s="336"/>
      <c r="G665" s="337"/>
    </row>
    <row r="666" spans="1:18" x14ac:dyDescent="0.2">
      <c r="A666" s="170" t="s">
        <v>169</v>
      </c>
      <c r="B666" s="234" t="s">
        <v>555</v>
      </c>
      <c r="C666" s="172"/>
      <c r="D666" s="173"/>
      <c r="E666" s="174"/>
      <c r="F666" s="174"/>
      <c r="G666" s="175"/>
      <c r="J666" s="45"/>
    </row>
    <row r="667" spans="1:18" x14ac:dyDescent="0.2">
      <c r="A667" s="211" t="s">
        <v>170</v>
      </c>
      <c r="B667" s="235" t="s">
        <v>370</v>
      </c>
      <c r="C667" s="213"/>
      <c r="D667" s="214"/>
      <c r="E667" s="216"/>
      <c r="F667" s="216"/>
      <c r="G667" s="217"/>
      <c r="J667" s="45"/>
    </row>
    <row r="668" spans="1:18" ht="24" x14ac:dyDescent="0.2">
      <c r="A668" s="210" t="s">
        <v>188</v>
      </c>
      <c r="B668" s="196" t="s">
        <v>573</v>
      </c>
      <c r="C668" s="197" t="s">
        <v>157</v>
      </c>
      <c r="D668" s="240">
        <v>130.1</v>
      </c>
      <c r="E668" s="241"/>
      <c r="F668" s="241"/>
      <c r="G668" s="200">
        <f t="shared" ref="G668" si="125">(D668*E668)+(D668*F668)</f>
        <v>0</v>
      </c>
      <c r="I668" s="19">
        <f>23.52*2+11.8*2+7.7*12+3.2*12+3.7*10+2.92*4</f>
        <v>250.12000000000003</v>
      </c>
      <c r="J668" s="19">
        <f>I668*0.52</f>
        <v>130.06240000000003</v>
      </c>
      <c r="L668" s="46"/>
      <c r="P668" s="46"/>
      <c r="R668" s="46"/>
    </row>
    <row r="669" spans="1:18" x14ac:dyDescent="0.2">
      <c r="A669" s="170" t="s">
        <v>171</v>
      </c>
      <c r="B669" s="234" t="s">
        <v>66</v>
      </c>
      <c r="C669" s="172"/>
      <c r="D669" s="173"/>
      <c r="E669" s="174"/>
      <c r="F669" s="174"/>
      <c r="G669" s="175"/>
    </row>
    <row r="670" spans="1:18" x14ac:dyDescent="0.2">
      <c r="A670" s="211" t="s">
        <v>174</v>
      </c>
      <c r="B670" s="235" t="s">
        <v>370</v>
      </c>
      <c r="C670" s="213"/>
      <c r="D670" s="214"/>
      <c r="E670" s="216"/>
      <c r="F670" s="216"/>
      <c r="G670" s="217"/>
    </row>
    <row r="671" spans="1:18" ht="24" x14ac:dyDescent="0.2">
      <c r="A671" s="210" t="s">
        <v>188</v>
      </c>
      <c r="B671" s="196" t="s">
        <v>371</v>
      </c>
      <c r="C671" s="197" t="s">
        <v>157</v>
      </c>
      <c r="D671" s="240">
        <v>253.05</v>
      </c>
      <c r="E671" s="241"/>
      <c r="F671" s="241"/>
      <c r="G671" s="200">
        <f t="shared" ref="G671" si="126">(D671*E671)+(D671*F671)</f>
        <v>0</v>
      </c>
      <c r="I671" s="19">
        <f>23.52*2+11.8*2</f>
        <v>70.64</v>
      </c>
      <c r="J671" s="19">
        <f>I671*3.7</f>
        <v>261.36799999999999</v>
      </c>
      <c r="K671" s="19">
        <f>23.52+3.6*2</f>
        <v>30.72</v>
      </c>
      <c r="L671" s="19">
        <f>K671*0.85</f>
        <v>26.111999999999998</v>
      </c>
      <c r="M671" s="19">
        <f>L671+J671</f>
        <v>287.48</v>
      </c>
      <c r="N671" s="19">
        <v>35.21</v>
      </c>
      <c r="O671" s="19">
        <f>M671-N671</f>
        <v>252.27</v>
      </c>
      <c r="P671" s="19">
        <f>O671*105%</f>
        <v>264.88350000000003</v>
      </c>
      <c r="Q671" s="19">
        <f>3.7*3.2</f>
        <v>11.840000000000002</v>
      </c>
      <c r="R671" s="19">
        <f>P671-Q671</f>
        <v>253.04350000000002</v>
      </c>
    </row>
    <row r="672" spans="1:18" ht="24" x14ac:dyDescent="0.2">
      <c r="A672" s="210" t="s">
        <v>189</v>
      </c>
      <c r="B672" s="196" t="s">
        <v>374</v>
      </c>
      <c r="C672" s="197" t="s">
        <v>8</v>
      </c>
      <c r="D672" s="198">
        <v>7</v>
      </c>
      <c r="E672" s="199"/>
      <c r="F672" s="199"/>
      <c r="G672" s="200"/>
      <c r="I672" s="19">
        <f>7.7*2+1.925+2.265+2.625</f>
        <v>22.215</v>
      </c>
      <c r="J672" s="19">
        <f>I672*3.365*2</f>
        <v>149.50695000000002</v>
      </c>
      <c r="K672" s="19">
        <f>K673*4</f>
        <v>11.190999999999999</v>
      </c>
      <c r="L672" s="19">
        <f>J672-K672</f>
        <v>138.31595000000002</v>
      </c>
      <c r="M672" s="19">
        <f>2.725*2.2</f>
        <v>5.995000000000001</v>
      </c>
      <c r="N672" s="19">
        <f>SUM(L672:M672)</f>
        <v>144.31095000000002</v>
      </c>
    </row>
    <row r="673" spans="1:21" x14ac:dyDescent="0.2">
      <c r="A673" s="211" t="s">
        <v>9</v>
      </c>
      <c r="B673" s="235" t="s">
        <v>372</v>
      </c>
      <c r="C673" s="213"/>
      <c r="D673" s="214"/>
      <c r="E673" s="216"/>
      <c r="F673" s="216"/>
      <c r="G673" s="217"/>
      <c r="I673" s="19">
        <v>7.7</v>
      </c>
      <c r="J673" s="19">
        <f>I673*3.365*2</f>
        <v>51.821000000000005</v>
      </c>
      <c r="K673" s="19">
        <f>0.95*2.945</f>
        <v>2.7977499999999997</v>
      </c>
      <c r="L673" s="19">
        <f>J673-K673</f>
        <v>49.023250000000004</v>
      </c>
      <c r="N673" s="19">
        <f>N672+L673</f>
        <v>193.33420000000001</v>
      </c>
      <c r="O673" s="19">
        <f>3.7*10+7.7*2+2.92*2</f>
        <v>58.239999999999995</v>
      </c>
      <c r="P673" s="19">
        <f>O673*3.365</f>
        <v>195.9776</v>
      </c>
      <c r="Q673" s="19">
        <f>P673-N671</f>
        <v>160.76759999999999</v>
      </c>
    </row>
    <row r="674" spans="1:21" ht="24" x14ac:dyDescent="0.2">
      <c r="A674" s="210" t="s">
        <v>188</v>
      </c>
      <c r="B674" s="196" t="s">
        <v>373</v>
      </c>
      <c r="C674" s="197" t="s">
        <v>157</v>
      </c>
      <c r="D674" s="198">
        <v>371.81</v>
      </c>
      <c r="E674" s="199"/>
      <c r="F674" s="199"/>
      <c r="G674" s="200">
        <f t="shared" ref="G674" si="127">(D674*E674)+(D674*F674)</f>
        <v>0</v>
      </c>
      <c r="J674" s="19">
        <f>N672+L673+Q673</f>
        <v>354.10180000000003</v>
      </c>
      <c r="K674" s="19">
        <f>J674*105%</f>
        <v>371.80689000000007</v>
      </c>
    </row>
    <row r="675" spans="1:21" x14ac:dyDescent="0.2">
      <c r="A675" s="170" t="s">
        <v>56</v>
      </c>
      <c r="B675" s="234" t="s">
        <v>68</v>
      </c>
      <c r="C675" s="172"/>
      <c r="D675" s="173"/>
      <c r="E675" s="174"/>
      <c r="F675" s="174"/>
      <c r="G675" s="175"/>
    </row>
    <row r="676" spans="1:21" x14ac:dyDescent="0.2">
      <c r="A676" s="211" t="s">
        <v>176</v>
      </c>
      <c r="B676" s="235" t="s">
        <v>370</v>
      </c>
      <c r="C676" s="213"/>
      <c r="D676" s="214"/>
      <c r="E676" s="216"/>
      <c r="F676" s="216"/>
      <c r="G676" s="217"/>
    </row>
    <row r="677" spans="1:21" ht="24" x14ac:dyDescent="0.2">
      <c r="A677" s="210" t="s">
        <v>188</v>
      </c>
      <c r="B677" s="196" t="s">
        <v>371</v>
      </c>
      <c r="C677" s="197" t="s">
        <v>157</v>
      </c>
      <c r="D677" s="240">
        <v>235.5</v>
      </c>
      <c r="E677" s="241"/>
      <c r="F677" s="241"/>
      <c r="G677" s="200">
        <f t="shared" ref="G677" si="128">(D677*E677)+(D677*F677)</f>
        <v>0</v>
      </c>
      <c r="I677" s="19">
        <f>23.52*2+11.8*2</f>
        <v>70.64</v>
      </c>
      <c r="J677" s="19">
        <f>I677*3.5</f>
        <v>247.24</v>
      </c>
      <c r="K677" s="19">
        <f>23.52+3.6*2</f>
        <v>30.72</v>
      </c>
      <c r="L677" s="19">
        <f>K677*0.85</f>
        <v>26.111999999999998</v>
      </c>
      <c r="M677" s="19">
        <f>L677+J677</f>
        <v>273.35200000000003</v>
      </c>
      <c r="N677" s="19">
        <f>K636</f>
        <v>49.08</v>
      </c>
      <c r="O677" s="19">
        <f>M677-N677</f>
        <v>224.27200000000005</v>
      </c>
      <c r="P677" s="19">
        <f>O677*105%</f>
        <v>235.48560000000006</v>
      </c>
    </row>
    <row r="678" spans="1:21" ht="25.5" customHeight="1" x14ac:dyDescent="0.2">
      <c r="A678" s="210" t="s">
        <v>189</v>
      </c>
      <c r="B678" s="196" t="s">
        <v>374</v>
      </c>
      <c r="C678" s="197" t="s">
        <v>8</v>
      </c>
      <c r="D678" s="198">
        <v>7</v>
      </c>
      <c r="E678" s="199"/>
      <c r="F678" s="199"/>
      <c r="G678" s="200"/>
      <c r="I678" s="19">
        <f>7.7*2+2.92</f>
        <v>18.32</v>
      </c>
      <c r="J678" s="19">
        <f>I678*3.365*2</f>
        <v>123.29360000000001</v>
      </c>
      <c r="K678" s="19">
        <f>0.95*2.945*3+0.69</f>
        <v>9.0832499999999978</v>
      </c>
      <c r="L678" s="19">
        <f>J678-K678</f>
        <v>114.21035000000002</v>
      </c>
    </row>
    <row r="679" spans="1:21" x14ac:dyDescent="0.2">
      <c r="A679" s="211" t="s">
        <v>67</v>
      </c>
      <c r="B679" s="235" t="s">
        <v>372</v>
      </c>
      <c r="C679" s="213"/>
      <c r="D679" s="214"/>
      <c r="E679" s="216"/>
      <c r="F679" s="216"/>
      <c r="G679" s="217"/>
      <c r="I679" s="19">
        <v>7.7</v>
      </c>
      <c r="J679" s="19">
        <f>I679*3.365*2</f>
        <v>51.821000000000005</v>
      </c>
      <c r="L679" s="19">
        <f>J679-K679</f>
        <v>51.821000000000005</v>
      </c>
      <c r="N679" s="19">
        <f>19.9*2+7.95*2+3.12</f>
        <v>58.819999999999993</v>
      </c>
      <c r="O679" s="19">
        <f>N679*3.365</f>
        <v>197.92929999999998</v>
      </c>
      <c r="P679" s="19">
        <f>O679-N677</f>
        <v>148.84929999999997</v>
      </c>
    </row>
    <row r="680" spans="1:21" ht="24.75" customHeight="1" x14ac:dyDescent="0.2">
      <c r="A680" s="210" t="s">
        <v>188</v>
      </c>
      <c r="B680" s="196" t="s">
        <v>373</v>
      </c>
      <c r="C680" s="197" t="s">
        <v>157</v>
      </c>
      <c r="D680" s="198">
        <v>398.1</v>
      </c>
      <c r="E680" s="199"/>
      <c r="F680" s="199"/>
      <c r="G680" s="200">
        <f t="shared" ref="G680" si="129">(D680*E680)+(D680*F680)</f>
        <v>0</v>
      </c>
      <c r="I680" s="19">
        <f>3.17+1.75*2</f>
        <v>6.67</v>
      </c>
      <c r="J680" s="19">
        <f>0.43*2+0.3*2+0.375+0.625</f>
        <v>2.46</v>
      </c>
      <c r="K680" s="19">
        <f>SUM(I680:J680)</f>
        <v>9.129999999999999</v>
      </c>
      <c r="L680" s="19">
        <f>K680*3.365*2</f>
        <v>61.444899999999997</v>
      </c>
      <c r="M680" s="19">
        <f>0.7*2*3</f>
        <v>4.1999999999999993</v>
      </c>
      <c r="O680" s="19">
        <f>SUM(M680:N680)</f>
        <v>4.1999999999999993</v>
      </c>
      <c r="P680" s="19">
        <f>L680-O680</f>
        <v>57.244900000000001</v>
      </c>
      <c r="Q680" s="19">
        <f>P679+P680+L678+N679</f>
        <v>379.12455</v>
      </c>
      <c r="R680" s="19">
        <f>Q680*105%</f>
        <v>398.08077750000001</v>
      </c>
    </row>
    <row r="681" spans="1:21" x14ac:dyDescent="0.2">
      <c r="A681" s="195"/>
      <c r="B681" s="236"/>
      <c r="C681" s="197"/>
      <c r="D681" s="198"/>
      <c r="E681" s="199"/>
      <c r="F681" s="199"/>
      <c r="G681" s="200">
        <f t="shared" ref="G681" si="130">(D681*E681)+(D681*F681)</f>
        <v>0</v>
      </c>
      <c r="J681" s="77"/>
    </row>
    <row r="682" spans="1:21" ht="15" customHeight="1" x14ac:dyDescent="0.2">
      <c r="A682" s="170" t="s">
        <v>172</v>
      </c>
      <c r="B682" s="234" t="s">
        <v>69</v>
      </c>
      <c r="C682" s="172"/>
      <c r="D682" s="173"/>
      <c r="E682" s="174"/>
      <c r="F682" s="174"/>
      <c r="G682" s="175"/>
    </row>
    <row r="683" spans="1:21" x14ac:dyDescent="0.2">
      <c r="A683" s="211" t="s">
        <v>102</v>
      </c>
      <c r="B683" s="235" t="s">
        <v>370</v>
      </c>
      <c r="C683" s="213"/>
      <c r="D683" s="214"/>
      <c r="E683" s="216"/>
      <c r="F683" s="216"/>
      <c r="G683" s="217"/>
      <c r="L683" s="46"/>
      <c r="P683" s="46"/>
      <c r="R683" s="46"/>
    </row>
    <row r="684" spans="1:21" ht="24" x14ac:dyDescent="0.2">
      <c r="A684" s="210" t="s">
        <v>188</v>
      </c>
      <c r="B684" s="196" t="s">
        <v>371</v>
      </c>
      <c r="C684" s="197" t="s">
        <v>157</v>
      </c>
      <c r="D684" s="240">
        <v>235.5</v>
      </c>
      <c r="E684" s="241"/>
      <c r="F684" s="241"/>
      <c r="G684" s="200">
        <f t="shared" ref="G684" si="131">(D684*E684)+(D684*F684)</f>
        <v>0</v>
      </c>
      <c r="I684" s="19">
        <f>23.52*2+11.8*2</f>
        <v>70.64</v>
      </c>
      <c r="J684" s="19">
        <f>I684*3.5</f>
        <v>247.24</v>
      </c>
      <c r="K684" s="19">
        <f>23.52+3.6*2</f>
        <v>30.72</v>
      </c>
      <c r="L684" s="19">
        <f>K684*0.85</f>
        <v>26.111999999999998</v>
      </c>
      <c r="M684" s="19">
        <f>L684+J684</f>
        <v>273.35200000000003</v>
      </c>
      <c r="N684" s="19">
        <f>N677</f>
        <v>49.08</v>
      </c>
      <c r="O684" s="19">
        <f>M684-N684</f>
        <v>224.27200000000005</v>
      </c>
      <c r="P684" s="19">
        <f>O684*105%</f>
        <v>235.48560000000006</v>
      </c>
    </row>
    <row r="685" spans="1:21" ht="27" customHeight="1" x14ac:dyDescent="0.2">
      <c r="A685" s="210" t="s">
        <v>189</v>
      </c>
      <c r="B685" s="196" t="s">
        <v>374</v>
      </c>
      <c r="C685" s="197" t="s">
        <v>8</v>
      </c>
      <c r="D685" s="198">
        <v>7</v>
      </c>
      <c r="E685" s="199"/>
      <c r="F685" s="199"/>
      <c r="G685" s="200"/>
      <c r="I685" s="19">
        <f>2.92</f>
        <v>2.92</v>
      </c>
      <c r="J685" s="19">
        <f>I685*3.365*2</f>
        <v>19.651600000000002</v>
      </c>
      <c r="K685" s="19">
        <f>0.95*2.945+0.69</f>
        <v>3.4877499999999997</v>
      </c>
      <c r="L685" s="19">
        <f>J685-K685</f>
        <v>16.163850000000004</v>
      </c>
    </row>
    <row r="686" spans="1:21" x14ac:dyDescent="0.2">
      <c r="A686" s="211" t="s">
        <v>146</v>
      </c>
      <c r="B686" s="235" t="s">
        <v>372</v>
      </c>
      <c r="C686" s="213"/>
      <c r="D686" s="214"/>
      <c r="E686" s="216"/>
      <c r="F686" s="216"/>
      <c r="G686" s="217"/>
      <c r="I686" s="19">
        <v>7.7</v>
      </c>
      <c r="J686" s="19">
        <f>I686*3.365*2</f>
        <v>51.821000000000005</v>
      </c>
      <c r="L686" s="19">
        <f>J686-K686</f>
        <v>51.821000000000005</v>
      </c>
      <c r="N686" s="19">
        <f>19.9*2+7.95*2+3.12</f>
        <v>58.819999999999993</v>
      </c>
      <c r="O686" s="19">
        <f>N686*3.365</f>
        <v>197.92929999999998</v>
      </c>
      <c r="P686" s="19">
        <f>O686-N684</f>
        <v>148.84929999999997</v>
      </c>
    </row>
    <row r="687" spans="1:21" s="85" customFormat="1" ht="25.5" customHeight="1" x14ac:dyDescent="0.2">
      <c r="A687" s="210" t="s">
        <v>188</v>
      </c>
      <c r="B687" s="196" t="s">
        <v>373</v>
      </c>
      <c r="C687" s="197" t="s">
        <v>157</v>
      </c>
      <c r="D687" s="198">
        <v>287.8</v>
      </c>
      <c r="E687" s="199"/>
      <c r="F687" s="199"/>
      <c r="G687" s="200">
        <f t="shared" ref="G687" si="132">(D687*E687)+(D687*F687)</f>
        <v>0</v>
      </c>
      <c r="I687" s="19">
        <f>3.17+1.75*2</f>
        <v>6.67</v>
      </c>
      <c r="J687" s="19">
        <f>0.43*2+0.3*2+0.375+0.625</f>
        <v>2.46</v>
      </c>
      <c r="K687" s="19">
        <f>SUM(I687:J687)</f>
        <v>9.129999999999999</v>
      </c>
      <c r="L687" s="19">
        <f>K687*3.365*2</f>
        <v>61.444899999999997</v>
      </c>
      <c r="M687" s="19">
        <f>0.7*2*3</f>
        <v>4.1999999999999993</v>
      </c>
      <c r="N687" s="19"/>
      <c r="O687" s="19">
        <f>SUM(M687:N687)</f>
        <v>4.1999999999999993</v>
      </c>
      <c r="P687" s="19">
        <f>L687-O687</f>
        <v>57.244900000000001</v>
      </c>
      <c r="Q687" s="19">
        <f>L685+L686+P687+P686</f>
        <v>274.07905</v>
      </c>
      <c r="R687" s="19">
        <f>Q687*105%</f>
        <v>287.78300250000001</v>
      </c>
      <c r="S687" s="19"/>
      <c r="T687" s="19"/>
      <c r="U687" s="19"/>
    </row>
    <row r="688" spans="1:21" x14ac:dyDescent="0.2">
      <c r="A688" s="181"/>
      <c r="B688" s="177"/>
      <c r="C688" s="178"/>
      <c r="D688" s="179"/>
      <c r="E688" s="180"/>
      <c r="F688" s="180"/>
      <c r="G688" s="166"/>
    </row>
    <row r="689" spans="1:25" x14ac:dyDescent="0.2">
      <c r="A689" s="170" t="s">
        <v>173</v>
      </c>
      <c r="B689" s="234" t="s">
        <v>375</v>
      </c>
      <c r="C689" s="172"/>
      <c r="D689" s="173"/>
      <c r="E689" s="174"/>
      <c r="F689" s="174"/>
      <c r="G689" s="175"/>
    </row>
    <row r="690" spans="1:25" x14ac:dyDescent="0.2">
      <c r="A690" s="211" t="s">
        <v>109</v>
      </c>
      <c r="B690" s="235" t="s">
        <v>370</v>
      </c>
      <c r="C690" s="213"/>
      <c r="D690" s="214"/>
      <c r="E690" s="216"/>
      <c r="F690" s="216"/>
      <c r="G690" s="217"/>
      <c r="L690" s="46"/>
      <c r="P690" s="46"/>
      <c r="R690" s="46"/>
    </row>
    <row r="691" spans="1:25" ht="24" x14ac:dyDescent="0.2">
      <c r="A691" s="210" t="s">
        <v>188</v>
      </c>
      <c r="B691" s="196" t="s">
        <v>371</v>
      </c>
      <c r="C691" s="197" t="s">
        <v>157</v>
      </c>
      <c r="D691" s="240">
        <v>72.2</v>
      </c>
      <c r="E691" s="241"/>
      <c r="F691" s="241"/>
      <c r="G691" s="200">
        <f t="shared" ref="G691" si="133">(D691*E691)+(D691*F691)</f>
        <v>0</v>
      </c>
      <c r="I691" s="19">
        <f>8.3*2+3.52*2</f>
        <v>23.64</v>
      </c>
      <c r="J691" s="19">
        <f>I691*3.3</f>
        <v>78.012</v>
      </c>
      <c r="K691" s="19">
        <v>5.83</v>
      </c>
      <c r="L691" s="19">
        <f>J691-K691</f>
        <v>72.182000000000002</v>
      </c>
    </row>
    <row r="692" spans="1:25" ht="13.5" x14ac:dyDescent="0.2">
      <c r="A692" s="195" t="s">
        <v>189</v>
      </c>
      <c r="B692" s="236" t="s">
        <v>385</v>
      </c>
      <c r="C692" s="197" t="s">
        <v>157</v>
      </c>
      <c r="D692" s="240">
        <v>116.5</v>
      </c>
      <c r="E692" s="241"/>
      <c r="F692" s="241"/>
      <c r="G692" s="200">
        <f t="shared" ref="G692:G693" si="134">(D692*E692)+(D692*F692)</f>
        <v>0</v>
      </c>
    </row>
    <row r="693" spans="1:25" ht="13.5" x14ac:dyDescent="0.2">
      <c r="A693" s="195" t="s">
        <v>202</v>
      </c>
      <c r="B693" s="236" t="s">
        <v>386</v>
      </c>
      <c r="C693" s="197" t="s">
        <v>157</v>
      </c>
      <c r="D693" s="240">
        <v>58.1</v>
      </c>
      <c r="E693" s="241"/>
      <c r="F693" s="241"/>
      <c r="G693" s="200">
        <f t="shared" si="134"/>
        <v>0</v>
      </c>
    </row>
    <row r="694" spans="1:25" x14ac:dyDescent="0.2">
      <c r="A694" s="211" t="s">
        <v>161</v>
      </c>
      <c r="B694" s="235" t="s">
        <v>372</v>
      </c>
      <c r="C694" s="213"/>
      <c r="D694" s="214"/>
      <c r="E694" s="216"/>
      <c r="F694" s="216"/>
      <c r="G694" s="217"/>
    </row>
    <row r="695" spans="1:25" ht="24.75" customHeight="1" x14ac:dyDescent="0.2">
      <c r="A695" s="210" t="s">
        <v>188</v>
      </c>
      <c r="B695" s="196" t="s">
        <v>373</v>
      </c>
      <c r="C695" s="197" t="s">
        <v>157</v>
      </c>
      <c r="D695" s="198">
        <v>100.6</v>
      </c>
      <c r="E695" s="199"/>
      <c r="F695" s="199"/>
      <c r="G695" s="200">
        <f t="shared" ref="G695" si="135">(D695*E695)+(D695*F695)</f>
        <v>0</v>
      </c>
      <c r="H695" s="85"/>
      <c r="I695" s="19">
        <v>2.97</v>
      </c>
      <c r="J695" s="19">
        <f>I695*3.165*2</f>
        <v>18.8001</v>
      </c>
      <c r="K695" s="19">
        <f>0.95*2.945</f>
        <v>2.7977499999999997</v>
      </c>
      <c r="L695" s="19">
        <f>J695-K695</f>
        <v>16.00235</v>
      </c>
      <c r="V695" s="85"/>
      <c r="W695" s="85"/>
      <c r="X695" s="85"/>
      <c r="Y695" s="85"/>
    </row>
    <row r="696" spans="1:25" ht="12" customHeight="1" x14ac:dyDescent="0.2">
      <c r="A696" s="181"/>
      <c r="B696" s="177"/>
      <c r="C696" s="178"/>
      <c r="D696" s="179"/>
      <c r="E696" s="180"/>
      <c r="F696" s="180"/>
      <c r="G696" s="166"/>
      <c r="H696" s="85"/>
      <c r="J696" s="19">
        <f>0.43*2+0.3*2+0.375+0.625</f>
        <v>2.46</v>
      </c>
      <c r="K696" s="19">
        <f>SUM(I696:J696)</f>
        <v>2.46</v>
      </c>
      <c r="L696" s="19">
        <f>K696*3.165*2</f>
        <v>15.5718</v>
      </c>
      <c r="M696" s="19">
        <f>I691*3.165</f>
        <v>74.820599999999999</v>
      </c>
      <c r="N696" s="19">
        <f>M696+L695+L696</f>
        <v>106.39474999999999</v>
      </c>
      <c r="O696" s="19">
        <f>N696-K691</f>
        <v>100.56474999999999</v>
      </c>
      <c r="V696" s="85"/>
      <c r="W696" s="85"/>
      <c r="X696" s="85"/>
      <c r="Y696" s="85"/>
    </row>
    <row r="697" spans="1:25" ht="12" customHeight="1" x14ac:dyDescent="0.2">
      <c r="A697" s="239"/>
      <c r="B697" s="204"/>
      <c r="C697" s="205"/>
      <c r="D697" s="206"/>
      <c r="E697" s="207"/>
      <c r="F697" s="207"/>
      <c r="G697" s="208"/>
      <c r="H697" s="85"/>
      <c r="V697" s="85"/>
      <c r="W697" s="85"/>
      <c r="X697" s="85"/>
      <c r="Y697" s="85"/>
    </row>
    <row r="698" spans="1:25" x14ac:dyDescent="0.2">
      <c r="A698" s="290"/>
      <c r="B698" s="291" t="s">
        <v>167</v>
      </c>
      <c r="C698" s="292"/>
      <c r="D698" s="293"/>
      <c r="E698" s="294"/>
      <c r="F698" s="386"/>
      <c r="G698" s="224"/>
    </row>
    <row r="699" spans="1:25" x14ac:dyDescent="0.2">
      <c r="A699" s="335"/>
      <c r="B699" s="387" t="s">
        <v>245</v>
      </c>
      <c r="C699" s="388"/>
      <c r="D699" s="389"/>
      <c r="E699" s="390"/>
      <c r="F699" s="391"/>
      <c r="G699" s="385">
        <f>SUM(G621:G687)</f>
        <v>0</v>
      </c>
    </row>
    <row r="700" spans="1:25" x14ac:dyDescent="0.2">
      <c r="A700" s="290"/>
      <c r="B700" s="291"/>
      <c r="C700" s="292"/>
      <c r="D700" s="293"/>
      <c r="E700" s="294"/>
      <c r="F700" s="295"/>
      <c r="G700" s="313"/>
    </row>
    <row r="701" spans="1:25" x14ac:dyDescent="0.2">
      <c r="A701" s="314"/>
      <c r="B701" s="315" t="s">
        <v>107</v>
      </c>
      <c r="C701" s="316"/>
      <c r="D701" s="94"/>
      <c r="E701" s="317"/>
      <c r="F701" s="152"/>
      <c r="G701" s="301"/>
    </row>
    <row r="702" spans="1:25" x14ac:dyDescent="0.2">
      <c r="A702" s="314"/>
      <c r="B702" s="318" t="s">
        <v>108</v>
      </c>
      <c r="C702" s="316"/>
      <c r="D702" s="94"/>
      <c r="E702" s="317"/>
      <c r="F702" s="152"/>
      <c r="G702" s="301"/>
    </row>
    <row r="703" spans="1:25" x14ac:dyDescent="0.2">
      <c r="A703" s="319" t="s">
        <v>109</v>
      </c>
      <c r="B703" s="320" t="s">
        <v>44</v>
      </c>
      <c r="C703" s="321"/>
      <c r="D703" s="94"/>
      <c r="E703" s="300"/>
      <c r="F703" s="152"/>
      <c r="G703" s="301"/>
    </row>
    <row r="704" spans="1:25" ht="36" customHeight="1" x14ac:dyDescent="0.2">
      <c r="A704" s="319"/>
      <c r="B704" s="621" t="s">
        <v>152</v>
      </c>
      <c r="C704" s="621"/>
      <c r="D704" s="621"/>
      <c r="E704" s="621"/>
      <c r="F704" s="222"/>
      <c r="G704" s="223"/>
    </row>
    <row r="705" spans="1:13" ht="30.75" customHeight="1" x14ac:dyDescent="0.2">
      <c r="A705" s="319"/>
      <c r="B705" s="621" t="s">
        <v>151</v>
      </c>
      <c r="C705" s="621"/>
      <c r="D705" s="621"/>
      <c r="E705" s="621"/>
      <c r="F705" s="222"/>
      <c r="G705" s="223"/>
    </row>
    <row r="706" spans="1:13" ht="54" customHeight="1" x14ac:dyDescent="0.2">
      <c r="A706" s="322"/>
      <c r="B706" s="607" t="s">
        <v>153</v>
      </c>
      <c r="C706" s="607"/>
      <c r="D706" s="607"/>
      <c r="E706" s="607"/>
      <c r="F706" s="323"/>
      <c r="G706" s="324"/>
    </row>
    <row r="707" spans="1:13" x14ac:dyDescent="0.2">
      <c r="A707" s="246" t="s">
        <v>161</v>
      </c>
      <c r="B707" s="247" t="s">
        <v>257</v>
      </c>
      <c r="C707" s="248"/>
      <c r="D707" s="249"/>
      <c r="E707" s="250"/>
      <c r="F707" s="251"/>
      <c r="G707" s="252"/>
    </row>
    <row r="708" spans="1:13" x14ac:dyDescent="0.2">
      <c r="A708" s="245"/>
      <c r="B708" s="253" t="s">
        <v>162</v>
      </c>
      <c r="C708" s="244"/>
      <c r="D708" s="242"/>
      <c r="E708" s="105"/>
      <c r="F708" s="180"/>
      <c r="G708" s="166"/>
    </row>
    <row r="709" spans="1:13" x14ac:dyDescent="0.2">
      <c r="A709" s="254" t="s">
        <v>169</v>
      </c>
      <c r="B709" s="255" t="s">
        <v>66</v>
      </c>
      <c r="C709" s="182"/>
      <c r="D709" s="256"/>
      <c r="E709" s="257"/>
      <c r="F709" s="184"/>
      <c r="G709" s="185"/>
    </row>
    <row r="710" spans="1:13" ht="13.5" x14ac:dyDescent="0.2">
      <c r="A710" s="245"/>
      <c r="B710" s="253" t="s">
        <v>575</v>
      </c>
      <c r="C710" s="178" t="s">
        <v>157</v>
      </c>
      <c r="D710" s="40">
        <v>119.55</v>
      </c>
      <c r="E710" s="180"/>
      <c r="F710" s="180"/>
      <c r="G710" s="166">
        <f t="shared" ref="G710:G714" si="136">(D710*E710)+(D710*F710)</f>
        <v>0</v>
      </c>
      <c r="I710" s="19">
        <f>23.52*3.675</f>
        <v>86.435999999999993</v>
      </c>
      <c r="J710" s="19">
        <f>8.225*4.025</f>
        <v>33.105625000000003</v>
      </c>
      <c r="K710" s="19">
        <f>SUM(I710:J710)</f>
        <v>119.541625</v>
      </c>
    </row>
    <row r="711" spans="1:13" ht="13.5" x14ac:dyDescent="0.2">
      <c r="A711" s="245"/>
      <c r="B711" s="253" t="s">
        <v>515</v>
      </c>
      <c r="C711" s="178" t="s">
        <v>157</v>
      </c>
      <c r="D711" s="40">
        <v>89.5</v>
      </c>
      <c r="E711" s="105"/>
      <c r="F711" s="180"/>
      <c r="G711" s="166">
        <f t="shared" si="136"/>
        <v>0</v>
      </c>
      <c r="I711" s="45">
        <f>11.775*7.925</f>
        <v>93.316874999999996</v>
      </c>
      <c r="J711" s="19">
        <f>2*1.925</f>
        <v>3.85</v>
      </c>
      <c r="K711" s="84">
        <f>I711-J711</f>
        <v>89.466875000000002</v>
      </c>
      <c r="L711" s="19">
        <v>89.5</v>
      </c>
    </row>
    <row r="712" spans="1:13" ht="13.5" x14ac:dyDescent="0.2">
      <c r="A712" s="245"/>
      <c r="B712" s="253" t="s">
        <v>516</v>
      </c>
      <c r="C712" s="178" t="s">
        <v>157</v>
      </c>
      <c r="D712" s="40">
        <v>28.25</v>
      </c>
      <c r="E712" s="105"/>
      <c r="F712" s="180"/>
      <c r="G712" s="166">
        <f t="shared" ref="G712" si="137">(D712*E712)+(D712*F712)</f>
        <v>0</v>
      </c>
      <c r="I712" s="45">
        <f>7.925*3.825</f>
        <v>30.313124999999999</v>
      </c>
      <c r="J712" s="19">
        <f>1.925*2</f>
        <v>3.85</v>
      </c>
      <c r="K712" s="45">
        <f>SUM(I712:J712)</f>
        <v>34.163125000000001</v>
      </c>
      <c r="L712" s="19">
        <f>2.625*2.265</f>
        <v>5.9456250000000006</v>
      </c>
      <c r="M712" s="84">
        <f>K712-L712</f>
        <v>28.217500000000001</v>
      </c>
    </row>
    <row r="713" spans="1:13" ht="13.5" x14ac:dyDescent="0.2">
      <c r="A713" s="245"/>
      <c r="B713" s="253" t="s">
        <v>574</v>
      </c>
      <c r="C713" s="178" t="s">
        <v>157</v>
      </c>
      <c r="D713" s="40">
        <v>28.64</v>
      </c>
      <c r="E713" s="105"/>
      <c r="F713" s="180"/>
      <c r="G713" s="166">
        <f t="shared" si="136"/>
        <v>0</v>
      </c>
      <c r="I713" s="45">
        <f>2.475*2.114</f>
        <v>5.2321499999999999</v>
      </c>
      <c r="J713" s="19">
        <f>3.07*7.625</f>
        <v>23.408749999999998</v>
      </c>
      <c r="K713" s="45">
        <f>SUM(I713:J713)</f>
        <v>28.640899999999998</v>
      </c>
    </row>
    <row r="714" spans="1:13" ht="13.5" x14ac:dyDescent="0.2">
      <c r="A714" s="245"/>
      <c r="B714" s="253" t="s">
        <v>249</v>
      </c>
      <c r="C714" s="178" t="s">
        <v>157</v>
      </c>
      <c r="D714" s="40">
        <v>21</v>
      </c>
      <c r="E714" s="105"/>
      <c r="F714" s="180"/>
      <c r="G714" s="166">
        <f t="shared" si="136"/>
        <v>0</v>
      </c>
      <c r="I714" s="45"/>
      <c r="L714" s="45"/>
    </row>
    <row r="715" spans="1:13" x14ac:dyDescent="0.2">
      <c r="A715" s="254" t="s">
        <v>171</v>
      </c>
      <c r="B715" s="255" t="s">
        <v>68</v>
      </c>
      <c r="C715" s="182"/>
      <c r="D715" s="256"/>
      <c r="E715" s="257"/>
      <c r="F715" s="184"/>
      <c r="G715" s="185"/>
    </row>
    <row r="716" spans="1:13" ht="13.5" x14ac:dyDescent="0.2">
      <c r="A716" s="245"/>
      <c r="B716" s="253" t="s">
        <v>376</v>
      </c>
      <c r="C716" s="178" t="s">
        <v>157</v>
      </c>
      <c r="D716" s="40">
        <v>87.7</v>
      </c>
      <c r="E716" s="180"/>
      <c r="F716" s="180"/>
      <c r="G716" s="166">
        <f t="shared" ref="G716:G721" si="138">(D716*E716)+(D716*F716)</f>
        <v>0</v>
      </c>
    </row>
    <row r="717" spans="1:13" ht="13.5" x14ac:dyDescent="0.2">
      <c r="A717" s="245"/>
      <c r="B717" s="253" t="s">
        <v>377</v>
      </c>
      <c r="C717" s="178" t="s">
        <v>157</v>
      </c>
      <c r="D717" s="40">
        <f>59.3+59.7</f>
        <v>119</v>
      </c>
      <c r="E717" s="105"/>
      <c r="F717" s="180"/>
      <c r="G717" s="166">
        <f t="shared" si="138"/>
        <v>0</v>
      </c>
      <c r="I717" s="45">
        <f>59.3+59.674</f>
        <v>118.97399999999999</v>
      </c>
    </row>
    <row r="718" spans="1:13" ht="13.5" x14ac:dyDescent="0.2">
      <c r="A718" s="245"/>
      <c r="B718" s="253" t="s">
        <v>378</v>
      </c>
      <c r="C718" s="178" t="s">
        <v>157</v>
      </c>
      <c r="D718" s="40">
        <f>30.8</f>
        <v>30.8</v>
      </c>
      <c r="E718" s="105"/>
      <c r="F718" s="180"/>
      <c r="G718" s="166">
        <f t="shared" si="138"/>
        <v>0</v>
      </c>
      <c r="I718" s="45"/>
    </row>
    <row r="719" spans="1:13" ht="13.5" x14ac:dyDescent="0.2">
      <c r="A719" s="245"/>
      <c r="B719" s="253" t="s">
        <v>379</v>
      </c>
      <c r="C719" s="178" t="s">
        <v>157</v>
      </c>
      <c r="D719" s="40">
        <v>4.75</v>
      </c>
      <c r="E719" s="105"/>
      <c r="F719" s="180"/>
      <c r="G719" s="166">
        <f t="shared" si="138"/>
        <v>0</v>
      </c>
      <c r="I719" s="45"/>
    </row>
    <row r="720" spans="1:13" ht="13.5" x14ac:dyDescent="0.2">
      <c r="A720" s="245"/>
      <c r="B720" s="253" t="s">
        <v>380</v>
      </c>
      <c r="C720" s="178" t="s">
        <v>157</v>
      </c>
      <c r="D720" s="40">
        <v>4.6500000000000004</v>
      </c>
      <c r="E720" s="105"/>
      <c r="F720" s="180"/>
      <c r="G720" s="166">
        <f t="shared" si="138"/>
        <v>0</v>
      </c>
      <c r="I720" s="45">
        <f>1.75*0.875</f>
        <v>1.53125</v>
      </c>
      <c r="J720" s="19">
        <f>1.75*0.9</f>
        <v>1.575</v>
      </c>
      <c r="K720" s="19">
        <f>1.52</f>
        <v>1.52</v>
      </c>
      <c r="L720" s="45">
        <f>SUM(I720:K720)</f>
        <v>4.6262500000000006</v>
      </c>
    </row>
    <row r="721" spans="1:14" ht="13.5" x14ac:dyDescent="0.2">
      <c r="A721" s="245"/>
      <c r="B721" s="253" t="s">
        <v>249</v>
      </c>
      <c r="C721" s="178" t="s">
        <v>157</v>
      </c>
      <c r="D721" s="40">
        <v>21</v>
      </c>
      <c r="E721" s="105"/>
      <c r="F721" s="180"/>
      <c r="G721" s="166">
        <f t="shared" si="138"/>
        <v>0</v>
      </c>
    </row>
    <row r="722" spans="1:14" x14ac:dyDescent="0.2">
      <c r="A722" s="254" t="s">
        <v>56</v>
      </c>
      <c r="B722" s="255" t="s">
        <v>69</v>
      </c>
      <c r="C722" s="258"/>
      <c r="D722" s="259"/>
      <c r="E722" s="257"/>
      <c r="F722" s="184"/>
      <c r="G722" s="185"/>
    </row>
    <row r="723" spans="1:14" ht="13.5" x14ac:dyDescent="0.2">
      <c r="A723" s="245"/>
      <c r="B723" s="253" t="s">
        <v>376</v>
      </c>
      <c r="C723" s="178" t="s">
        <v>157</v>
      </c>
      <c r="D723" s="40">
        <v>87.7</v>
      </c>
      <c r="E723" s="180"/>
      <c r="F723" s="180"/>
      <c r="G723" s="166">
        <f t="shared" ref="G723:G727" si="139">(D723*E723)+(D723*F723)</f>
        <v>0</v>
      </c>
      <c r="M723" s="19">
        <f>1.9*1.2</f>
        <v>2.2799999999999998</v>
      </c>
      <c r="N723" s="19">
        <f>SUM(I723:M723)</f>
        <v>2.2799999999999998</v>
      </c>
    </row>
    <row r="724" spans="1:14" ht="13.5" x14ac:dyDescent="0.2">
      <c r="A724" s="245"/>
      <c r="B724" s="253" t="s">
        <v>381</v>
      </c>
      <c r="C724" s="178" t="s">
        <v>157</v>
      </c>
      <c r="D724" s="40">
        <v>152.1</v>
      </c>
      <c r="E724" s="105"/>
      <c r="F724" s="180"/>
      <c r="G724" s="166">
        <f t="shared" si="139"/>
        <v>0</v>
      </c>
      <c r="I724" s="45"/>
    </row>
    <row r="725" spans="1:14" ht="13.5" x14ac:dyDescent="0.2">
      <c r="A725" s="245"/>
      <c r="B725" s="253" t="s">
        <v>379</v>
      </c>
      <c r="C725" s="178" t="s">
        <v>157</v>
      </c>
      <c r="D725" s="40">
        <v>4.75</v>
      </c>
      <c r="E725" s="105"/>
      <c r="F725" s="180"/>
      <c r="G725" s="166">
        <f t="shared" si="139"/>
        <v>0</v>
      </c>
      <c r="I725" s="45"/>
      <c r="M725" s="46">
        <f>SUM(I725:L725)</f>
        <v>0</v>
      </c>
    </row>
    <row r="726" spans="1:14" ht="13.5" x14ac:dyDescent="0.2">
      <c r="A726" s="245"/>
      <c r="B726" s="253" t="s">
        <v>380</v>
      </c>
      <c r="C726" s="178" t="s">
        <v>157</v>
      </c>
      <c r="D726" s="40">
        <v>4.6500000000000004</v>
      </c>
      <c r="E726" s="105"/>
      <c r="F726" s="180"/>
      <c r="G726" s="166">
        <f t="shared" si="139"/>
        <v>0</v>
      </c>
      <c r="I726" s="45">
        <f>1.75*0.875</f>
        <v>1.53125</v>
      </c>
      <c r="J726" s="19">
        <f>1.75*0.9</f>
        <v>1.575</v>
      </c>
      <c r="K726" s="19">
        <f>1.52</f>
        <v>1.52</v>
      </c>
      <c r="L726" s="45">
        <f>SUM(I726:K726)</f>
        <v>4.6262500000000006</v>
      </c>
    </row>
    <row r="727" spans="1:14" ht="13.5" x14ac:dyDescent="0.2">
      <c r="A727" s="245"/>
      <c r="B727" s="253" t="s">
        <v>249</v>
      </c>
      <c r="C727" s="178" t="s">
        <v>157</v>
      </c>
      <c r="D727" s="40">
        <v>12</v>
      </c>
      <c r="E727" s="105"/>
      <c r="F727" s="180"/>
      <c r="G727" s="166">
        <f t="shared" si="139"/>
        <v>0</v>
      </c>
    </row>
    <row r="728" spans="1:14" x14ac:dyDescent="0.2">
      <c r="A728" s="254" t="s">
        <v>172</v>
      </c>
      <c r="B728" s="255" t="s">
        <v>382</v>
      </c>
      <c r="C728" s="258"/>
      <c r="D728" s="259"/>
      <c r="E728" s="257"/>
      <c r="F728" s="184"/>
      <c r="G728" s="185"/>
    </row>
    <row r="729" spans="1:14" ht="13.5" x14ac:dyDescent="0.2">
      <c r="A729" s="245"/>
      <c r="B729" s="253" t="s">
        <v>383</v>
      </c>
      <c r="C729" s="178" t="s">
        <v>157</v>
      </c>
      <c r="D729" s="40">
        <v>13.31</v>
      </c>
      <c r="E729" s="180"/>
      <c r="F729" s="180"/>
      <c r="G729" s="166">
        <f t="shared" ref="G729:G731" si="140">(D729*E729)+(D729*F729)</f>
        <v>0</v>
      </c>
      <c r="M729" s="19">
        <f>1.9*1.2</f>
        <v>2.2799999999999998</v>
      </c>
      <c r="N729" s="19">
        <f>SUM(I729:M729)</f>
        <v>2.2799999999999998</v>
      </c>
    </row>
    <row r="730" spans="1:14" ht="13.5" x14ac:dyDescent="0.2">
      <c r="A730" s="245"/>
      <c r="B730" s="253" t="s">
        <v>384</v>
      </c>
      <c r="C730" s="178" t="s">
        <v>157</v>
      </c>
      <c r="D730" s="40">
        <v>36</v>
      </c>
      <c r="E730" s="105"/>
      <c r="F730" s="180"/>
      <c r="G730" s="166">
        <f t="shared" si="140"/>
        <v>0</v>
      </c>
      <c r="I730" s="45"/>
    </row>
    <row r="731" spans="1:14" ht="13.5" x14ac:dyDescent="0.2">
      <c r="A731" s="245"/>
      <c r="B731" s="253" t="s">
        <v>288</v>
      </c>
      <c r="C731" s="178" t="s">
        <v>157</v>
      </c>
      <c r="D731" s="40">
        <v>29</v>
      </c>
      <c r="E731" s="105"/>
      <c r="F731" s="180"/>
      <c r="G731" s="166">
        <f t="shared" si="140"/>
        <v>0</v>
      </c>
      <c r="I731" s="45"/>
    </row>
    <row r="732" spans="1:14" x14ac:dyDescent="0.2">
      <c r="A732" s="245"/>
      <c r="B732" s="253"/>
      <c r="C732" s="39"/>
      <c r="D732" s="40"/>
      <c r="E732" s="105"/>
      <c r="F732" s="180"/>
      <c r="G732" s="166"/>
      <c r="J732" s="84"/>
    </row>
    <row r="733" spans="1:14" x14ac:dyDescent="0.2">
      <c r="A733" s="246" t="s">
        <v>163</v>
      </c>
      <c r="B733" s="247" t="s">
        <v>164</v>
      </c>
      <c r="C733" s="260"/>
      <c r="D733" s="261"/>
      <c r="E733" s="250"/>
      <c r="F733" s="251"/>
      <c r="G733" s="252"/>
    </row>
    <row r="734" spans="1:14" x14ac:dyDescent="0.2">
      <c r="A734" s="254" t="s">
        <v>169</v>
      </c>
      <c r="B734" s="255" t="s">
        <v>66</v>
      </c>
      <c r="C734" s="182"/>
      <c r="D734" s="256"/>
      <c r="E734" s="257"/>
      <c r="F734" s="184"/>
      <c r="G734" s="185"/>
    </row>
    <row r="735" spans="1:14" ht="13.5" x14ac:dyDescent="0.2">
      <c r="A735" s="245"/>
      <c r="B735" s="253" t="s">
        <v>387</v>
      </c>
      <c r="C735" s="178" t="s">
        <v>157</v>
      </c>
      <c r="D735" s="40">
        <f>D710</f>
        <v>119.55</v>
      </c>
      <c r="E735" s="180"/>
      <c r="F735" s="180"/>
      <c r="G735" s="166">
        <f t="shared" ref="G735:G739" si="141">(D735*E735)+(D735*F735)</f>
        <v>0</v>
      </c>
      <c r="I735" s="83"/>
      <c r="J735" s="42"/>
      <c r="K735" s="26"/>
    </row>
    <row r="736" spans="1:14" ht="13.5" x14ac:dyDescent="0.2">
      <c r="A736" s="245"/>
      <c r="B736" s="253" t="s">
        <v>518</v>
      </c>
      <c r="C736" s="178" t="s">
        <v>157</v>
      </c>
      <c r="D736" s="40">
        <f>D711</f>
        <v>89.5</v>
      </c>
      <c r="E736" s="105"/>
      <c r="F736" s="180"/>
      <c r="G736" s="166">
        <f t="shared" si="141"/>
        <v>0</v>
      </c>
      <c r="I736" s="83"/>
      <c r="J736" s="42"/>
      <c r="K736" s="26"/>
    </row>
    <row r="737" spans="1:16" ht="13.5" x14ac:dyDescent="0.2">
      <c r="A737" s="245"/>
      <c r="B737" s="253" t="s">
        <v>517</v>
      </c>
      <c r="C737" s="178" t="s">
        <v>157</v>
      </c>
      <c r="D737" s="40">
        <f>D712</f>
        <v>28.25</v>
      </c>
      <c r="E737" s="105"/>
      <c r="F737" s="180"/>
      <c r="G737" s="166">
        <f t="shared" si="141"/>
        <v>0</v>
      </c>
      <c r="I737" s="153"/>
      <c r="J737" s="42"/>
      <c r="K737" s="26"/>
    </row>
    <row r="738" spans="1:16" ht="13.5" x14ac:dyDescent="0.2">
      <c r="A738" s="245"/>
      <c r="B738" s="253" t="s">
        <v>388</v>
      </c>
      <c r="C738" s="178" t="s">
        <v>157</v>
      </c>
      <c r="D738" s="40">
        <v>28.64</v>
      </c>
      <c r="E738" s="105"/>
      <c r="F738" s="180"/>
      <c r="G738" s="166">
        <f t="shared" si="141"/>
        <v>0</v>
      </c>
      <c r="I738" s="83"/>
      <c r="J738" s="42"/>
      <c r="K738" s="26"/>
    </row>
    <row r="739" spans="1:16" ht="13.5" x14ac:dyDescent="0.2">
      <c r="A739" s="245"/>
      <c r="B739" s="253" t="s">
        <v>389</v>
      </c>
      <c r="C739" s="178" t="s">
        <v>157</v>
      </c>
      <c r="D739" s="40">
        <v>21</v>
      </c>
      <c r="E739" s="105"/>
      <c r="F739" s="180"/>
      <c r="G739" s="166">
        <f t="shared" si="141"/>
        <v>0</v>
      </c>
      <c r="I739" s="83"/>
      <c r="J739" s="42"/>
      <c r="K739" s="26"/>
    </row>
    <row r="740" spans="1:16" x14ac:dyDescent="0.2">
      <c r="A740" s="254" t="s">
        <v>171</v>
      </c>
      <c r="B740" s="255" t="s">
        <v>68</v>
      </c>
      <c r="C740" s="182"/>
      <c r="D740" s="256"/>
      <c r="E740" s="257"/>
      <c r="F740" s="184"/>
      <c r="G740" s="185"/>
    </row>
    <row r="741" spans="1:16" ht="13.5" x14ac:dyDescent="0.2">
      <c r="A741" s="245"/>
      <c r="B741" s="253" t="s">
        <v>387</v>
      </c>
      <c r="C741" s="178" t="s">
        <v>157</v>
      </c>
      <c r="D741" s="40">
        <f>D716</f>
        <v>87.7</v>
      </c>
      <c r="E741" s="180"/>
      <c r="F741" s="180"/>
      <c r="G741" s="166">
        <f t="shared" ref="G741:G746" si="142">(D741*E741)+(D741*F741)</f>
        <v>0</v>
      </c>
    </row>
    <row r="742" spans="1:16" ht="13.5" x14ac:dyDescent="0.2">
      <c r="A742" s="245"/>
      <c r="B742" s="253" t="s">
        <v>390</v>
      </c>
      <c r="C742" s="178" t="s">
        <v>157</v>
      </c>
      <c r="D742" s="40">
        <f>59.3+59.7</f>
        <v>119</v>
      </c>
      <c r="E742" s="105"/>
      <c r="F742" s="180"/>
      <c r="G742" s="166">
        <f t="shared" si="142"/>
        <v>0</v>
      </c>
      <c r="I742" s="83"/>
      <c r="J742" s="42"/>
      <c r="K742" s="26"/>
      <c r="L742" s="57"/>
      <c r="M742" s="43"/>
      <c r="N742" s="43"/>
      <c r="O742" s="43"/>
      <c r="P742" s="44"/>
    </row>
    <row r="743" spans="1:16" ht="26.25" customHeight="1" x14ac:dyDescent="0.2">
      <c r="A743" s="245"/>
      <c r="B743" s="253" t="s">
        <v>391</v>
      </c>
      <c r="C743" s="178" t="s">
        <v>157</v>
      </c>
      <c r="D743" s="40">
        <f>30.8</f>
        <v>30.8</v>
      </c>
      <c r="E743" s="105"/>
      <c r="F743" s="180"/>
      <c r="G743" s="166">
        <f t="shared" si="142"/>
        <v>0</v>
      </c>
      <c r="I743" s="83"/>
      <c r="J743" s="42"/>
      <c r="K743" s="26"/>
      <c r="L743" s="57"/>
      <c r="M743" s="43"/>
      <c r="N743" s="43"/>
      <c r="O743" s="43"/>
      <c r="P743" s="44"/>
    </row>
    <row r="744" spans="1:16" ht="13.5" customHeight="1" x14ac:dyDescent="0.2">
      <c r="A744" s="245"/>
      <c r="B744" s="253" t="s">
        <v>392</v>
      </c>
      <c r="C744" s="178" t="s">
        <v>157</v>
      </c>
      <c r="D744" s="40">
        <v>9.4</v>
      </c>
      <c r="E744" s="105"/>
      <c r="F744" s="180"/>
      <c r="G744" s="166">
        <f t="shared" si="142"/>
        <v>0</v>
      </c>
      <c r="I744" s="107"/>
      <c r="J744" s="42"/>
      <c r="K744" s="26"/>
      <c r="L744" s="57"/>
      <c r="M744" s="43"/>
      <c r="N744" s="43"/>
      <c r="O744" s="43"/>
      <c r="P744" s="44"/>
    </row>
    <row r="745" spans="1:16" ht="13.5" customHeight="1" x14ac:dyDescent="0.2">
      <c r="A745" s="245"/>
      <c r="B745" s="253" t="s">
        <v>393</v>
      </c>
      <c r="C745" s="178" t="s">
        <v>157</v>
      </c>
      <c r="D745" s="40">
        <v>74</v>
      </c>
      <c r="E745" s="105"/>
      <c r="F745" s="180"/>
      <c r="G745" s="166">
        <f t="shared" si="142"/>
        <v>0</v>
      </c>
      <c r="I745" s="89">
        <f>5*1.4</f>
        <v>7</v>
      </c>
      <c r="J745" s="42"/>
      <c r="K745" s="26"/>
      <c r="L745" s="57"/>
      <c r="M745" s="43"/>
      <c r="N745" s="43"/>
      <c r="O745" s="43"/>
      <c r="P745" s="44"/>
    </row>
    <row r="746" spans="1:16" ht="13.5" customHeight="1" x14ac:dyDescent="0.2">
      <c r="A746" s="245"/>
      <c r="B746" s="253" t="s">
        <v>249</v>
      </c>
      <c r="C746" s="178" t="s">
        <v>157</v>
      </c>
      <c r="D746" s="40">
        <v>21</v>
      </c>
      <c r="E746" s="105"/>
      <c r="F746" s="180"/>
      <c r="G746" s="166">
        <f t="shared" si="142"/>
        <v>0</v>
      </c>
      <c r="I746" s="89"/>
      <c r="J746" s="42"/>
      <c r="K746" s="26"/>
      <c r="L746" s="57"/>
      <c r="M746" s="43"/>
      <c r="N746" s="43"/>
      <c r="O746" s="43"/>
      <c r="P746" s="44"/>
    </row>
    <row r="747" spans="1:16" ht="13.5" customHeight="1" x14ac:dyDescent="0.2">
      <c r="A747" s="645"/>
      <c r="B747" s="263"/>
      <c r="C747" s="264"/>
      <c r="D747" s="265"/>
      <c r="E747" s="375"/>
      <c r="F747" s="207"/>
      <c r="G747" s="208"/>
      <c r="I747" s="89"/>
      <c r="J747" s="42"/>
      <c r="K747" s="26"/>
      <c r="L747" s="57"/>
      <c r="M747" s="43"/>
      <c r="N747" s="43"/>
      <c r="O747" s="43"/>
      <c r="P747" s="44"/>
    </row>
    <row r="748" spans="1:16" ht="13.5" customHeight="1" x14ac:dyDescent="0.2">
      <c r="A748" s="254" t="s">
        <v>56</v>
      </c>
      <c r="B748" s="255" t="s">
        <v>69</v>
      </c>
      <c r="C748" s="258"/>
      <c r="D748" s="259"/>
      <c r="E748" s="257"/>
      <c r="F748" s="184"/>
      <c r="G748" s="185"/>
      <c r="I748" s="83"/>
      <c r="J748" s="42"/>
      <c r="K748" s="26"/>
      <c r="L748" s="57"/>
      <c r="M748" s="43"/>
      <c r="N748" s="43"/>
      <c r="O748" s="43"/>
      <c r="P748" s="44"/>
    </row>
    <row r="749" spans="1:16" ht="13.5" x14ac:dyDescent="0.2">
      <c r="A749" s="245"/>
      <c r="B749" s="253" t="s">
        <v>387</v>
      </c>
      <c r="C749" s="178" t="s">
        <v>157</v>
      </c>
      <c r="D749" s="40">
        <f>D723</f>
        <v>87.7</v>
      </c>
      <c r="E749" s="180"/>
      <c r="F749" s="180"/>
      <c r="G749" s="166">
        <f t="shared" ref="G749:G753" si="143">(D749*E749)+(D749*F749)</f>
        <v>0</v>
      </c>
      <c r="I749" s="83"/>
      <c r="J749" s="42"/>
      <c r="K749" s="26"/>
      <c r="L749" s="57"/>
      <c r="M749" s="43"/>
      <c r="N749" s="43"/>
      <c r="O749" s="43"/>
      <c r="P749" s="44"/>
    </row>
    <row r="750" spans="1:16" ht="24" x14ac:dyDescent="0.2">
      <c r="A750" s="245"/>
      <c r="B750" s="253" t="s">
        <v>394</v>
      </c>
      <c r="C750" s="178" t="s">
        <v>157</v>
      </c>
      <c r="D750" s="40">
        <v>152.1</v>
      </c>
      <c r="E750" s="105"/>
      <c r="F750" s="180"/>
      <c r="G750" s="166">
        <f t="shared" si="143"/>
        <v>0</v>
      </c>
      <c r="I750" s="83"/>
      <c r="J750" s="42"/>
      <c r="K750" s="26"/>
      <c r="L750" s="57"/>
      <c r="M750" s="43"/>
      <c r="N750" s="43"/>
      <c r="O750" s="43"/>
      <c r="P750" s="44"/>
    </row>
    <row r="751" spans="1:16" ht="13.5" x14ac:dyDescent="0.2">
      <c r="A751" s="245"/>
      <c r="B751" s="253" t="s">
        <v>392</v>
      </c>
      <c r="C751" s="178" t="s">
        <v>157</v>
      </c>
      <c r="D751" s="40">
        <v>9.4</v>
      </c>
      <c r="E751" s="105"/>
      <c r="F751" s="180"/>
      <c r="G751" s="166">
        <f t="shared" si="143"/>
        <v>0</v>
      </c>
    </row>
    <row r="752" spans="1:16" ht="13.5" x14ac:dyDescent="0.2">
      <c r="A752" s="245"/>
      <c r="B752" s="253" t="s">
        <v>393</v>
      </c>
      <c r="C752" s="178" t="s">
        <v>157</v>
      </c>
      <c r="D752" s="40">
        <v>74</v>
      </c>
      <c r="E752" s="105"/>
      <c r="F752" s="180"/>
      <c r="G752" s="166">
        <f t="shared" si="143"/>
        <v>0</v>
      </c>
    </row>
    <row r="753" spans="1:10" ht="13.5" x14ac:dyDescent="0.2">
      <c r="A753" s="245"/>
      <c r="B753" s="253" t="s">
        <v>249</v>
      </c>
      <c r="C753" s="178" t="s">
        <v>157</v>
      </c>
      <c r="D753" s="40">
        <v>12</v>
      </c>
      <c r="E753" s="105"/>
      <c r="F753" s="180"/>
      <c r="G753" s="166">
        <f t="shared" si="143"/>
        <v>0</v>
      </c>
    </row>
    <row r="754" spans="1:10" x14ac:dyDescent="0.2">
      <c r="A754" s="245"/>
      <c r="B754" s="253"/>
      <c r="C754" s="178"/>
      <c r="D754" s="40"/>
      <c r="E754" s="105"/>
      <c r="F754" s="180"/>
      <c r="G754" s="166"/>
      <c r="I754" s="19">
        <f>13.9*2.6</f>
        <v>36.14</v>
      </c>
    </row>
    <row r="755" spans="1:10" x14ac:dyDescent="0.2">
      <c r="A755" s="254" t="s">
        <v>172</v>
      </c>
      <c r="B755" s="255" t="s">
        <v>382</v>
      </c>
      <c r="C755" s="258"/>
      <c r="D755" s="259"/>
      <c r="E755" s="257"/>
      <c r="F755" s="184"/>
      <c r="G755" s="185"/>
    </row>
    <row r="756" spans="1:10" ht="24.75" customHeight="1" x14ac:dyDescent="0.2">
      <c r="A756" s="245"/>
      <c r="B756" s="253" t="s">
        <v>395</v>
      </c>
      <c r="C756" s="178" t="s">
        <v>157</v>
      </c>
      <c r="D756" s="40">
        <v>13.31</v>
      </c>
      <c r="E756" s="180"/>
      <c r="F756" s="180"/>
      <c r="G756" s="166">
        <f t="shared" ref="G756" si="144">(D756*E756)+(D756*F756)</f>
        <v>0</v>
      </c>
      <c r="I756" s="84"/>
      <c r="J756" s="84"/>
    </row>
    <row r="757" spans="1:10" x14ac:dyDescent="0.2">
      <c r="A757" s="245"/>
      <c r="B757" s="253"/>
      <c r="C757" s="39"/>
      <c r="D757" s="40"/>
      <c r="E757" s="180"/>
      <c r="F757" s="180"/>
      <c r="G757" s="166"/>
      <c r="I757" s="84"/>
      <c r="J757" s="84"/>
    </row>
    <row r="758" spans="1:10" x14ac:dyDescent="0.2">
      <c r="A758" s="246" t="s">
        <v>193</v>
      </c>
      <c r="B758" s="247" t="s">
        <v>263</v>
      </c>
      <c r="C758" s="260"/>
      <c r="D758" s="261"/>
      <c r="E758" s="250"/>
      <c r="F758" s="251"/>
      <c r="G758" s="252"/>
    </row>
    <row r="759" spans="1:10" ht="48" x14ac:dyDescent="0.2">
      <c r="A759" s="194" t="s">
        <v>188</v>
      </c>
      <c r="B759" s="253" t="s">
        <v>397</v>
      </c>
      <c r="C759" s="39" t="s">
        <v>17</v>
      </c>
      <c r="D759" s="40">
        <v>1</v>
      </c>
      <c r="E759" s="180"/>
      <c r="F759" s="180"/>
      <c r="G759" s="166">
        <f>(D759*E759)+(D759*F759)</f>
        <v>0</v>
      </c>
    </row>
    <row r="760" spans="1:10" x14ac:dyDescent="0.2">
      <c r="A760" s="193"/>
      <c r="B760" s="253"/>
      <c r="C760" s="39"/>
      <c r="D760" s="40"/>
      <c r="E760" s="180"/>
      <c r="F760" s="180"/>
      <c r="G760" s="166"/>
    </row>
    <row r="761" spans="1:10" ht="48" x14ac:dyDescent="0.2">
      <c r="A761" s="194" t="s">
        <v>189</v>
      </c>
      <c r="B761" s="253" t="s">
        <v>396</v>
      </c>
      <c r="C761" s="39" t="s">
        <v>17</v>
      </c>
      <c r="D761" s="40">
        <v>1</v>
      </c>
      <c r="E761" s="180"/>
      <c r="F761" s="180"/>
      <c r="G761" s="166">
        <f>(D761*E761)+(D761*F761)</f>
        <v>0</v>
      </c>
    </row>
    <row r="762" spans="1:10" x14ac:dyDescent="0.2">
      <c r="A762" s="193"/>
      <c r="B762" s="253"/>
      <c r="C762" s="39"/>
      <c r="D762" s="40"/>
      <c r="E762" s="180"/>
      <c r="F762" s="180"/>
      <c r="G762" s="166"/>
    </row>
    <row r="763" spans="1:10" x14ac:dyDescent="0.2">
      <c r="A763" s="193"/>
      <c r="B763" s="253"/>
      <c r="C763" s="39"/>
      <c r="D763" s="40"/>
      <c r="E763" s="180"/>
      <c r="F763" s="180"/>
      <c r="G763" s="166"/>
    </row>
    <row r="764" spans="1:10" x14ac:dyDescent="0.2">
      <c r="A764" s="193"/>
      <c r="B764" s="253"/>
      <c r="C764" s="39"/>
      <c r="D764" s="40"/>
      <c r="E764" s="180"/>
      <c r="F764" s="180"/>
      <c r="G764" s="166"/>
    </row>
    <row r="765" spans="1:10" x14ac:dyDescent="0.2">
      <c r="A765" s="193"/>
      <c r="B765" s="253"/>
      <c r="C765" s="39"/>
      <c r="D765" s="40"/>
      <c r="E765" s="180"/>
      <c r="F765" s="180"/>
      <c r="G765" s="166"/>
    </row>
    <row r="766" spans="1:10" x14ac:dyDescent="0.2">
      <c r="A766" s="193"/>
      <c r="B766" s="253"/>
      <c r="C766" s="39"/>
      <c r="D766" s="40"/>
      <c r="E766" s="180"/>
      <c r="F766" s="180"/>
      <c r="G766" s="166"/>
    </row>
    <row r="767" spans="1:10" x14ac:dyDescent="0.2">
      <c r="A767" s="193"/>
      <c r="B767" s="253"/>
      <c r="C767" s="39"/>
      <c r="D767" s="40"/>
      <c r="E767" s="180"/>
      <c r="F767" s="180"/>
      <c r="G767" s="166"/>
    </row>
    <row r="768" spans="1:10" x14ac:dyDescent="0.2">
      <c r="A768" s="193"/>
      <c r="B768" s="253"/>
      <c r="C768" s="39"/>
      <c r="D768" s="40"/>
      <c r="E768" s="180"/>
      <c r="F768" s="180"/>
      <c r="G768" s="166"/>
    </row>
    <row r="769" spans="1:7" x14ac:dyDescent="0.2">
      <c r="A769" s="193"/>
      <c r="B769" s="253"/>
      <c r="C769" s="39"/>
      <c r="D769" s="40"/>
      <c r="E769" s="180"/>
      <c r="F769" s="180"/>
      <c r="G769" s="166"/>
    </row>
    <row r="770" spans="1:7" x14ac:dyDescent="0.2">
      <c r="A770" s="193"/>
      <c r="B770" s="253"/>
      <c r="C770" s="39"/>
      <c r="D770" s="40"/>
      <c r="E770" s="180"/>
      <c r="F770" s="180"/>
      <c r="G770" s="166"/>
    </row>
    <row r="771" spans="1:7" x14ac:dyDescent="0.2">
      <c r="A771" s="193"/>
      <c r="B771" s="253"/>
      <c r="C771" s="39"/>
      <c r="D771" s="40"/>
      <c r="E771" s="180"/>
      <c r="F771" s="180"/>
      <c r="G771" s="166"/>
    </row>
    <row r="772" spans="1:7" x14ac:dyDescent="0.2">
      <c r="A772" s="193"/>
      <c r="B772" s="253"/>
      <c r="C772" s="39"/>
      <c r="D772" s="40"/>
      <c r="E772" s="180"/>
      <c r="F772" s="180"/>
      <c r="G772" s="166"/>
    </row>
    <row r="773" spans="1:7" x14ac:dyDescent="0.2">
      <c r="A773" s="193"/>
      <c r="B773" s="253"/>
      <c r="C773" s="39"/>
      <c r="D773" s="40"/>
      <c r="E773" s="180"/>
      <c r="F773" s="180"/>
      <c r="G773" s="166"/>
    </row>
    <row r="774" spans="1:7" x14ac:dyDescent="0.2">
      <c r="A774" s="193"/>
      <c r="B774" s="253"/>
      <c r="C774" s="39"/>
      <c r="D774" s="40"/>
      <c r="E774" s="180"/>
      <c r="F774" s="180"/>
      <c r="G774" s="166"/>
    </row>
    <row r="775" spans="1:7" x14ac:dyDescent="0.2">
      <c r="A775" s="193"/>
      <c r="B775" s="253"/>
      <c r="C775" s="39"/>
      <c r="D775" s="40"/>
      <c r="E775" s="180"/>
      <c r="F775" s="180"/>
      <c r="G775" s="166"/>
    </row>
    <row r="776" spans="1:7" x14ac:dyDescent="0.2">
      <c r="A776" s="193"/>
      <c r="B776" s="253"/>
      <c r="C776" s="39"/>
      <c r="D776" s="40"/>
      <c r="E776" s="180"/>
      <c r="F776" s="180"/>
      <c r="G776" s="166"/>
    </row>
    <row r="777" spans="1:7" x14ac:dyDescent="0.2">
      <c r="A777" s="193"/>
      <c r="B777" s="253"/>
      <c r="C777" s="39"/>
      <c r="D777" s="40"/>
      <c r="E777" s="180"/>
      <c r="F777" s="180"/>
      <c r="G777" s="166"/>
    </row>
    <row r="778" spans="1:7" x14ac:dyDescent="0.2">
      <c r="A778" s="193"/>
      <c r="B778" s="253"/>
      <c r="C778" s="39"/>
      <c r="D778" s="40"/>
      <c r="E778" s="180"/>
      <c r="F778" s="180"/>
      <c r="G778" s="166"/>
    </row>
    <row r="779" spans="1:7" x14ac:dyDescent="0.2">
      <c r="A779" s="193"/>
      <c r="B779" s="253"/>
      <c r="C779" s="39"/>
      <c r="D779" s="40"/>
      <c r="E779" s="180"/>
      <c r="F779" s="180"/>
      <c r="G779" s="166"/>
    </row>
    <row r="780" spans="1:7" x14ac:dyDescent="0.2">
      <c r="A780" s="193"/>
      <c r="B780" s="253"/>
      <c r="C780" s="39"/>
      <c r="D780" s="40"/>
      <c r="E780" s="180"/>
      <c r="F780" s="180"/>
      <c r="G780" s="166"/>
    </row>
    <row r="781" spans="1:7" x14ac:dyDescent="0.2">
      <c r="A781" s="193"/>
      <c r="B781" s="253"/>
      <c r="C781" s="39"/>
      <c r="D781" s="40"/>
      <c r="E781" s="180"/>
      <c r="F781" s="180"/>
      <c r="G781" s="166"/>
    </row>
    <row r="782" spans="1:7" x14ac:dyDescent="0.2">
      <c r="A782" s="193"/>
      <c r="B782" s="253"/>
      <c r="C782" s="39"/>
      <c r="D782" s="40"/>
      <c r="E782" s="180"/>
      <c r="F782" s="180"/>
      <c r="G782" s="166"/>
    </row>
    <row r="783" spans="1:7" x14ac:dyDescent="0.2">
      <c r="A783" s="193"/>
      <c r="B783" s="253"/>
      <c r="C783" s="39"/>
      <c r="D783" s="40"/>
      <c r="E783" s="180"/>
      <c r="F783" s="180"/>
      <c r="G783" s="166"/>
    </row>
    <row r="784" spans="1:7" x14ac:dyDescent="0.2">
      <c r="A784" s="193"/>
      <c r="B784" s="253"/>
      <c r="C784" s="39"/>
      <c r="D784" s="40"/>
      <c r="E784" s="180"/>
      <c r="F784" s="180"/>
      <c r="G784" s="166"/>
    </row>
    <row r="785" spans="1:7" x14ac:dyDescent="0.2">
      <c r="A785" s="193"/>
      <c r="B785" s="253"/>
      <c r="C785" s="39"/>
      <c r="D785" s="40"/>
      <c r="E785" s="180"/>
      <c r="F785" s="180"/>
      <c r="G785" s="166"/>
    </row>
    <row r="786" spans="1:7" x14ac:dyDescent="0.2">
      <c r="A786" s="193"/>
      <c r="B786" s="253"/>
      <c r="C786" s="39"/>
      <c r="D786" s="40"/>
      <c r="E786" s="180"/>
      <c r="F786" s="180"/>
      <c r="G786" s="166"/>
    </row>
    <row r="787" spans="1:7" x14ac:dyDescent="0.2">
      <c r="A787" s="193"/>
      <c r="B787" s="253"/>
      <c r="C787" s="39"/>
      <c r="D787" s="40"/>
      <c r="E787" s="180"/>
      <c r="F787" s="180"/>
      <c r="G787" s="166"/>
    </row>
    <row r="788" spans="1:7" x14ac:dyDescent="0.2">
      <c r="A788" s="193"/>
      <c r="B788" s="253"/>
      <c r="C788" s="39"/>
      <c r="D788" s="40"/>
      <c r="E788" s="180"/>
      <c r="F788" s="180"/>
      <c r="G788" s="166"/>
    </row>
    <row r="789" spans="1:7" x14ac:dyDescent="0.2">
      <c r="A789" s="193"/>
      <c r="B789" s="253"/>
      <c r="C789" s="39"/>
      <c r="D789" s="40"/>
      <c r="E789" s="180"/>
      <c r="F789" s="180"/>
      <c r="G789" s="166"/>
    </row>
    <row r="790" spans="1:7" x14ac:dyDescent="0.2">
      <c r="A790" s="193"/>
      <c r="B790" s="253"/>
      <c r="C790" s="39"/>
      <c r="D790" s="40"/>
      <c r="E790" s="180"/>
      <c r="F790" s="180"/>
      <c r="G790" s="166"/>
    </row>
    <row r="791" spans="1:7" x14ac:dyDescent="0.2">
      <c r="A791" s="193"/>
      <c r="B791" s="253"/>
      <c r="C791" s="39"/>
      <c r="D791" s="40"/>
      <c r="E791" s="180"/>
      <c r="F791" s="180"/>
      <c r="G791" s="166"/>
    </row>
    <row r="792" spans="1:7" x14ac:dyDescent="0.2">
      <c r="A792" s="193"/>
      <c r="B792" s="253"/>
      <c r="C792" s="39"/>
      <c r="D792" s="40"/>
      <c r="E792" s="180"/>
      <c r="F792" s="180"/>
      <c r="G792" s="166"/>
    </row>
    <row r="793" spans="1:7" x14ac:dyDescent="0.2">
      <c r="A793" s="193"/>
      <c r="B793" s="253"/>
      <c r="C793" s="39"/>
      <c r="D793" s="40"/>
      <c r="E793" s="180"/>
      <c r="F793" s="180"/>
      <c r="G793" s="166"/>
    </row>
    <row r="794" spans="1:7" x14ac:dyDescent="0.2">
      <c r="A794" s="262"/>
      <c r="B794" s="263"/>
      <c r="C794" s="264"/>
      <c r="D794" s="265"/>
      <c r="E794" s="207"/>
      <c r="F794" s="207"/>
      <c r="G794" s="208"/>
    </row>
    <row r="795" spans="1:7" x14ac:dyDescent="0.2">
      <c r="A795" s="27"/>
      <c r="B795" s="28" t="s">
        <v>165</v>
      </c>
      <c r="C795" s="36"/>
      <c r="D795" s="29"/>
      <c r="E795" s="102"/>
      <c r="F795" s="47"/>
      <c r="G795" s="48"/>
    </row>
    <row r="796" spans="1:7" x14ac:dyDescent="0.2">
      <c r="A796" s="30"/>
      <c r="B796" s="31" t="s">
        <v>166</v>
      </c>
      <c r="C796" s="37"/>
      <c r="D796" s="32"/>
      <c r="E796" s="103"/>
      <c r="F796" s="55"/>
      <c r="G796" s="79">
        <f>SUM(G710:G795)</f>
        <v>0</v>
      </c>
    </row>
    <row r="797" spans="1:7" x14ac:dyDescent="0.2">
      <c r="A797" s="290"/>
      <c r="B797" s="291"/>
      <c r="C797" s="292"/>
      <c r="D797" s="293"/>
      <c r="E797" s="294"/>
      <c r="F797" s="295"/>
      <c r="G797" s="296"/>
    </row>
    <row r="798" spans="1:7" x14ac:dyDescent="0.2">
      <c r="A798" s="297"/>
      <c r="B798" s="298" t="s">
        <v>230</v>
      </c>
      <c r="C798" s="299"/>
      <c r="D798" s="96"/>
      <c r="E798" s="300"/>
      <c r="F798" s="152"/>
      <c r="G798" s="301"/>
    </row>
    <row r="799" spans="1:7" x14ac:dyDescent="0.2">
      <c r="A799" s="297"/>
      <c r="B799" s="302" t="s">
        <v>110</v>
      </c>
      <c r="C799" s="299"/>
      <c r="D799" s="96"/>
      <c r="E799" s="300"/>
      <c r="F799" s="152"/>
      <c r="G799" s="301"/>
    </row>
    <row r="800" spans="1:7" ht="12.75" x14ac:dyDescent="0.2">
      <c r="A800" s="303" t="s">
        <v>194</v>
      </c>
      <c r="B800" s="304" t="s">
        <v>44</v>
      </c>
      <c r="C800" s="305"/>
      <c r="D800" s="306"/>
      <c r="E800" s="307"/>
      <c r="F800" s="308"/>
      <c r="G800" s="309"/>
    </row>
    <row r="801" spans="1:11" ht="32.25" customHeight="1" x14ac:dyDescent="0.2">
      <c r="A801" s="310"/>
      <c r="B801" s="619" t="s">
        <v>537</v>
      </c>
      <c r="C801" s="619"/>
      <c r="D801" s="619"/>
      <c r="E801" s="619"/>
      <c r="F801" s="311"/>
      <c r="G801" s="312"/>
    </row>
    <row r="802" spans="1:11" ht="42" customHeight="1" x14ac:dyDescent="0.2">
      <c r="A802" s="310"/>
      <c r="B802" s="619" t="s">
        <v>538</v>
      </c>
      <c r="C802" s="619"/>
      <c r="D802" s="619"/>
      <c r="E802" s="619"/>
      <c r="F802" s="311"/>
      <c r="G802" s="312"/>
    </row>
    <row r="803" spans="1:11" ht="12.75" customHeight="1" x14ac:dyDescent="0.2">
      <c r="A803" s="310"/>
      <c r="B803" s="620" t="s">
        <v>112</v>
      </c>
      <c r="C803" s="620"/>
      <c r="D803" s="620"/>
      <c r="E803" s="620"/>
      <c r="F803" s="311"/>
      <c r="G803" s="312"/>
    </row>
    <row r="804" spans="1:11" ht="27.75" customHeight="1" x14ac:dyDescent="0.2">
      <c r="A804" s="310"/>
      <c r="B804" s="619" t="s">
        <v>255</v>
      </c>
      <c r="C804" s="619"/>
      <c r="D804" s="619"/>
      <c r="E804" s="619"/>
      <c r="F804" s="311"/>
      <c r="G804" s="312"/>
    </row>
    <row r="805" spans="1:11" ht="12.75" x14ac:dyDescent="0.2">
      <c r="A805" s="270" t="s">
        <v>169</v>
      </c>
      <c r="B805" s="271" t="s">
        <v>113</v>
      </c>
      <c r="C805" s="272"/>
      <c r="D805" s="273"/>
      <c r="E805" s="274"/>
      <c r="F805" s="275"/>
      <c r="G805" s="276"/>
    </row>
    <row r="806" spans="1:11" ht="13.5" customHeight="1" x14ac:dyDescent="0.2">
      <c r="A806" s="277"/>
      <c r="B806" s="278" t="s">
        <v>159</v>
      </c>
      <c r="C806" s="279"/>
      <c r="D806" s="280"/>
      <c r="E806" s="281"/>
      <c r="F806" s="282"/>
      <c r="G806" s="283"/>
    </row>
    <row r="807" spans="1:11" ht="53.25" customHeight="1" x14ac:dyDescent="0.2">
      <c r="A807" s="284" t="s">
        <v>188</v>
      </c>
      <c r="B807" s="285" t="s">
        <v>558</v>
      </c>
      <c r="C807" s="286" t="s">
        <v>114</v>
      </c>
      <c r="D807" s="266">
        <v>6</v>
      </c>
      <c r="E807" s="267"/>
      <c r="F807" s="268"/>
      <c r="G807" s="166">
        <f t="shared" ref="G807:G809" si="145">(D807*E807)+(D807*F807)</f>
        <v>0</v>
      </c>
      <c r="I807" s="84">
        <f>0.95*2.945*3</f>
        <v>8.3932499999999983</v>
      </c>
      <c r="J807" s="84">
        <f>0.95*2.945*3</f>
        <v>8.3932499999999983</v>
      </c>
      <c r="K807" s="84"/>
    </row>
    <row r="808" spans="1:11" ht="53.25" customHeight="1" x14ac:dyDescent="0.2">
      <c r="A808" s="284" t="s">
        <v>189</v>
      </c>
      <c r="B808" s="285" t="s">
        <v>560</v>
      </c>
      <c r="C808" s="286" t="s">
        <v>114</v>
      </c>
      <c r="D808" s="266">
        <v>1</v>
      </c>
      <c r="E808" s="267"/>
      <c r="F808" s="268"/>
      <c r="G808" s="166">
        <f t="shared" ref="G808" si="146">(D808*E808)+(D808*F808)</f>
        <v>0</v>
      </c>
      <c r="J808" s="19">
        <f>0.95*2.945*1</f>
        <v>2.7977499999999997</v>
      </c>
    </row>
    <row r="809" spans="1:11" ht="54" customHeight="1" x14ac:dyDescent="0.2">
      <c r="A809" s="284" t="s">
        <v>202</v>
      </c>
      <c r="B809" s="285" t="s">
        <v>559</v>
      </c>
      <c r="C809" s="286" t="s">
        <v>114</v>
      </c>
      <c r="D809" s="266">
        <v>1</v>
      </c>
      <c r="E809" s="267"/>
      <c r="F809" s="268"/>
      <c r="G809" s="166">
        <f t="shared" si="145"/>
        <v>0</v>
      </c>
      <c r="I809" s="19">
        <f>0.95*2.945*1</f>
        <v>2.7977499999999997</v>
      </c>
      <c r="J809" s="84">
        <f>SUM(J807:J808)</f>
        <v>11.190999999999999</v>
      </c>
    </row>
    <row r="810" spans="1:11" ht="26.25" customHeight="1" x14ac:dyDescent="0.2">
      <c r="A810" s="284" t="s">
        <v>203</v>
      </c>
      <c r="B810" s="285" t="s">
        <v>595</v>
      </c>
      <c r="C810" s="286" t="s">
        <v>114</v>
      </c>
      <c r="D810" s="266">
        <v>1</v>
      </c>
      <c r="E810" s="267"/>
      <c r="F810" s="268"/>
      <c r="G810" s="166">
        <f t="shared" ref="G810" si="147">(D810*E810)+(D810*F810)</f>
        <v>0</v>
      </c>
    </row>
    <row r="811" spans="1:11" ht="12.75" customHeight="1" x14ac:dyDescent="0.2">
      <c r="A811" s="284"/>
      <c r="B811" s="285"/>
      <c r="C811" s="286"/>
      <c r="D811" s="266"/>
      <c r="E811" s="267"/>
      <c r="F811" s="268"/>
      <c r="G811" s="166"/>
    </row>
    <row r="812" spans="1:11" ht="12.75" customHeight="1" x14ac:dyDescent="0.2">
      <c r="A812" s="284"/>
      <c r="B812" s="285"/>
      <c r="C812" s="286"/>
      <c r="D812" s="266"/>
      <c r="E812" s="267"/>
      <c r="F812" s="268"/>
      <c r="G812" s="166"/>
    </row>
    <row r="813" spans="1:11" ht="14.25" customHeight="1" x14ac:dyDescent="0.2">
      <c r="A813" s="277"/>
      <c r="B813" s="278" t="s">
        <v>160</v>
      </c>
      <c r="C813" s="279"/>
      <c r="D813" s="280"/>
      <c r="E813" s="281"/>
      <c r="F813" s="282"/>
      <c r="G813" s="283"/>
    </row>
    <row r="814" spans="1:11" ht="56.25" customHeight="1" x14ac:dyDescent="0.2">
      <c r="A814" s="284" t="s">
        <v>188</v>
      </c>
      <c r="B814" s="285" t="s">
        <v>566</v>
      </c>
      <c r="C814" s="287" t="s">
        <v>114</v>
      </c>
      <c r="D814" s="266">
        <v>3</v>
      </c>
      <c r="E814" s="267"/>
      <c r="F814" s="268"/>
      <c r="G814" s="166">
        <f t="shared" ref="G814" si="148">(D814*E814)+(D814*F814)</f>
        <v>0</v>
      </c>
      <c r="I814" s="84">
        <f>2.325*1.945*D814</f>
        <v>13.566375000000003</v>
      </c>
    </row>
    <row r="815" spans="1:11" ht="39.75" customHeight="1" x14ac:dyDescent="0.2">
      <c r="A815" s="284" t="s">
        <v>189</v>
      </c>
      <c r="B815" s="285" t="s">
        <v>563</v>
      </c>
      <c r="C815" s="287" t="s">
        <v>114</v>
      </c>
      <c r="D815" s="266">
        <v>5</v>
      </c>
      <c r="E815" s="267"/>
      <c r="F815" s="268"/>
      <c r="G815" s="166">
        <f t="shared" ref="G815:G816" si="149">(D815*E815)+(D815*F815)</f>
        <v>0</v>
      </c>
      <c r="I815" s="84">
        <f>1.15*1.85*D815</f>
        <v>10.637499999999999</v>
      </c>
    </row>
    <row r="816" spans="1:11" ht="43.5" customHeight="1" x14ac:dyDescent="0.2">
      <c r="A816" s="284" t="s">
        <v>202</v>
      </c>
      <c r="B816" s="285" t="s">
        <v>561</v>
      </c>
      <c r="C816" s="287" t="s">
        <v>114</v>
      </c>
      <c r="D816" s="266">
        <v>3</v>
      </c>
      <c r="E816" s="267"/>
      <c r="F816" s="268"/>
      <c r="G816" s="166">
        <f t="shared" si="149"/>
        <v>0</v>
      </c>
      <c r="I816" s="84">
        <f>0.3*0.15*D816</f>
        <v>0.13500000000000001</v>
      </c>
    </row>
    <row r="817" spans="1:16" ht="45.75" customHeight="1" x14ac:dyDescent="0.2">
      <c r="A817" s="284" t="s">
        <v>203</v>
      </c>
      <c r="B817" s="285" t="s">
        <v>562</v>
      </c>
      <c r="C817" s="287" t="s">
        <v>114</v>
      </c>
      <c r="D817" s="266">
        <v>3</v>
      </c>
      <c r="E817" s="267"/>
      <c r="F817" s="268"/>
      <c r="G817" s="166">
        <f t="shared" ref="G817:G818" si="150">(D817*E817)+(D817*F817)</f>
        <v>0</v>
      </c>
      <c r="I817" s="84">
        <f>0.6*0.6*D817</f>
        <v>1.08</v>
      </c>
    </row>
    <row r="818" spans="1:16" ht="40.5" customHeight="1" x14ac:dyDescent="0.2">
      <c r="A818" s="284" t="s">
        <v>204</v>
      </c>
      <c r="B818" s="285" t="s">
        <v>523</v>
      </c>
      <c r="C818" s="287" t="s">
        <v>114</v>
      </c>
      <c r="D818" s="266">
        <v>5</v>
      </c>
      <c r="E818" s="267"/>
      <c r="F818" s="268"/>
      <c r="G818" s="166">
        <f t="shared" si="150"/>
        <v>0</v>
      </c>
      <c r="I818" s="84">
        <f>SUM(I807:I817)</f>
        <v>36.609874999999995</v>
      </c>
    </row>
    <row r="819" spans="1:16" ht="14.25" customHeight="1" x14ac:dyDescent="0.2">
      <c r="A819" s="288"/>
      <c r="B819" s="289"/>
      <c r="C819" s="287"/>
      <c r="D819" s="266"/>
      <c r="E819" s="267"/>
      <c r="F819" s="268"/>
      <c r="G819" s="269"/>
    </row>
    <row r="820" spans="1:16" ht="14.25" customHeight="1" x14ac:dyDescent="0.2">
      <c r="A820" s="288"/>
      <c r="B820" s="289"/>
      <c r="C820" s="287"/>
      <c r="D820" s="266"/>
      <c r="E820" s="267"/>
      <c r="F820" s="268"/>
      <c r="G820" s="269"/>
    </row>
    <row r="821" spans="1:16" ht="14.25" customHeight="1" x14ac:dyDescent="0.2">
      <c r="A821" s="646"/>
      <c r="B821" s="647"/>
      <c r="C821" s="648"/>
      <c r="D821" s="649"/>
      <c r="E821" s="650"/>
      <c r="F821" s="651"/>
      <c r="G821" s="652"/>
    </row>
    <row r="822" spans="1:16" ht="14.25" customHeight="1" x14ac:dyDescent="0.2">
      <c r="A822" s="288"/>
      <c r="B822" s="289"/>
      <c r="C822" s="287"/>
      <c r="D822" s="266"/>
      <c r="E822" s="267"/>
      <c r="F822" s="268"/>
      <c r="G822" s="269"/>
    </row>
    <row r="823" spans="1:16" ht="12.75" x14ac:dyDescent="0.2">
      <c r="A823" s="270" t="s">
        <v>171</v>
      </c>
      <c r="B823" s="271" t="s">
        <v>68</v>
      </c>
      <c r="C823" s="272"/>
      <c r="D823" s="273"/>
      <c r="E823" s="274"/>
      <c r="F823" s="275"/>
      <c r="G823" s="276"/>
    </row>
    <row r="824" spans="1:16" ht="12.75" x14ac:dyDescent="0.2">
      <c r="A824" s="277"/>
      <c r="B824" s="278" t="s">
        <v>159</v>
      </c>
      <c r="C824" s="279"/>
      <c r="D824" s="280"/>
      <c r="E824" s="281"/>
      <c r="F824" s="282"/>
      <c r="G824" s="283"/>
    </row>
    <row r="825" spans="1:16" ht="53.25" customHeight="1" x14ac:dyDescent="0.2">
      <c r="A825" s="284" t="s">
        <v>188</v>
      </c>
      <c r="B825" s="285" t="s">
        <v>558</v>
      </c>
      <c r="C825" s="286" t="s">
        <v>114</v>
      </c>
      <c r="D825" s="266">
        <v>7</v>
      </c>
      <c r="E825" s="267"/>
      <c r="F825" s="268"/>
      <c r="G825" s="166">
        <f t="shared" ref="G825:G828" si="151">(D825*E825)+(D825*F825)</f>
        <v>0</v>
      </c>
      <c r="I825" s="84">
        <f>0.95*2.945*5</f>
        <v>13.98875</v>
      </c>
      <c r="J825" s="84">
        <f>0.95*2.945*2</f>
        <v>5.5954999999999995</v>
      </c>
    </row>
    <row r="826" spans="1:16" ht="51" x14ac:dyDescent="0.2">
      <c r="A826" s="284" t="s">
        <v>189</v>
      </c>
      <c r="B826" s="285" t="s">
        <v>559</v>
      </c>
      <c r="C826" s="286" t="s">
        <v>114</v>
      </c>
      <c r="D826" s="266">
        <v>1</v>
      </c>
      <c r="E826" s="267"/>
      <c r="F826" s="268"/>
      <c r="G826" s="166">
        <f t="shared" ref="G826" si="152">(D826*E826)+(D826*F826)</f>
        <v>0</v>
      </c>
      <c r="J826" s="19">
        <f>0.95*2.945*1</f>
        <v>2.7977499999999997</v>
      </c>
    </row>
    <row r="827" spans="1:16" ht="29.25" customHeight="1" x14ac:dyDescent="0.2">
      <c r="A827" s="284" t="s">
        <v>202</v>
      </c>
      <c r="B827" s="285" t="s">
        <v>564</v>
      </c>
      <c r="C827" s="286" t="s">
        <v>114</v>
      </c>
      <c r="D827" s="266">
        <v>3</v>
      </c>
      <c r="E827" s="267"/>
      <c r="F827" s="268"/>
      <c r="G827" s="166">
        <f t="shared" si="151"/>
        <v>0</v>
      </c>
      <c r="J827" s="84">
        <f>0.7*2*D827</f>
        <v>4.1999999999999993</v>
      </c>
    </row>
    <row r="828" spans="1:16" ht="25.5" x14ac:dyDescent="0.2">
      <c r="A828" s="284" t="s">
        <v>203</v>
      </c>
      <c r="B828" s="285" t="s">
        <v>595</v>
      </c>
      <c r="C828" s="286" t="s">
        <v>114</v>
      </c>
      <c r="D828" s="266">
        <v>1</v>
      </c>
      <c r="E828" s="267"/>
      <c r="F828" s="268"/>
      <c r="G828" s="166">
        <f t="shared" si="151"/>
        <v>0</v>
      </c>
      <c r="J828" s="84">
        <f>SUM(J825:J827)</f>
        <v>12.593249999999998</v>
      </c>
    </row>
    <row r="829" spans="1:16" ht="12.75" x14ac:dyDescent="0.2">
      <c r="A829" s="277"/>
      <c r="B829" s="278" t="s">
        <v>160</v>
      </c>
      <c r="C829" s="279"/>
      <c r="D829" s="280"/>
      <c r="E829" s="281"/>
      <c r="F829" s="282"/>
      <c r="G829" s="283"/>
    </row>
    <row r="830" spans="1:16" ht="55.5" customHeight="1" x14ac:dyDescent="0.2">
      <c r="A830" s="284" t="s">
        <v>188</v>
      </c>
      <c r="B830" s="285" t="s">
        <v>566</v>
      </c>
      <c r="C830" s="287" t="s">
        <v>114</v>
      </c>
      <c r="D830" s="266">
        <v>5</v>
      </c>
      <c r="E830" s="267"/>
      <c r="F830" s="268"/>
      <c r="G830" s="166">
        <f t="shared" ref="G830:G835" si="153">(D830*E830)+(D830*F830)</f>
        <v>0</v>
      </c>
      <c r="I830" s="84">
        <f>2.325*1.945*D830</f>
        <v>22.610625000000006</v>
      </c>
      <c r="P830" s="19">
        <f>0.6*1.55</f>
        <v>0.92999999999999994</v>
      </c>
    </row>
    <row r="831" spans="1:16" ht="43.5" customHeight="1" x14ac:dyDescent="0.2">
      <c r="A831" s="284" t="s">
        <v>189</v>
      </c>
      <c r="B831" s="285" t="s">
        <v>563</v>
      </c>
      <c r="C831" s="287" t="s">
        <v>114</v>
      </c>
      <c r="D831" s="266">
        <v>5</v>
      </c>
      <c r="E831" s="267"/>
      <c r="F831" s="268"/>
      <c r="G831" s="166">
        <f t="shared" si="153"/>
        <v>0</v>
      </c>
      <c r="I831" s="84">
        <f>1.15*1.85*D831</f>
        <v>10.637499999999999</v>
      </c>
    </row>
    <row r="832" spans="1:16" ht="43.5" customHeight="1" x14ac:dyDescent="0.2">
      <c r="A832" s="284" t="s">
        <v>202</v>
      </c>
      <c r="B832" s="285" t="s">
        <v>570</v>
      </c>
      <c r="C832" s="287" t="s">
        <v>114</v>
      </c>
      <c r="D832" s="266">
        <v>1</v>
      </c>
      <c r="E832" s="267"/>
      <c r="F832" s="268"/>
      <c r="G832" s="166">
        <f t="shared" ref="G832" si="154">(D832*E832)+(D832*F832)</f>
        <v>0</v>
      </c>
      <c r="J832" s="84">
        <f>1.15*0.6*D832</f>
        <v>0.69</v>
      </c>
    </row>
    <row r="833" spans="1:16" ht="43.5" customHeight="1" x14ac:dyDescent="0.2">
      <c r="A833" s="284" t="s">
        <v>203</v>
      </c>
      <c r="B833" s="285" t="s">
        <v>569</v>
      </c>
      <c r="C833" s="287" t="s">
        <v>114</v>
      </c>
      <c r="D833" s="266">
        <v>3</v>
      </c>
      <c r="E833" s="267"/>
      <c r="F833" s="268"/>
      <c r="G833" s="166">
        <f t="shared" si="153"/>
        <v>0</v>
      </c>
      <c r="I833" s="84">
        <f>0.3*0.15*D833</f>
        <v>0.13500000000000001</v>
      </c>
      <c r="P833" s="19">
        <f>SUM(P827:P830)</f>
        <v>0.92999999999999994</v>
      </c>
    </row>
    <row r="834" spans="1:16" ht="41.25" customHeight="1" x14ac:dyDescent="0.2">
      <c r="A834" s="284" t="s">
        <v>204</v>
      </c>
      <c r="B834" s="285" t="s">
        <v>567</v>
      </c>
      <c r="C834" s="287" t="s">
        <v>114</v>
      </c>
      <c r="D834" s="266">
        <v>3</v>
      </c>
      <c r="E834" s="267"/>
      <c r="F834" s="268"/>
      <c r="G834" s="166">
        <f t="shared" si="153"/>
        <v>0</v>
      </c>
      <c r="I834" s="84">
        <f>0.6*0.95*D834</f>
        <v>1.71</v>
      </c>
    </row>
    <row r="835" spans="1:16" ht="44.25" customHeight="1" x14ac:dyDescent="0.2">
      <c r="A835" s="284" t="s">
        <v>205</v>
      </c>
      <c r="B835" s="285" t="s">
        <v>523</v>
      </c>
      <c r="C835" s="287" t="s">
        <v>114</v>
      </c>
      <c r="D835" s="266">
        <v>5</v>
      </c>
      <c r="E835" s="267"/>
      <c r="F835" s="268"/>
      <c r="G835" s="166">
        <f t="shared" si="153"/>
        <v>0</v>
      </c>
      <c r="I835" s="84">
        <f>SUM(I825:I834)</f>
        <v>49.081875000000011</v>
      </c>
    </row>
    <row r="836" spans="1:16" ht="12.75" x14ac:dyDescent="0.2">
      <c r="A836" s="284"/>
      <c r="B836" s="285"/>
      <c r="C836" s="286"/>
      <c r="D836" s="266"/>
      <c r="E836" s="267"/>
      <c r="F836" s="268"/>
      <c r="G836" s="269"/>
      <c r="O836" s="19" t="s">
        <v>201</v>
      </c>
      <c r="P836" s="19">
        <f>2.25*2.55</f>
        <v>5.7374999999999998</v>
      </c>
    </row>
    <row r="837" spans="1:16" ht="12.75" x14ac:dyDescent="0.2">
      <c r="A837" s="270" t="s">
        <v>56</v>
      </c>
      <c r="B837" s="271" t="s">
        <v>69</v>
      </c>
      <c r="C837" s="272"/>
      <c r="D837" s="273"/>
      <c r="E837" s="274"/>
      <c r="F837" s="275"/>
      <c r="G837" s="276"/>
    </row>
    <row r="838" spans="1:16" ht="12.75" x14ac:dyDescent="0.2">
      <c r="A838" s="277"/>
      <c r="B838" s="278" t="s">
        <v>159</v>
      </c>
      <c r="C838" s="279"/>
      <c r="D838" s="280"/>
      <c r="E838" s="281"/>
      <c r="F838" s="282"/>
      <c r="G838" s="283"/>
    </row>
    <row r="839" spans="1:16" ht="53.25" customHeight="1" x14ac:dyDescent="0.2">
      <c r="A839" s="284" t="s">
        <v>188</v>
      </c>
      <c r="B839" s="285" t="s">
        <v>398</v>
      </c>
      <c r="C839" s="286" t="s">
        <v>114</v>
      </c>
      <c r="D839" s="266">
        <v>5</v>
      </c>
      <c r="E839" s="267"/>
      <c r="F839" s="268"/>
      <c r="G839" s="166">
        <f t="shared" ref="G839:G842" si="155">(D839*E839)+(D839*F839)</f>
        <v>0</v>
      </c>
      <c r="I839" s="84">
        <f>0.95*2.945*5</f>
        <v>13.98875</v>
      </c>
      <c r="J839" s="84"/>
      <c r="O839" s="19" t="s">
        <v>200</v>
      </c>
      <c r="P839" s="19">
        <f>1.15*0.5*2</f>
        <v>1.1499999999999999</v>
      </c>
    </row>
    <row r="840" spans="1:16" ht="51" x14ac:dyDescent="0.2">
      <c r="A840" s="284" t="s">
        <v>189</v>
      </c>
      <c r="B840" s="285" t="s">
        <v>399</v>
      </c>
      <c r="C840" s="286" t="s">
        <v>114</v>
      </c>
      <c r="D840" s="266">
        <v>1</v>
      </c>
      <c r="E840" s="267"/>
      <c r="F840" s="268"/>
      <c r="G840" s="166">
        <f t="shared" si="155"/>
        <v>0</v>
      </c>
      <c r="J840" s="19">
        <f>0.95*2.945*1</f>
        <v>2.7977499999999997</v>
      </c>
    </row>
    <row r="841" spans="1:16" ht="27.75" customHeight="1" x14ac:dyDescent="0.2">
      <c r="A841" s="284" t="s">
        <v>202</v>
      </c>
      <c r="B841" s="285" t="s">
        <v>401</v>
      </c>
      <c r="C841" s="286" t="s">
        <v>114</v>
      </c>
      <c r="D841" s="266">
        <v>3</v>
      </c>
      <c r="E841" s="267"/>
      <c r="F841" s="268"/>
      <c r="G841" s="166">
        <f t="shared" si="155"/>
        <v>0</v>
      </c>
      <c r="J841" s="84">
        <f>0.7*2*D841</f>
        <v>4.1999999999999993</v>
      </c>
    </row>
    <row r="842" spans="1:16" ht="25.5" customHeight="1" x14ac:dyDescent="0.2">
      <c r="A842" s="284" t="s">
        <v>203</v>
      </c>
      <c r="B842" s="285" t="s">
        <v>595</v>
      </c>
      <c r="C842" s="286" t="s">
        <v>114</v>
      </c>
      <c r="D842" s="266">
        <v>1</v>
      </c>
      <c r="E842" s="267"/>
      <c r="F842" s="268"/>
      <c r="G842" s="166">
        <f t="shared" si="155"/>
        <v>0</v>
      </c>
      <c r="J842" s="19">
        <f>SUM(J840:J841)</f>
        <v>6.997749999999999</v>
      </c>
      <c r="P842" s="19">
        <f>SUM(P836:P839)</f>
        <v>6.8874999999999993</v>
      </c>
    </row>
    <row r="843" spans="1:16" ht="12" customHeight="1" x14ac:dyDescent="0.2">
      <c r="A843" s="284"/>
      <c r="B843" s="285"/>
      <c r="C843" s="286"/>
      <c r="D843" s="266"/>
      <c r="E843" s="267"/>
      <c r="F843" s="268"/>
      <c r="G843" s="166"/>
    </row>
    <row r="844" spans="1:16" ht="12" customHeight="1" x14ac:dyDescent="0.2">
      <c r="A844" s="284"/>
      <c r="B844" s="285"/>
      <c r="C844" s="286"/>
      <c r="D844" s="266"/>
      <c r="E844" s="267"/>
      <c r="F844" s="268"/>
      <c r="G844" s="166"/>
    </row>
    <row r="845" spans="1:16" ht="12" customHeight="1" x14ac:dyDescent="0.2">
      <c r="A845" s="284"/>
      <c r="B845" s="285"/>
      <c r="C845" s="286"/>
      <c r="D845" s="266"/>
      <c r="E845" s="267"/>
      <c r="F845" s="268"/>
      <c r="G845" s="166"/>
    </row>
    <row r="846" spans="1:16" ht="12" customHeight="1" x14ac:dyDescent="0.2">
      <c r="A846" s="653"/>
      <c r="B846" s="654"/>
      <c r="C846" s="655"/>
      <c r="D846" s="649"/>
      <c r="E846" s="650"/>
      <c r="F846" s="651"/>
      <c r="G846" s="208"/>
    </row>
    <row r="847" spans="1:16" ht="12.75" x14ac:dyDescent="0.2">
      <c r="A847" s="277"/>
      <c r="B847" s="278" t="s">
        <v>160</v>
      </c>
      <c r="C847" s="279"/>
      <c r="D847" s="280"/>
      <c r="E847" s="281"/>
      <c r="F847" s="282"/>
      <c r="G847" s="283"/>
    </row>
    <row r="848" spans="1:16" ht="51" x14ac:dyDescent="0.2">
      <c r="A848" s="284" t="s">
        <v>188</v>
      </c>
      <c r="B848" s="285" t="s">
        <v>465</v>
      </c>
      <c r="C848" s="287" t="s">
        <v>114</v>
      </c>
      <c r="D848" s="266">
        <v>5</v>
      </c>
      <c r="E848" s="267"/>
      <c r="F848" s="268"/>
      <c r="G848" s="166">
        <f t="shared" ref="G848:G853" si="156">(D848*E848)+(D848*F848)</f>
        <v>0</v>
      </c>
      <c r="I848" s="84">
        <f>2.325*1.945*D848</f>
        <v>22.610625000000006</v>
      </c>
    </row>
    <row r="849" spans="1:10" ht="40.5" customHeight="1" x14ac:dyDescent="0.2">
      <c r="A849" s="284" t="s">
        <v>189</v>
      </c>
      <c r="B849" s="285" t="s">
        <v>400</v>
      </c>
      <c r="C849" s="287" t="s">
        <v>114</v>
      </c>
      <c r="D849" s="266">
        <v>5</v>
      </c>
      <c r="E849" s="267"/>
      <c r="F849" s="268"/>
      <c r="G849" s="166">
        <f t="shared" si="156"/>
        <v>0</v>
      </c>
      <c r="I849" s="84">
        <f>1.15*1.85*D849</f>
        <v>10.637499999999999</v>
      </c>
    </row>
    <row r="850" spans="1:10" ht="41.25" customHeight="1" x14ac:dyDescent="0.2">
      <c r="A850" s="284" t="s">
        <v>202</v>
      </c>
      <c r="B850" s="285" t="s">
        <v>402</v>
      </c>
      <c r="C850" s="287" t="s">
        <v>114</v>
      </c>
      <c r="D850" s="266">
        <v>1</v>
      </c>
      <c r="E850" s="267"/>
      <c r="F850" s="268"/>
      <c r="G850" s="166">
        <f t="shared" si="156"/>
        <v>0</v>
      </c>
      <c r="J850" s="84">
        <f>1.15*0.6*D850</f>
        <v>0.69</v>
      </c>
    </row>
    <row r="851" spans="1:10" ht="78.75" customHeight="1" x14ac:dyDescent="0.2">
      <c r="A851" s="284" t="s">
        <v>203</v>
      </c>
      <c r="B851" s="285" t="s">
        <v>522</v>
      </c>
      <c r="C851" s="287" t="s">
        <v>114</v>
      </c>
      <c r="D851" s="266">
        <v>3</v>
      </c>
      <c r="E851" s="267"/>
      <c r="F851" s="268"/>
      <c r="G851" s="166">
        <f t="shared" si="156"/>
        <v>0</v>
      </c>
      <c r="I851" s="84">
        <f>0.3*0.15*D851</f>
        <v>0.13500000000000001</v>
      </c>
    </row>
    <row r="852" spans="1:10" ht="39.75" customHeight="1" x14ac:dyDescent="0.2">
      <c r="A852" s="284" t="s">
        <v>204</v>
      </c>
      <c r="B852" s="285" t="s">
        <v>523</v>
      </c>
      <c r="C852" s="287" t="s">
        <v>114</v>
      </c>
      <c r="D852" s="266">
        <v>5</v>
      </c>
      <c r="E852" s="267"/>
      <c r="F852" s="268"/>
      <c r="G852" s="166">
        <f t="shared" si="156"/>
        <v>0</v>
      </c>
      <c r="I852" s="84">
        <f>0.6*0.95*D852</f>
        <v>2.8499999999999996</v>
      </c>
    </row>
    <row r="853" spans="1:10" ht="42" customHeight="1" x14ac:dyDescent="0.2">
      <c r="A853" s="284" t="s">
        <v>205</v>
      </c>
      <c r="B853" s="285" t="s">
        <v>524</v>
      </c>
      <c r="C853" s="287" t="s">
        <v>114</v>
      </c>
      <c r="D853" s="266">
        <v>4</v>
      </c>
      <c r="E853" s="267"/>
      <c r="F853" s="268"/>
      <c r="G853" s="166">
        <f t="shared" si="156"/>
        <v>0</v>
      </c>
      <c r="I853" s="84">
        <f>SUM(I839:I852)</f>
        <v>50.221875000000011</v>
      </c>
    </row>
    <row r="854" spans="1:10" ht="12.75" x14ac:dyDescent="0.2">
      <c r="A854" s="284"/>
      <c r="B854" s="285"/>
      <c r="C854" s="287"/>
      <c r="D854" s="266"/>
      <c r="E854" s="267"/>
      <c r="F854" s="268"/>
      <c r="G854" s="269"/>
    </row>
    <row r="855" spans="1:10" ht="12.75" x14ac:dyDescent="0.2">
      <c r="A855" s="270" t="s">
        <v>172</v>
      </c>
      <c r="B855" s="271" t="s">
        <v>403</v>
      </c>
      <c r="C855" s="272"/>
      <c r="D855" s="273"/>
      <c r="E855" s="274"/>
      <c r="F855" s="275"/>
      <c r="G855" s="276"/>
    </row>
    <row r="856" spans="1:10" ht="12.75" x14ac:dyDescent="0.2">
      <c r="A856" s="277"/>
      <c r="B856" s="278" t="s">
        <v>159</v>
      </c>
      <c r="C856" s="279"/>
      <c r="D856" s="280"/>
      <c r="E856" s="281"/>
      <c r="F856" s="282"/>
      <c r="G856" s="283"/>
    </row>
    <row r="857" spans="1:10" ht="51.75" customHeight="1" x14ac:dyDescent="0.2">
      <c r="A857" s="284" t="s">
        <v>188</v>
      </c>
      <c r="B857" s="285" t="s">
        <v>571</v>
      </c>
      <c r="C857" s="286" t="s">
        <v>114</v>
      </c>
      <c r="D857" s="266">
        <v>1</v>
      </c>
      <c r="E857" s="267"/>
      <c r="F857" s="268"/>
      <c r="G857" s="166">
        <f t="shared" ref="G857" si="157">(D857*E857)+(D857*F857)</f>
        <v>0</v>
      </c>
      <c r="I857" s="84">
        <f>0.95*2.945*D857</f>
        <v>2.7977499999999997</v>
      </c>
    </row>
    <row r="858" spans="1:10" ht="42" customHeight="1" x14ac:dyDescent="0.2">
      <c r="A858" s="284" t="s">
        <v>189</v>
      </c>
      <c r="B858" s="285" t="s">
        <v>572</v>
      </c>
      <c r="C858" s="286" t="s">
        <v>114</v>
      </c>
      <c r="D858" s="266">
        <v>1</v>
      </c>
      <c r="E858" s="267"/>
      <c r="F858" s="268"/>
      <c r="G858" s="166">
        <f t="shared" ref="G858" si="158">(D858*E858)+(D858*F858)</f>
        <v>0</v>
      </c>
      <c r="I858" s="84">
        <f>1*0.96*D858</f>
        <v>0.96</v>
      </c>
    </row>
    <row r="859" spans="1:10" ht="12.75" x14ac:dyDescent="0.2">
      <c r="A859" s="284"/>
      <c r="B859" s="285"/>
      <c r="C859" s="286"/>
      <c r="D859" s="266"/>
      <c r="E859" s="267"/>
      <c r="F859" s="268"/>
      <c r="G859" s="166"/>
    </row>
    <row r="860" spans="1:10" ht="12.75" x14ac:dyDescent="0.2">
      <c r="A860" s="277"/>
      <c r="B860" s="278" t="s">
        <v>160</v>
      </c>
      <c r="C860" s="279"/>
      <c r="D860" s="280"/>
      <c r="E860" s="281"/>
      <c r="F860" s="282"/>
      <c r="G860" s="283"/>
    </row>
    <row r="861" spans="1:10" ht="51" x14ac:dyDescent="0.2">
      <c r="A861" s="284" t="s">
        <v>188</v>
      </c>
      <c r="B861" s="285" t="s">
        <v>525</v>
      </c>
      <c r="C861" s="287" t="s">
        <v>114</v>
      </c>
      <c r="D861" s="266">
        <v>3</v>
      </c>
      <c r="E861" s="267"/>
      <c r="F861" s="268"/>
      <c r="G861" s="166">
        <f t="shared" ref="G861" si="159">(D861*E861)+(D861*F861)</f>
        <v>0</v>
      </c>
      <c r="I861" s="84">
        <f>1.15*0.6*D861</f>
        <v>2.0699999999999998</v>
      </c>
    </row>
    <row r="862" spans="1:10" ht="12" customHeight="1" x14ac:dyDescent="0.2">
      <c r="A862" s="284"/>
      <c r="B862" s="285"/>
      <c r="C862" s="287"/>
      <c r="D862" s="266"/>
      <c r="E862" s="267"/>
      <c r="F862" s="268"/>
      <c r="G862" s="269"/>
      <c r="I862" s="84">
        <f>SUM(I857:I861)</f>
        <v>5.82775</v>
      </c>
    </row>
    <row r="863" spans="1:10" ht="12" customHeight="1" x14ac:dyDescent="0.2">
      <c r="A863" s="284"/>
      <c r="B863" s="285"/>
      <c r="C863" s="287"/>
      <c r="D863" s="266"/>
      <c r="E863" s="267"/>
      <c r="F863" s="268"/>
      <c r="G863" s="269"/>
    </row>
    <row r="864" spans="1:10" ht="12" customHeight="1" x14ac:dyDescent="0.2">
      <c r="A864" s="284"/>
      <c r="B864" s="285"/>
      <c r="C864" s="287"/>
      <c r="D864" s="266"/>
      <c r="E864" s="267"/>
      <c r="F864" s="268"/>
      <c r="G864" s="269"/>
    </row>
    <row r="865" spans="1:9" ht="12" customHeight="1" x14ac:dyDescent="0.2">
      <c r="A865" s="284"/>
      <c r="B865" s="285"/>
      <c r="C865" s="287"/>
      <c r="D865" s="266"/>
      <c r="E865" s="267"/>
      <c r="F865" s="268"/>
      <c r="G865" s="269"/>
    </row>
    <row r="866" spans="1:9" ht="12" customHeight="1" x14ac:dyDescent="0.2">
      <c r="A866" s="284"/>
      <c r="B866" s="285"/>
      <c r="C866" s="287"/>
      <c r="D866" s="266"/>
      <c r="E866" s="267"/>
      <c r="F866" s="268"/>
      <c r="G866" s="269"/>
    </row>
    <row r="867" spans="1:9" ht="12" customHeight="1" x14ac:dyDescent="0.2">
      <c r="A867" s="284"/>
      <c r="B867" s="285"/>
      <c r="C867" s="287"/>
      <c r="D867" s="266"/>
      <c r="E867" s="267"/>
      <c r="F867" s="268"/>
      <c r="G867" s="269"/>
    </row>
    <row r="868" spans="1:9" ht="12" customHeight="1" x14ac:dyDescent="0.2">
      <c r="A868" s="284"/>
      <c r="B868" s="285"/>
      <c r="C868" s="287"/>
      <c r="D868" s="266"/>
      <c r="E868" s="267"/>
      <c r="F868" s="268"/>
      <c r="G868" s="269"/>
    </row>
    <row r="869" spans="1:9" ht="12" customHeight="1" x14ac:dyDescent="0.2">
      <c r="A869" s="284"/>
      <c r="B869" s="285"/>
      <c r="C869" s="287"/>
      <c r="D869" s="266"/>
      <c r="E869" s="267"/>
      <c r="F869" s="268"/>
      <c r="G869" s="269"/>
    </row>
    <row r="870" spans="1:9" ht="12" customHeight="1" x14ac:dyDescent="0.2">
      <c r="A870" s="284"/>
      <c r="B870" s="285"/>
      <c r="C870" s="287"/>
      <c r="D870" s="266"/>
      <c r="E870" s="267"/>
      <c r="F870" s="268"/>
      <c r="G870" s="269"/>
    </row>
    <row r="871" spans="1:9" ht="12" customHeight="1" x14ac:dyDescent="0.2">
      <c r="A871" s="284"/>
      <c r="B871" s="285"/>
      <c r="C871" s="287"/>
      <c r="D871" s="266"/>
      <c r="E871" s="267"/>
      <c r="F871" s="268"/>
      <c r="G871" s="269"/>
    </row>
    <row r="872" spans="1:9" ht="12" customHeight="1" x14ac:dyDescent="0.2">
      <c r="A872" s="284"/>
      <c r="B872" s="285"/>
      <c r="C872" s="287"/>
      <c r="D872" s="266"/>
      <c r="E872" s="267"/>
      <c r="F872" s="268"/>
      <c r="G872" s="269"/>
    </row>
    <row r="873" spans="1:9" ht="12" customHeight="1" x14ac:dyDescent="0.2">
      <c r="A873" s="284"/>
      <c r="B873" s="285"/>
      <c r="C873" s="287"/>
      <c r="D873" s="266"/>
      <c r="E873" s="267"/>
      <c r="F873" s="268"/>
      <c r="G873" s="269"/>
    </row>
    <row r="874" spans="1:9" ht="12.75" x14ac:dyDescent="0.2">
      <c r="A874" s="564"/>
      <c r="B874" s="565" t="s">
        <v>231</v>
      </c>
      <c r="C874" s="566"/>
      <c r="D874" s="567"/>
      <c r="E874" s="568"/>
      <c r="F874" s="569"/>
      <c r="G874" s="576"/>
    </row>
    <row r="875" spans="1:9" ht="12.75" x14ac:dyDescent="0.2">
      <c r="A875" s="570"/>
      <c r="B875" s="571" t="s">
        <v>232</v>
      </c>
      <c r="C875" s="572"/>
      <c r="D875" s="573"/>
      <c r="E875" s="574"/>
      <c r="F875" s="575"/>
      <c r="G875" s="577">
        <f>SUM(G806:G874)</f>
        <v>0</v>
      </c>
    </row>
    <row r="876" spans="1:9" x14ac:dyDescent="0.2">
      <c r="A876" s="290"/>
      <c r="B876" s="532" t="s">
        <v>233</v>
      </c>
      <c r="C876" s="292"/>
      <c r="D876" s="293"/>
      <c r="E876" s="294"/>
      <c r="F876" s="295"/>
      <c r="G876" s="313"/>
    </row>
    <row r="877" spans="1:9" x14ac:dyDescent="0.2">
      <c r="A877" s="335"/>
      <c r="B877" s="468" t="s">
        <v>187</v>
      </c>
      <c r="C877" s="388"/>
      <c r="D877" s="389"/>
      <c r="E877" s="390"/>
      <c r="F877" s="469"/>
      <c r="G877" s="470"/>
    </row>
    <row r="878" spans="1:9" x14ac:dyDescent="0.2">
      <c r="A878" s="457" t="s">
        <v>111</v>
      </c>
      <c r="B878" s="458" t="s">
        <v>44</v>
      </c>
      <c r="C878" s="292"/>
      <c r="D878" s="293"/>
      <c r="E878" s="294"/>
      <c r="F878" s="295"/>
      <c r="G878" s="313"/>
    </row>
    <row r="879" spans="1:9" ht="47.25" customHeight="1" x14ac:dyDescent="0.2">
      <c r="A879" s="319"/>
      <c r="B879" s="626" t="s">
        <v>587</v>
      </c>
      <c r="C879" s="626"/>
      <c r="D879" s="626"/>
      <c r="E879" s="626"/>
      <c r="F879" s="526"/>
      <c r="G879" s="527"/>
    </row>
    <row r="880" spans="1:9" ht="27" customHeight="1" x14ac:dyDescent="0.2">
      <c r="A880" s="319"/>
      <c r="B880" s="627" t="s">
        <v>118</v>
      </c>
      <c r="C880" s="627"/>
      <c r="D880" s="627"/>
      <c r="E880" s="627"/>
      <c r="F880" s="528"/>
      <c r="G880" s="529"/>
      <c r="I880" s="45"/>
    </row>
    <row r="881" spans="1:13" ht="25.5" customHeight="1" x14ac:dyDescent="0.2">
      <c r="A881" s="335"/>
      <c r="B881" s="628" t="s">
        <v>119</v>
      </c>
      <c r="C881" s="628"/>
      <c r="D881" s="628"/>
      <c r="E881" s="628"/>
      <c r="F881" s="530"/>
      <c r="G881" s="531"/>
    </row>
    <row r="882" spans="1:13" ht="12.75" customHeight="1" x14ac:dyDescent="0.2">
      <c r="A882" s="38"/>
      <c r="B882" s="516"/>
      <c r="C882" s="516"/>
      <c r="D882" s="516"/>
      <c r="E882" s="516"/>
      <c r="F882" s="516"/>
      <c r="G882" s="517"/>
    </row>
    <row r="883" spans="1:13" x14ac:dyDescent="0.2">
      <c r="A883" s="157" t="s">
        <v>195</v>
      </c>
      <c r="B883" s="518" t="s">
        <v>91</v>
      </c>
      <c r="C883" s="168"/>
      <c r="D883" s="160"/>
      <c r="E883" s="161"/>
      <c r="F883" s="160"/>
      <c r="G883" s="425"/>
    </row>
    <row r="884" spans="1:13" x14ac:dyDescent="0.2">
      <c r="A884" s="519" t="s">
        <v>169</v>
      </c>
      <c r="B884" s="520" t="s">
        <v>66</v>
      </c>
      <c r="C884" s="521"/>
      <c r="D884" s="256"/>
      <c r="E884" s="522"/>
      <c r="F884" s="184"/>
      <c r="G884" s="185"/>
    </row>
    <row r="885" spans="1:13" ht="36" x14ac:dyDescent="0.2">
      <c r="A885" s="38" t="s">
        <v>224</v>
      </c>
      <c r="B885" s="523" t="s">
        <v>576</v>
      </c>
      <c r="C885" s="524" t="s">
        <v>158</v>
      </c>
      <c r="D885" s="40">
        <f>D711</f>
        <v>89.5</v>
      </c>
      <c r="E885" s="105"/>
      <c r="F885" s="180"/>
      <c r="G885" s="166">
        <f t="shared" ref="G885:G888" si="160">(D885*E885)+(D885*F885)</f>
        <v>0</v>
      </c>
    </row>
    <row r="886" spans="1:13" x14ac:dyDescent="0.2">
      <c r="A886" s="38"/>
      <c r="B886" s="523"/>
      <c r="C886" s="524"/>
      <c r="D886" s="40"/>
      <c r="E886" s="105"/>
      <c r="F886" s="180"/>
      <c r="G886" s="166"/>
    </row>
    <row r="887" spans="1:13" ht="36" x14ac:dyDescent="0.2">
      <c r="A887" s="38" t="s">
        <v>225</v>
      </c>
      <c r="B887" s="523" t="s">
        <v>577</v>
      </c>
      <c r="C887" s="524" t="s">
        <v>158</v>
      </c>
      <c r="D887" s="40">
        <v>9.5</v>
      </c>
      <c r="E887" s="105"/>
      <c r="F887" s="180"/>
      <c r="G887" s="166">
        <f t="shared" si="160"/>
        <v>0</v>
      </c>
    </row>
    <row r="888" spans="1:13" ht="12.75" customHeight="1" x14ac:dyDescent="0.2">
      <c r="A888" s="525"/>
      <c r="B888" s="481"/>
      <c r="C888" s="413"/>
      <c r="D888" s="40"/>
      <c r="E888" s="209"/>
      <c r="F888" s="40"/>
      <c r="G888" s="166">
        <f t="shared" si="160"/>
        <v>0</v>
      </c>
    </row>
    <row r="889" spans="1:13" ht="12.75" customHeight="1" x14ac:dyDescent="0.2">
      <c r="A889" s="519" t="s">
        <v>169</v>
      </c>
      <c r="B889" s="520" t="s">
        <v>115</v>
      </c>
      <c r="C889" s="521"/>
      <c r="D889" s="256"/>
      <c r="E889" s="522"/>
      <c r="F889" s="184"/>
      <c r="G889" s="185"/>
    </row>
    <row r="890" spans="1:13" ht="52.5" customHeight="1" x14ac:dyDescent="0.2">
      <c r="A890" s="38" t="s">
        <v>224</v>
      </c>
      <c r="B890" s="523" t="s">
        <v>526</v>
      </c>
      <c r="C890" s="524" t="s">
        <v>158</v>
      </c>
      <c r="D890" s="40">
        <v>149.80000000000001</v>
      </c>
      <c r="E890" s="105"/>
      <c r="F890" s="180"/>
      <c r="G890" s="166">
        <f t="shared" ref="G890" si="161">(D890*E890)+(D890*F890)</f>
        <v>0</v>
      </c>
    </row>
    <row r="891" spans="1:13" ht="12.75" customHeight="1" x14ac:dyDescent="0.2">
      <c r="A891" s="38"/>
      <c r="B891" s="523"/>
      <c r="C891" s="524"/>
      <c r="D891" s="40"/>
      <c r="E891" s="105"/>
      <c r="F891" s="180"/>
      <c r="G891" s="166"/>
    </row>
    <row r="892" spans="1:13" ht="36" x14ac:dyDescent="0.2">
      <c r="A892" s="38" t="s">
        <v>225</v>
      </c>
      <c r="B892" s="523" t="s">
        <v>405</v>
      </c>
      <c r="C892" s="524" t="s">
        <v>158</v>
      </c>
      <c r="D892" s="40">
        <v>9.5</v>
      </c>
      <c r="E892" s="105"/>
      <c r="F892" s="180"/>
      <c r="G892" s="166">
        <f t="shared" ref="G892" si="162">(D892*E892)+(D892*F892)</f>
        <v>0</v>
      </c>
    </row>
    <row r="893" spans="1:13" x14ac:dyDescent="0.2">
      <c r="A893" s="38"/>
      <c r="B893" s="523"/>
      <c r="C893" s="524"/>
      <c r="D893" s="40"/>
      <c r="E893" s="105"/>
      <c r="F893" s="180"/>
      <c r="G893" s="166"/>
    </row>
    <row r="894" spans="1:13" ht="15" customHeight="1" x14ac:dyDescent="0.2">
      <c r="A894" s="519" t="s">
        <v>171</v>
      </c>
      <c r="B894" s="520" t="s">
        <v>69</v>
      </c>
      <c r="C894" s="521"/>
      <c r="D894" s="256"/>
      <c r="E894" s="522"/>
      <c r="F894" s="184"/>
      <c r="G894" s="185"/>
      <c r="I894" s="19">
        <f>7.75*2.9</f>
        <v>22.474999999999998</v>
      </c>
    </row>
    <row r="895" spans="1:13" ht="72.75" customHeight="1" x14ac:dyDescent="0.2">
      <c r="A895" s="38" t="s">
        <v>224</v>
      </c>
      <c r="B895" s="523" t="s">
        <v>527</v>
      </c>
      <c r="C895" s="524" t="s">
        <v>158</v>
      </c>
      <c r="D895" s="40">
        <v>152.08000000000001</v>
      </c>
      <c r="E895" s="105"/>
      <c r="F895" s="180"/>
      <c r="G895" s="166">
        <f t="shared" ref="G895:G897" si="163">(D895*E895)+(D895*F895)</f>
        <v>0</v>
      </c>
    </row>
    <row r="896" spans="1:13" ht="12.75" customHeight="1" x14ac:dyDescent="0.2">
      <c r="A896" s="38"/>
      <c r="B896" s="523"/>
      <c r="C896" s="524"/>
      <c r="D896" s="40"/>
      <c r="E896" s="105"/>
      <c r="F896" s="180"/>
      <c r="G896" s="166"/>
      <c r="I896" s="19">
        <f>19.125*3.1</f>
        <v>59.287500000000001</v>
      </c>
      <c r="J896" s="19">
        <f>0.95*2.83*5</f>
        <v>13.442499999999999</v>
      </c>
      <c r="K896" s="19">
        <f>0.95*1.7*5</f>
        <v>8.0749999999999993</v>
      </c>
      <c r="L896" s="19">
        <f>SUM(J896:K896)</f>
        <v>21.517499999999998</v>
      </c>
      <c r="M896" s="19">
        <f>I896-L896</f>
        <v>37.770000000000003</v>
      </c>
    </row>
    <row r="897" spans="1:7" ht="74.25" customHeight="1" x14ac:dyDescent="0.2">
      <c r="A897" s="38" t="s">
        <v>225</v>
      </c>
      <c r="B897" s="523" t="s">
        <v>528</v>
      </c>
      <c r="C897" s="524" t="s">
        <v>158</v>
      </c>
      <c r="D897" s="40">
        <v>63</v>
      </c>
      <c r="E897" s="105"/>
      <c r="F897" s="180"/>
      <c r="G897" s="166">
        <f t="shared" si="163"/>
        <v>0</v>
      </c>
    </row>
    <row r="898" spans="1:7" x14ac:dyDescent="0.2">
      <c r="A898" s="38"/>
      <c r="B898" s="523"/>
      <c r="C898" s="524"/>
      <c r="D898" s="40"/>
      <c r="E898" s="105"/>
      <c r="F898" s="180"/>
      <c r="G898" s="166"/>
    </row>
    <row r="899" spans="1:7" ht="36" x14ac:dyDescent="0.2">
      <c r="A899" s="38" t="s">
        <v>227</v>
      </c>
      <c r="B899" s="523" t="s">
        <v>529</v>
      </c>
      <c r="C899" s="524" t="s">
        <v>158</v>
      </c>
      <c r="D899" s="40">
        <v>9.5</v>
      </c>
      <c r="E899" s="105"/>
      <c r="F899" s="180"/>
      <c r="G899" s="166">
        <f t="shared" ref="G899" si="164">(D899*E899)+(D899*F899)</f>
        <v>0</v>
      </c>
    </row>
    <row r="900" spans="1:7" x14ac:dyDescent="0.2">
      <c r="A900" s="38"/>
      <c r="B900" s="523"/>
      <c r="C900" s="524"/>
      <c r="D900" s="40"/>
      <c r="E900" s="105"/>
      <c r="F900" s="180"/>
      <c r="G900" s="166"/>
    </row>
    <row r="901" spans="1:7" x14ac:dyDescent="0.2">
      <c r="A901" s="492"/>
      <c r="B901" s="493"/>
      <c r="C901" s="197"/>
      <c r="D901" s="209"/>
      <c r="E901" s="105"/>
      <c r="F901" s="480"/>
      <c r="G901" s="166"/>
    </row>
    <row r="902" spans="1:7" x14ac:dyDescent="0.2">
      <c r="A902" s="492"/>
      <c r="B902" s="493"/>
      <c r="C902" s="197"/>
      <c r="D902" s="209"/>
      <c r="E902" s="105"/>
      <c r="F902" s="480"/>
      <c r="G902" s="166"/>
    </row>
    <row r="903" spans="1:7" x14ac:dyDescent="0.2">
      <c r="A903" s="492"/>
      <c r="B903" s="493"/>
      <c r="C903" s="197"/>
      <c r="D903" s="209"/>
      <c r="E903" s="105"/>
      <c r="F903" s="480"/>
      <c r="G903" s="166"/>
    </row>
    <row r="904" spans="1:7" x14ac:dyDescent="0.2">
      <c r="A904" s="492"/>
      <c r="B904" s="493"/>
      <c r="C904" s="197"/>
      <c r="D904" s="209"/>
      <c r="E904" s="105"/>
      <c r="F904" s="480"/>
      <c r="G904" s="166"/>
    </row>
    <row r="905" spans="1:7" x14ac:dyDescent="0.2">
      <c r="A905" s="290"/>
      <c r="B905" s="291" t="s">
        <v>234</v>
      </c>
      <c r="C905" s="292"/>
      <c r="D905" s="293"/>
      <c r="E905" s="294"/>
      <c r="F905" s="386"/>
      <c r="G905" s="224"/>
    </row>
    <row r="906" spans="1:7" x14ac:dyDescent="0.2">
      <c r="A906" s="335"/>
      <c r="B906" s="387" t="s">
        <v>116</v>
      </c>
      <c r="C906" s="388"/>
      <c r="D906" s="389"/>
      <c r="E906" s="390"/>
      <c r="F906" s="391"/>
      <c r="G906" s="385">
        <f>SUM(G889:G897)</f>
        <v>0</v>
      </c>
    </row>
    <row r="907" spans="1:7" ht="12.75" customHeight="1" x14ac:dyDescent="0.2">
      <c r="A907" s="503"/>
      <c r="B907" s="504" t="s">
        <v>265</v>
      </c>
      <c r="C907" s="505"/>
      <c r="D907" s="506"/>
      <c r="E907" s="294"/>
      <c r="F907" s="467"/>
      <c r="G907" s="313"/>
    </row>
    <row r="908" spans="1:7" ht="12.75" customHeight="1" x14ac:dyDescent="0.2">
      <c r="A908" s="507"/>
      <c r="B908" s="318" t="s">
        <v>266</v>
      </c>
      <c r="C908" s="316"/>
      <c r="D908" s="508"/>
      <c r="E908" s="300"/>
      <c r="F908" s="509"/>
      <c r="G908" s="301"/>
    </row>
    <row r="909" spans="1:7" ht="12.75" customHeight="1" x14ac:dyDescent="0.2">
      <c r="A909" s="507" t="s">
        <v>117</v>
      </c>
      <c r="B909" s="510" t="s">
        <v>44</v>
      </c>
      <c r="C909" s="316"/>
      <c r="D909" s="508"/>
      <c r="E909" s="300"/>
      <c r="F909" s="509"/>
      <c r="G909" s="301"/>
    </row>
    <row r="910" spans="1:7" ht="61.5" customHeight="1" x14ac:dyDescent="0.2">
      <c r="A910" s="507"/>
      <c r="B910" s="511" t="s">
        <v>267</v>
      </c>
      <c r="C910" s="511"/>
      <c r="D910" s="512"/>
      <c r="E910" s="300"/>
      <c r="F910" s="509"/>
      <c r="G910" s="301"/>
    </row>
    <row r="911" spans="1:7" ht="37.5" customHeight="1" x14ac:dyDescent="0.2">
      <c r="A911" s="472"/>
      <c r="B911" s="513" t="s">
        <v>404</v>
      </c>
      <c r="C911" s="513"/>
      <c r="D911" s="514"/>
      <c r="E911" s="390"/>
      <c r="F911" s="515"/>
      <c r="G911" s="470"/>
    </row>
    <row r="912" spans="1:7" x14ac:dyDescent="0.2">
      <c r="A912" s="482" t="s">
        <v>170</v>
      </c>
      <c r="B912" s="483" t="s">
        <v>407</v>
      </c>
      <c r="C912" s="484"/>
      <c r="D912" s="485"/>
      <c r="E912" s="486"/>
      <c r="F912" s="487"/>
      <c r="G912" s="488"/>
    </row>
    <row r="913" spans="1:11" x14ac:dyDescent="0.2">
      <c r="A913" s="489">
        <v>1</v>
      </c>
      <c r="B913" s="490" t="s">
        <v>413</v>
      </c>
      <c r="C913" s="478"/>
      <c r="D913" s="479"/>
      <c r="E913" s="209"/>
      <c r="F913" s="491"/>
      <c r="G913" s="200"/>
    </row>
    <row r="914" spans="1:11" ht="52.5" customHeight="1" x14ac:dyDescent="0.2">
      <c r="A914" s="492" t="s">
        <v>224</v>
      </c>
      <c r="B914" s="493" t="s">
        <v>478</v>
      </c>
      <c r="C914" s="413" t="s">
        <v>114</v>
      </c>
      <c r="D914" s="209">
        <v>12</v>
      </c>
      <c r="E914" s="105"/>
      <c r="F914" s="480"/>
      <c r="G914" s="166">
        <f t="shared" ref="G914:G931" si="165">(D914*E914)+(D914*F914)</f>
        <v>0</v>
      </c>
    </row>
    <row r="915" spans="1:11" ht="52.5" customHeight="1" x14ac:dyDescent="0.2">
      <c r="A915" s="492" t="s">
        <v>225</v>
      </c>
      <c r="B915" s="493" t="s">
        <v>479</v>
      </c>
      <c r="C915" s="413" t="s">
        <v>114</v>
      </c>
      <c r="D915" s="209">
        <v>1</v>
      </c>
      <c r="E915" s="105"/>
      <c r="F915" s="480"/>
      <c r="G915" s="166">
        <f t="shared" ref="G915" si="166">(D915*E915)+(D915*F915)</f>
        <v>0</v>
      </c>
    </row>
    <row r="916" spans="1:11" ht="28.5" customHeight="1" x14ac:dyDescent="0.2">
      <c r="A916" s="492" t="s">
        <v>189</v>
      </c>
      <c r="B916" s="493" t="s">
        <v>480</v>
      </c>
      <c r="C916" s="413" t="s">
        <v>128</v>
      </c>
      <c r="D916" s="209">
        <v>310</v>
      </c>
      <c r="E916" s="105"/>
      <c r="F916" s="480"/>
      <c r="G916" s="166">
        <f t="shared" si="165"/>
        <v>0</v>
      </c>
    </row>
    <row r="917" spans="1:11" ht="48" x14ac:dyDescent="0.2">
      <c r="A917" s="492" t="s">
        <v>202</v>
      </c>
      <c r="B917" s="493" t="s">
        <v>481</v>
      </c>
      <c r="C917" s="413" t="s">
        <v>128</v>
      </c>
      <c r="D917" s="209">
        <v>21</v>
      </c>
      <c r="E917" s="105"/>
      <c r="F917" s="480"/>
      <c r="G917" s="166">
        <f t="shared" ref="G917:G918" si="167">(D917*E917)+(D917*F917)</f>
        <v>0</v>
      </c>
    </row>
    <row r="918" spans="1:11" ht="24" x14ac:dyDescent="0.2">
      <c r="A918" s="492" t="s">
        <v>203</v>
      </c>
      <c r="B918" s="493" t="s">
        <v>408</v>
      </c>
      <c r="C918" s="413" t="s">
        <v>17</v>
      </c>
      <c r="D918" s="209">
        <v>1</v>
      </c>
      <c r="E918" s="105"/>
      <c r="F918" s="480"/>
      <c r="G918" s="166">
        <f t="shared" si="167"/>
        <v>0</v>
      </c>
    </row>
    <row r="919" spans="1:11" x14ac:dyDescent="0.2">
      <c r="A919" s="494"/>
      <c r="B919" s="493"/>
      <c r="C919" s="413"/>
      <c r="D919" s="209"/>
      <c r="E919" s="105"/>
      <c r="F919" s="480"/>
      <c r="G919" s="166"/>
    </row>
    <row r="920" spans="1:11" x14ac:dyDescent="0.2">
      <c r="A920" s="482" t="s">
        <v>175</v>
      </c>
      <c r="B920" s="483" t="s">
        <v>268</v>
      </c>
      <c r="C920" s="495"/>
      <c r="D920" s="485"/>
      <c r="E920" s="486"/>
      <c r="F920" s="487"/>
      <c r="G920" s="488">
        <f t="shared" si="165"/>
        <v>0</v>
      </c>
    </row>
    <row r="921" spans="1:11" ht="13.5" customHeight="1" x14ac:dyDescent="0.2">
      <c r="A921" s="492" t="s">
        <v>188</v>
      </c>
      <c r="B921" s="493" t="s">
        <v>406</v>
      </c>
      <c r="C921" s="197" t="s">
        <v>157</v>
      </c>
      <c r="D921" s="209">
        <v>239.5</v>
      </c>
      <c r="E921" s="105"/>
      <c r="F921" s="480"/>
      <c r="G921" s="166">
        <f t="shared" si="165"/>
        <v>0</v>
      </c>
      <c r="J921" s="19">
        <f>3.28*3.2</f>
        <v>10.496</v>
      </c>
      <c r="K921" s="84">
        <f>D921-J921</f>
        <v>229.00399999999999</v>
      </c>
    </row>
    <row r="922" spans="1:11" ht="24" x14ac:dyDescent="0.2">
      <c r="A922" s="492" t="s">
        <v>189</v>
      </c>
      <c r="B922" s="493" t="s">
        <v>409</v>
      </c>
      <c r="C922" s="413" t="s">
        <v>17</v>
      </c>
      <c r="D922" s="209">
        <v>1</v>
      </c>
      <c r="E922" s="105"/>
      <c r="F922" s="480"/>
      <c r="G922" s="166">
        <f t="shared" si="165"/>
        <v>0</v>
      </c>
    </row>
    <row r="923" spans="1:11" x14ac:dyDescent="0.2">
      <c r="A923" s="494"/>
      <c r="B923" s="493"/>
      <c r="C923" s="197"/>
      <c r="D923" s="209"/>
      <c r="E923" s="105"/>
      <c r="F923" s="480"/>
      <c r="G923" s="166"/>
    </row>
    <row r="924" spans="1:11" x14ac:dyDescent="0.2">
      <c r="A924" s="482">
        <v>1.3</v>
      </c>
      <c r="B924" s="483" t="s">
        <v>269</v>
      </c>
      <c r="C924" s="495"/>
      <c r="D924" s="485"/>
      <c r="E924" s="486"/>
      <c r="F924" s="487"/>
      <c r="G924" s="488">
        <f t="shared" si="165"/>
        <v>0</v>
      </c>
    </row>
    <row r="925" spans="1:11" ht="24" x14ac:dyDescent="0.2">
      <c r="A925" s="492" t="s">
        <v>188</v>
      </c>
      <c r="B925" s="493" t="s">
        <v>411</v>
      </c>
      <c r="C925" s="197" t="s">
        <v>128</v>
      </c>
      <c r="D925" s="209">
        <v>28</v>
      </c>
      <c r="E925" s="105"/>
      <c r="F925" s="480"/>
      <c r="G925" s="166">
        <f t="shared" si="165"/>
        <v>0</v>
      </c>
    </row>
    <row r="926" spans="1:11" ht="24" x14ac:dyDescent="0.2">
      <c r="A926" s="492" t="s">
        <v>189</v>
      </c>
      <c r="B926" s="493" t="s">
        <v>412</v>
      </c>
      <c r="C926" s="197" t="s">
        <v>128</v>
      </c>
      <c r="D926" s="209">
        <v>21</v>
      </c>
      <c r="E926" s="105"/>
      <c r="F926" s="480"/>
      <c r="G926" s="166">
        <f t="shared" ref="G926" si="168">(D926*E926)+(D926*F926)</f>
        <v>0</v>
      </c>
    </row>
    <row r="927" spans="1:11" ht="24" x14ac:dyDescent="0.2">
      <c r="A927" s="492" t="s">
        <v>202</v>
      </c>
      <c r="B927" s="493" t="s">
        <v>578</v>
      </c>
      <c r="C927" s="197" t="s">
        <v>128</v>
      </c>
      <c r="D927" s="209">
        <v>41</v>
      </c>
      <c r="E927" s="105"/>
      <c r="F927" s="480"/>
      <c r="G927" s="166">
        <f t="shared" ref="G927" si="169">(D927*E927)+(D927*F927)</f>
        <v>0</v>
      </c>
    </row>
    <row r="928" spans="1:11" x14ac:dyDescent="0.2">
      <c r="A928" s="496"/>
      <c r="B928" s="497"/>
      <c r="C928" s="497"/>
      <c r="D928" s="497"/>
      <c r="E928" s="497"/>
      <c r="F928" s="497"/>
      <c r="G928" s="497"/>
    </row>
    <row r="929" spans="1:12" x14ac:dyDescent="0.2">
      <c r="A929" s="482">
        <v>1.4</v>
      </c>
      <c r="B929" s="483" t="s">
        <v>270</v>
      </c>
      <c r="C929" s="495"/>
      <c r="D929" s="485"/>
      <c r="E929" s="486"/>
      <c r="F929" s="487"/>
      <c r="G929" s="488">
        <f t="shared" si="165"/>
        <v>0</v>
      </c>
    </row>
    <row r="930" spans="1:12" ht="36" customHeight="1" x14ac:dyDescent="0.2">
      <c r="A930" s="492" t="s">
        <v>188</v>
      </c>
      <c r="B930" s="493" t="s">
        <v>410</v>
      </c>
      <c r="C930" s="197" t="s">
        <v>128</v>
      </c>
      <c r="D930" s="209">
        <v>122</v>
      </c>
      <c r="E930" s="105"/>
      <c r="F930" s="480"/>
      <c r="G930" s="166">
        <f t="shared" si="165"/>
        <v>0</v>
      </c>
    </row>
    <row r="931" spans="1:12" ht="24" x14ac:dyDescent="0.2">
      <c r="A931" s="492" t="s">
        <v>189</v>
      </c>
      <c r="B931" s="493" t="s">
        <v>482</v>
      </c>
      <c r="C931" s="197" t="s">
        <v>8</v>
      </c>
      <c r="D931" s="209">
        <v>8</v>
      </c>
      <c r="E931" s="105"/>
      <c r="F931" s="480"/>
      <c r="G931" s="166">
        <f t="shared" si="165"/>
        <v>0</v>
      </c>
    </row>
    <row r="932" spans="1:12" x14ac:dyDescent="0.2">
      <c r="A932" s="492"/>
      <c r="B932" s="493"/>
      <c r="C932" s="197"/>
      <c r="D932" s="209"/>
      <c r="E932" s="105"/>
      <c r="F932" s="480"/>
      <c r="G932" s="166"/>
    </row>
    <row r="933" spans="1:12" x14ac:dyDescent="0.2">
      <c r="A933" s="492"/>
      <c r="B933" s="493"/>
      <c r="C933" s="197"/>
      <c r="D933" s="209"/>
      <c r="E933" s="105"/>
      <c r="F933" s="480"/>
      <c r="G933" s="166"/>
    </row>
    <row r="934" spans="1:12" x14ac:dyDescent="0.2">
      <c r="A934" s="492"/>
      <c r="B934" s="493"/>
      <c r="C934" s="197"/>
      <c r="D934" s="209"/>
      <c r="E934" s="105"/>
      <c r="F934" s="480"/>
      <c r="G934" s="166"/>
    </row>
    <row r="935" spans="1:12" x14ac:dyDescent="0.2">
      <c r="A935" s="492"/>
      <c r="B935" s="493"/>
      <c r="C935" s="197"/>
      <c r="D935" s="209"/>
      <c r="E935" s="105"/>
      <c r="F935" s="480"/>
      <c r="G935" s="166"/>
    </row>
    <row r="936" spans="1:12" x14ac:dyDescent="0.2">
      <c r="A936" s="492"/>
      <c r="B936" s="493"/>
      <c r="C936" s="197"/>
      <c r="D936" s="209"/>
      <c r="E936" s="105"/>
      <c r="F936" s="480"/>
      <c r="G936" s="166"/>
    </row>
    <row r="937" spans="1:12" x14ac:dyDescent="0.2">
      <c r="A937" s="498"/>
      <c r="B937" s="499"/>
      <c r="C937" s="500"/>
      <c r="D937" s="501"/>
      <c r="E937" s="375"/>
      <c r="F937" s="502"/>
      <c r="G937" s="208"/>
    </row>
    <row r="938" spans="1:12" x14ac:dyDescent="0.2">
      <c r="A938" s="463"/>
      <c r="B938" s="464" t="s">
        <v>271</v>
      </c>
      <c r="C938" s="465"/>
      <c r="D938" s="466"/>
      <c r="E938" s="294"/>
      <c r="F938" s="471"/>
      <c r="G938" s="224"/>
    </row>
    <row r="939" spans="1:12" x14ac:dyDescent="0.2">
      <c r="A939" s="472"/>
      <c r="B939" s="473" t="s">
        <v>120</v>
      </c>
      <c r="C939" s="474"/>
      <c r="D939" s="475"/>
      <c r="E939" s="476"/>
      <c r="F939" s="477"/>
      <c r="G939" s="385">
        <f>SUM(G914:G938)</f>
        <v>0</v>
      </c>
    </row>
    <row r="940" spans="1:12" x14ac:dyDescent="0.2">
      <c r="A940" s="463"/>
      <c r="B940" s="464"/>
      <c r="C940" s="465"/>
      <c r="D940" s="466"/>
      <c r="E940" s="294"/>
      <c r="F940" s="467"/>
      <c r="G940" s="313"/>
    </row>
    <row r="941" spans="1:12" x14ac:dyDescent="0.2">
      <c r="A941" s="297"/>
      <c r="B941" s="298" t="s">
        <v>121</v>
      </c>
      <c r="C941" s="299"/>
      <c r="D941" s="96"/>
      <c r="E941" s="300"/>
      <c r="F941" s="152"/>
      <c r="G941" s="301"/>
      <c r="I941" s="90"/>
      <c r="J941" s="90"/>
      <c r="K941" s="90"/>
      <c r="L941" s="90"/>
    </row>
    <row r="942" spans="1:12" x14ac:dyDescent="0.2">
      <c r="A942" s="335"/>
      <c r="B942" s="468" t="s">
        <v>93</v>
      </c>
      <c r="C942" s="388"/>
      <c r="D942" s="389"/>
      <c r="E942" s="390"/>
      <c r="F942" s="469"/>
      <c r="G942" s="470"/>
      <c r="I942" s="90"/>
      <c r="J942" s="90"/>
      <c r="K942" s="90"/>
      <c r="L942" s="90"/>
    </row>
    <row r="943" spans="1:12" x14ac:dyDescent="0.2">
      <c r="A943" s="457" t="s">
        <v>122</v>
      </c>
      <c r="B943" s="458" t="s">
        <v>44</v>
      </c>
      <c r="C943" s="292" t="s">
        <v>58</v>
      </c>
      <c r="D943" s="293"/>
      <c r="E943" s="294"/>
      <c r="F943" s="295"/>
      <c r="G943" s="313"/>
      <c r="I943" s="91"/>
      <c r="J943" s="92"/>
      <c r="K943" s="93"/>
      <c r="L943" s="94"/>
    </row>
    <row r="944" spans="1:12" s="53" customFormat="1" ht="38.25" customHeight="1" x14ac:dyDescent="0.2">
      <c r="A944" s="344"/>
      <c r="B944" s="624" t="s">
        <v>585</v>
      </c>
      <c r="C944" s="624"/>
      <c r="D944" s="624"/>
      <c r="E944" s="624"/>
      <c r="F944" s="459"/>
      <c r="G944" s="460"/>
      <c r="I944" s="91"/>
      <c r="J944" s="95"/>
      <c r="K944" s="93"/>
      <c r="L944" s="96"/>
    </row>
    <row r="945" spans="1:12" s="53" customFormat="1" ht="15.75" customHeight="1" x14ac:dyDescent="0.2">
      <c r="A945" s="344"/>
      <c r="B945" s="625" t="s">
        <v>123</v>
      </c>
      <c r="C945" s="625"/>
      <c r="D945" s="625"/>
      <c r="E945" s="625"/>
      <c r="F945" s="459"/>
      <c r="G945" s="460"/>
      <c r="I945" s="91"/>
      <c r="J945" s="95"/>
      <c r="K945" s="93"/>
      <c r="L945" s="96"/>
    </row>
    <row r="946" spans="1:12" s="53" customFormat="1" ht="40.5" customHeight="1" x14ac:dyDescent="0.2">
      <c r="A946" s="344"/>
      <c r="B946" s="624" t="s">
        <v>586</v>
      </c>
      <c r="C946" s="624"/>
      <c r="D946" s="624"/>
      <c r="E946" s="624"/>
      <c r="F946" s="459"/>
      <c r="G946" s="460"/>
      <c r="I946" s="91"/>
      <c r="J946" s="95"/>
      <c r="K946" s="93"/>
      <c r="L946" s="96"/>
    </row>
    <row r="947" spans="1:12" s="53" customFormat="1" ht="42" customHeight="1" x14ac:dyDescent="0.2">
      <c r="A947" s="446"/>
      <c r="B947" s="623" t="s">
        <v>178</v>
      </c>
      <c r="C947" s="623"/>
      <c r="D947" s="623"/>
      <c r="E947" s="623"/>
      <c r="F947" s="461"/>
      <c r="G947" s="462"/>
      <c r="I947" s="91"/>
      <c r="J947" s="95"/>
      <c r="K947" s="97"/>
      <c r="L947" s="96"/>
    </row>
    <row r="948" spans="1:12" s="53" customFormat="1" ht="12" customHeight="1" x14ac:dyDescent="0.2">
      <c r="A948" s="228" t="s">
        <v>169</v>
      </c>
      <c r="B948" s="229" t="s">
        <v>113</v>
      </c>
      <c r="C948" s="451"/>
      <c r="D948" s="452"/>
      <c r="E948" s="453"/>
      <c r="F948" s="453"/>
      <c r="G948" s="454"/>
      <c r="I948" s="91"/>
      <c r="J948" s="95"/>
      <c r="K948" s="97"/>
      <c r="L948" s="96"/>
    </row>
    <row r="949" spans="1:12" x14ac:dyDescent="0.2">
      <c r="A949" s="170" t="s">
        <v>170</v>
      </c>
      <c r="B949" s="234" t="s">
        <v>414</v>
      </c>
      <c r="C949" s="172"/>
      <c r="D949" s="173"/>
      <c r="E949" s="174"/>
      <c r="F949" s="174"/>
      <c r="G949" s="175"/>
      <c r="I949" s="91"/>
      <c r="J949" s="92"/>
      <c r="K949" s="93"/>
      <c r="L949" s="94"/>
    </row>
    <row r="950" spans="1:12" ht="24" x14ac:dyDescent="0.2">
      <c r="A950" s="181" t="s">
        <v>188</v>
      </c>
      <c r="B950" s="177" t="s">
        <v>415</v>
      </c>
      <c r="C950" s="178" t="s">
        <v>157</v>
      </c>
      <c r="D950" s="450">
        <v>46.2</v>
      </c>
      <c r="E950" s="238"/>
      <c r="F950" s="238"/>
      <c r="G950" s="166">
        <f t="shared" ref="G950:G951" si="170">(D950*E950)+(D950*F950)</f>
        <v>0</v>
      </c>
      <c r="I950" s="91"/>
      <c r="J950" s="95"/>
      <c r="K950" s="93"/>
      <c r="L950" s="96"/>
    </row>
    <row r="951" spans="1:12" ht="24" x14ac:dyDescent="0.2">
      <c r="A951" s="181" t="s">
        <v>189</v>
      </c>
      <c r="B951" s="177" t="s">
        <v>416</v>
      </c>
      <c r="C951" s="178" t="s">
        <v>157</v>
      </c>
      <c r="D951" s="450">
        <v>298</v>
      </c>
      <c r="E951" s="238"/>
      <c r="F951" s="238"/>
      <c r="G951" s="166">
        <f t="shared" si="170"/>
        <v>0</v>
      </c>
      <c r="I951" s="91"/>
      <c r="J951" s="95"/>
      <c r="K951" s="93"/>
      <c r="L951" s="96"/>
    </row>
    <row r="952" spans="1:12" x14ac:dyDescent="0.2">
      <c r="A952" s="170" t="s">
        <v>175</v>
      </c>
      <c r="B952" s="234" t="s">
        <v>417</v>
      </c>
      <c r="C952" s="172"/>
      <c r="D952" s="173"/>
      <c r="E952" s="174"/>
      <c r="F952" s="174"/>
      <c r="G952" s="175"/>
      <c r="I952" s="91"/>
      <c r="J952" s="95"/>
      <c r="K952" s="93"/>
      <c r="L952" s="96"/>
    </row>
    <row r="953" spans="1:12" ht="27" customHeight="1" x14ac:dyDescent="0.2">
      <c r="A953" s="181" t="s">
        <v>188</v>
      </c>
      <c r="B953" s="177" t="s">
        <v>373</v>
      </c>
      <c r="C953" s="178" t="s">
        <v>157</v>
      </c>
      <c r="D953" s="179">
        <v>349.2</v>
      </c>
      <c r="E953" s="180"/>
      <c r="F953" s="180"/>
      <c r="G953" s="166">
        <f t="shared" ref="G953" si="171">(D953*E953)+(D953*F953)</f>
        <v>0</v>
      </c>
      <c r="I953" s="91"/>
      <c r="J953" s="95"/>
      <c r="K953" s="97"/>
      <c r="L953" s="96"/>
    </row>
    <row r="954" spans="1:12" ht="13.5" x14ac:dyDescent="0.2">
      <c r="A954" s="181" t="s">
        <v>189</v>
      </c>
      <c r="B954" s="177" t="s">
        <v>422</v>
      </c>
      <c r="C954" s="178" t="s">
        <v>157</v>
      </c>
      <c r="D954" s="179">
        <f>D710+D713+D714</f>
        <v>169.19</v>
      </c>
      <c r="E954" s="180"/>
      <c r="F954" s="180"/>
      <c r="G954" s="166">
        <f t="shared" ref="G954" si="172">(D954*E954)+(D954*F954)</f>
        <v>0</v>
      </c>
      <c r="I954" s="91"/>
      <c r="J954" s="95"/>
      <c r="K954" s="97"/>
      <c r="L954" s="96"/>
    </row>
    <row r="955" spans="1:12" x14ac:dyDescent="0.2">
      <c r="A955" s="228" t="s">
        <v>171</v>
      </c>
      <c r="B955" s="229" t="s">
        <v>68</v>
      </c>
      <c r="C955" s="451"/>
      <c r="D955" s="452"/>
      <c r="E955" s="453"/>
      <c r="F955" s="453"/>
      <c r="G955" s="454"/>
      <c r="I955" s="91"/>
      <c r="J955" s="95"/>
      <c r="K955" s="93"/>
      <c r="L955" s="96"/>
    </row>
    <row r="956" spans="1:12" x14ac:dyDescent="0.2">
      <c r="A956" s="170" t="s">
        <v>174</v>
      </c>
      <c r="B956" s="234" t="s">
        <v>414</v>
      </c>
      <c r="C956" s="172"/>
      <c r="D956" s="173"/>
      <c r="E956" s="174"/>
      <c r="F956" s="174"/>
      <c r="G956" s="175"/>
      <c r="I956" s="91"/>
      <c r="J956" s="92"/>
      <c r="K956" s="97"/>
      <c r="L956" s="96"/>
    </row>
    <row r="957" spans="1:12" ht="24" x14ac:dyDescent="0.2">
      <c r="A957" s="181" t="s">
        <v>188</v>
      </c>
      <c r="B957" s="177" t="s">
        <v>416</v>
      </c>
      <c r="C957" s="178" t="s">
        <v>157</v>
      </c>
      <c r="D957" s="450">
        <v>298</v>
      </c>
      <c r="E957" s="238"/>
      <c r="F957" s="238"/>
      <c r="G957" s="166">
        <f t="shared" ref="G957" si="173">(D957*E957)+(D957*F957)</f>
        <v>0</v>
      </c>
      <c r="I957" s="91"/>
      <c r="J957" s="95"/>
      <c r="K957" s="93"/>
      <c r="L957" s="96"/>
    </row>
    <row r="958" spans="1:12" x14ac:dyDescent="0.2">
      <c r="A958" s="170" t="s">
        <v>9</v>
      </c>
      <c r="B958" s="234" t="s">
        <v>417</v>
      </c>
      <c r="C958" s="172"/>
      <c r="D958" s="173"/>
      <c r="E958" s="174"/>
      <c r="F958" s="174"/>
      <c r="G958" s="175"/>
      <c r="I958" s="91"/>
      <c r="J958" s="95"/>
      <c r="K958" s="93"/>
      <c r="L958" s="96"/>
    </row>
    <row r="959" spans="1:12" ht="36" x14ac:dyDescent="0.2">
      <c r="A959" s="181" t="s">
        <v>188</v>
      </c>
      <c r="B959" s="177" t="s">
        <v>421</v>
      </c>
      <c r="C959" s="178" t="s">
        <v>157</v>
      </c>
      <c r="D959" s="179">
        <v>464</v>
      </c>
      <c r="E959" s="180"/>
      <c r="F959" s="180"/>
      <c r="G959" s="166">
        <f t="shared" ref="G959:G960" si="174">(D959*E959)+(D959*F959)</f>
        <v>0</v>
      </c>
      <c r="I959" s="91"/>
      <c r="J959" s="95"/>
      <c r="K959" s="93"/>
      <c r="L959" s="96"/>
    </row>
    <row r="960" spans="1:12" ht="13.5" x14ac:dyDescent="0.2">
      <c r="A960" s="181" t="s">
        <v>189</v>
      </c>
      <c r="B960" s="177" t="s">
        <v>422</v>
      </c>
      <c r="C960" s="178" t="s">
        <v>157</v>
      </c>
      <c r="D960" s="179">
        <f>D716+D719+D720+D721</f>
        <v>118.10000000000001</v>
      </c>
      <c r="E960" s="180"/>
      <c r="F960" s="180"/>
      <c r="G960" s="166">
        <f t="shared" si="174"/>
        <v>0</v>
      </c>
      <c r="I960" s="91"/>
      <c r="J960" s="95"/>
      <c r="K960" s="93"/>
      <c r="L960" s="96"/>
    </row>
    <row r="961" spans="1:12" x14ac:dyDescent="0.2">
      <c r="A961" s="228" t="s">
        <v>56</v>
      </c>
      <c r="B961" s="229" t="s">
        <v>69</v>
      </c>
      <c r="C961" s="451"/>
      <c r="D961" s="452"/>
      <c r="E961" s="453"/>
      <c r="F961" s="453"/>
      <c r="G961" s="454"/>
      <c r="I961" s="91"/>
      <c r="J961" s="95"/>
      <c r="K961" s="93"/>
      <c r="L961" s="96"/>
    </row>
    <row r="962" spans="1:12" x14ac:dyDescent="0.2">
      <c r="A962" s="170" t="s">
        <v>176</v>
      </c>
      <c r="B962" s="234" t="s">
        <v>414</v>
      </c>
      <c r="C962" s="172"/>
      <c r="D962" s="173"/>
      <c r="E962" s="174"/>
      <c r="F962" s="174"/>
      <c r="G962" s="175"/>
      <c r="I962" s="91"/>
      <c r="J962" s="95"/>
      <c r="K962" s="93"/>
      <c r="L962" s="96"/>
    </row>
    <row r="963" spans="1:12" ht="24" x14ac:dyDescent="0.2">
      <c r="A963" s="181" t="s">
        <v>188</v>
      </c>
      <c r="B963" s="177" t="s">
        <v>416</v>
      </c>
      <c r="C963" s="178" t="s">
        <v>157</v>
      </c>
      <c r="D963" s="450">
        <v>298</v>
      </c>
      <c r="E963" s="238"/>
      <c r="F963" s="238"/>
      <c r="G963" s="166">
        <f t="shared" ref="G963" si="175">(D963*E963)+(D963*F963)</f>
        <v>0</v>
      </c>
      <c r="I963" s="91"/>
      <c r="J963" s="95"/>
      <c r="K963" s="93"/>
      <c r="L963" s="96"/>
    </row>
    <row r="964" spans="1:12" x14ac:dyDescent="0.2">
      <c r="A964" s="170" t="s">
        <v>67</v>
      </c>
      <c r="B964" s="234" t="s">
        <v>417</v>
      </c>
      <c r="C964" s="172"/>
      <c r="D964" s="173"/>
      <c r="E964" s="174"/>
      <c r="F964" s="174"/>
      <c r="G964" s="175"/>
      <c r="I964" s="91"/>
      <c r="J964" s="95"/>
      <c r="K964" s="93"/>
      <c r="L964" s="96"/>
    </row>
    <row r="965" spans="1:12" ht="36" x14ac:dyDescent="0.2">
      <c r="A965" s="181" t="s">
        <v>188</v>
      </c>
      <c r="B965" s="177" t="s">
        <v>421</v>
      </c>
      <c r="C965" s="178" t="s">
        <v>157</v>
      </c>
      <c r="D965" s="179">
        <v>406.75</v>
      </c>
      <c r="E965" s="180"/>
      <c r="F965" s="180"/>
      <c r="G965" s="166">
        <f t="shared" ref="G965:G966" si="176">(D965*E965)+(D965*F965)</f>
        <v>0</v>
      </c>
      <c r="I965" s="91"/>
      <c r="J965" s="95"/>
      <c r="K965" s="93"/>
      <c r="L965" s="96"/>
    </row>
    <row r="966" spans="1:12" ht="13.5" x14ac:dyDescent="0.2">
      <c r="A966" s="181" t="s">
        <v>189</v>
      </c>
      <c r="B966" s="177" t="s">
        <v>422</v>
      </c>
      <c r="C966" s="178" t="s">
        <v>157</v>
      </c>
      <c r="D966" s="179">
        <f>D723+D725+D726+D727</f>
        <v>109.10000000000001</v>
      </c>
      <c r="E966" s="180"/>
      <c r="F966" s="180"/>
      <c r="G966" s="166">
        <f t="shared" si="176"/>
        <v>0</v>
      </c>
      <c r="I966" s="91"/>
      <c r="J966" s="95"/>
      <c r="K966" s="93"/>
      <c r="L966" s="96"/>
    </row>
    <row r="967" spans="1:12" x14ac:dyDescent="0.2">
      <c r="A967" s="228" t="s">
        <v>56</v>
      </c>
      <c r="B967" s="229" t="s">
        <v>375</v>
      </c>
      <c r="C967" s="451"/>
      <c r="D967" s="452"/>
      <c r="E967" s="453"/>
      <c r="F967" s="453"/>
      <c r="G967" s="454"/>
      <c r="I967" s="91"/>
      <c r="J967" s="95"/>
      <c r="K967" s="93"/>
      <c r="L967" s="96"/>
    </row>
    <row r="968" spans="1:12" x14ac:dyDescent="0.2">
      <c r="A968" s="170" t="s">
        <v>176</v>
      </c>
      <c r="B968" s="234" t="s">
        <v>414</v>
      </c>
      <c r="C968" s="172"/>
      <c r="D968" s="173"/>
      <c r="E968" s="174"/>
      <c r="F968" s="174"/>
      <c r="G968" s="175"/>
      <c r="I968" s="91"/>
      <c r="J968" s="95"/>
      <c r="K968" s="93"/>
      <c r="L968" s="96"/>
    </row>
    <row r="969" spans="1:12" ht="24" x14ac:dyDescent="0.2">
      <c r="A969" s="181" t="s">
        <v>188</v>
      </c>
      <c r="B969" s="177" t="s">
        <v>416</v>
      </c>
      <c r="C969" s="178" t="s">
        <v>157</v>
      </c>
      <c r="D969" s="450">
        <v>63.1</v>
      </c>
      <c r="E969" s="238"/>
      <c r="F969" s="238"/>
      <c r="G969" s="166">
        <f t="shared" ref="G969:G971" si="177">(D969*E969)+(D969*F969)</f>
        <v>0</v>
      </c>
      <c r="I969" s="91"/>
      <c r="J969" s="95"/>
      <c r="K969" s="93"/>
      <c r="L969" s="96"/>
    </row>
    <row r="970" spans="1:12" ht="13.5" x14ac:dyDescent="0.2">
      <c r="A970" s="195" t="s">
        <v>189</v>
      </c>
      <c r="B970" s="236" t="s">
        <v>418</v>
      </c>
      <c r="C970" s="178" t="s">
        <v>157</v>
      </c>
      <c r="D970" s="450">
        <v>116.5</v>
      </c>
      <c r="E970" s="238"/>
      <c r="F970" s="238"/>
      <c r="G970" s="166">
        <f t="shared" si="177"/>
        <v>0</v>
      </c>
      <c r="I970" s="91"/>
      <c r="J970" s="95"/>
      <c r="K970" s="93"/>
      <c r="L970" s="96"/>
    </row>
    <row r="971" spans="1:12" ht="13.5" x14ac:dyDescent="0.2">
      <c r="A971" s="195" t="s">
        <v>202</v>
      </c>
      <c r="B971" s="236" t="s">
        <v>419</v>
      </c>
      <c r="C971" s="178" t="s">
        <v>157</v>
      </c>
      <c r="D971" s="450">
        <v>58.1</v>
      </c>
      <c r="E971" s="238"/>
      <c r="F971" s="238"/>
      <c r="G971" s="166">
        <f t="shared" si="177"/>
        <v>0</v>
      </c>
      <c r="I971" s="91"/>
      <c r="J971" s="95"/>
      <c r="K971" s="93"/>
      <c r="L971" s="96"/>
    </row>
    <row r="972" spans="1:12" x14ac:dyDescent="0.2">
      <c r="A972" s="170" t="s">
        <v>67</v>
      </c>
      <c r="B972" s="234" t="s">
        <v>417</v>
      </c>
      <c r="C972" s="172"/>
      <c r="D972" s="173"/>
      <c r="E972" s="174"/>
      <c r="F972" s="174"/>
      <c r="G972" s="175"/>
      <c r="I972" s="91"/>
      <c r="J972" s="95"/>
      <c r="K972" s="93"/>
      <c r="L972" s="96"/>
    </row>
    <row r="973" spans="1:12" ht="36" x14ac:dyDescent="0.2">
      <c r="A973" s="181" t="s">
        <v>188</v>
      </c>
      <c r="B973" s="177" t="s">
        <v>420</v>
      </c>
      <c r="C973" s="178" t="s">
        <v>157</v>
      </c>
      <c r="D973" s="179">
        <v>90.4</v>
      </c>
      <c r="E973" s="180"/>
      <c r="F973" s="180"/>
      <c r="G973" s="166">
        <f t="shared" ref="G973" si="178">(D973*E973)+(D973*F973)</f>
        <v>0</v>
      </c>
      <c r="I973" s="91"/>
      <c r="J973" s="95"/>
      <c r="K973" s="93"/>
      <c r="L973" s="96"/>
    </row>
    <row r="974" spans="1:12" ht="13.5" x14ac:dyDescent="0.2">
      <c r="A974" s="181" t="s">
        <v>189</v>
      </c>
      <c r="B974" s="177" t="s">
        <v>422</v>
      </c>
      <c r="C974" s="178" t="s">
        <v>157</v>
      </c>
      <c r="D974" s="179">
        <v>48</v>
      </c>
      <c r="E974" s="180"/>
      <c r="F974" s="180"/>
      <c r="G974" s="166">
        <f t="shared" ref="G974" si="179">(D974*E974)+(D974*F974)</f>
        <v>0</v>
      </c>
      <c r="I974" s="84"/>
    </row>
    <row r="975" spans="1:12" x14ac:dyDescent="0.2">
      <c r="A975" s="38"/>
      <c r="B975" s="455"/>
      <c r="C975" s="456"/>
      <c r="D975" s="40"/>
      <c r="E975" s="105"/>
      <c r="F975" s="180"/>
      <c r="G975" s="166"/>
    </row>
    <row r="976" spans="1:12" x14ac:dyDescent="0.2">
      <c r="A976" s="418"/>
      <c r="B976" s="419" t="s">
        <v>280</v>
      </c>
      <c r="C976" s="420"/>
      <c r="D976" s="421"/>
      <c r="E976" s="422"/>
      <c r="F976" s="423"/>
      <c r="G976" s="224"/>
    </row>
    <row r="977" spans="1:8" x14ac:dyDescent="0.2">
      <c r="A977" s="325"/>
      <c r="B977" s="449" t="s">
        <v>124</v>
      </c>
      <c r="C977" s="264"/>
      <c r="D977" s="265"/>
      <c r="E977" s="375"/>
      <c r="F977" s="207"/>
      <c r="G977" s="385">
        <f>SUM(G950:G976)</f>
        <v>0</v>
      </c>
    </row>
    <row r="978" spans="1:8" x14ac:dyDescent="0.2">
      <c r="A978" s="290"/>
      <c r="B978" s="291"/>
      <c r="C978" s="292"/>
      <c r="D978" s="293"/>
      <c r="E978" s="294"/>
      <c r="F978" s="295"/>
      <c r="G978" s="313"/>
    </row>
    <row r="979" spans="1:8" x14ac:dyDescent="0.2">
      <c r="A979" s="297"/>
      <c r="B979" s="298" t="s">
        <v>125</v>
      </c>
      <c r="C979" s="299"/>
      <c r="D979" s="96"/>
      <c r="E979" s="300"/>
      <c r="F979" s="152"/>
      <c r="G979" s="301"/>
    </row>
    <row r="980" spans="1:8" x14ac:dyDescent="0.2">
      <c r="A980" s="297"/>
      <c r="B980" s="302" t="s">
        <v>95</v>
      </c>
      <c r="C980" s="299"/>
      <c r="D980" s="96"/>
      <c r="E980" s="300"/>
      <c r="F980" s="152"/>
      <c r="G980" s="301"/>
    </row>
    <row r="981" spans="1:8" x14ac:dyDescent="0.2">
      <c r="A981" s="319" t="s">
        <v>126</v>
      </c>
      <c r="B981" s="445" t="s">
        <v>44</v>
      </c>
      <c r="C981" s="299"/>
      <c r="D981" s="96"/>
      <c r="E981" s="300"/>
      <c r="F981" s="152"/>
      <c r="G981" s="301"/>
    </row>
    <row r="982" spans="1:8" s="53" customFormat="1" ht="35.25" customHeight="1" x14ac:dyDescent="0.25">
      <c r="A982" s="446"/>
      <c r="B982" s="623" t="s">
        <v>154</v>
      </c>
      <c r="C982" s="623"/>
      <c r="D982" s="623"/>
      <c r="E982" s="623"/>
      <c r="F982" s="447"/>
      <c r="G982" s="448"/>
    </row>
    <row r="983" spans="1:8" s="53" customFormat="1" ht="12" customHeight="1" x14ac:dyDescent="0.25">
      <c r="A983" s="194"/>
      <c r="B983" s="165"/>
      <c r="C983" s="165"/>
      <c r="D983" s="165"/>
      <c r="E983" s="165"/>
      <c r="F983" s="165"/>
      <c r="G983" s="424"/>
    </row>
    <row r="984" spans="1:8" x14ac:dyDescent="0.2">
      <c r="A984" s="157" t="s">
        <v>281</v>
      </c>
      <c r="B984" s="158" t="s">
        <v>127</v>
      </c>
      <c r="C984" s="168"/>
      <c r="D984" s="160"/>
      <c r="E984" s="161"/>
      <c r="F984" s="160"/>
      <c r="G984" s="425"/>
    </row>
    <row r="985" spans="1:8" x14ac:dyDescent="0.2">
      <c r="A985" s="426">
        <v>1</v>
      </c>
      <c r="B985" s="427" t="s">
        <v>66</v>
      </c>
      <c r="C985" s="428"/>
      <c r="D985" s="259"/>
      <c r="E985" s="257"/>
      <c r="F985" s="259"/>
      <c r="G985" s="429"/>
    </row>
    <row r="986" spans="1:8" x14ac:dyDescent="0.2">
      <c r="A986" s="430" t="s">
        <v>188</v>
      </c>
      <c r="B986" s="431" t="s">
        <v>243</v>
      </c>
      <c r="C986" s="432" t="s">
        <v>114</v>
      </c>
      <c r="D986" s="433"/>
      <c r="E986" s="190"/>
      <c r="F986" s="434"/>
      <c r="G986" s="435"/>
    </row>
    <row r="987" spans="1:8" ht="74.25" customHeight="1" x14ac:dyDescent="0.2">
      <c r="A987" s="436" t="s">
        <v>224</v>
      </c>
      <c r="B987" s="437" t="s">
        <v>580</v>
      </c>
      <c r="C987" s="438" t="s">
        <v>128</v>
      </c>
      <c r="D987" s="40">
        <v>7</v>
      </c>
      <c r="E987" s="105"/>
      <c r="F987" s="180"/>
      <c r="G987" s="166">
        <f t="shared" ref="G987" si="180">(D987*E987)+(D987*F987)</f>
        <v>0</v>
      </c>
    </row>
    <row r="988" spans="1:8" ht="12" customHeight="1" x14ac:dyDescent="0.2">
      <c r="A988" s="436"/>
      <c r="B988" s="437"/>
      <c r="C988" s="438"/>
      <c r="D988" s="40"/>
      <c r="E988" s="105"/>
      <c r="F988" s="180"/>
      <c r="G988" s="166"/>
    </row>
    <row r="989" spans="1:8" ht="60" x14ac:dyDescent="0.2">
      <c r="A989" s="436" t="s">
        <v>225</v>
      </c>
      <c r="B989" s="437" t="s">
        <v>579</v>
      </c>
      <c r="C989" s="438" t="s">
        <v>128</v>
      </c>
      <c r="D989" s="40">
        <v>7</v>
      </c>
      <c r="E989" s="105"/>
      <c r="F989" s="180"/>
      <c r="G989" s="166">
        <f t="shared" ref="G989" si="181">(D989*E989)+(D989*F989)</f>
        <v>0</v>
      </c>
      <c r="H989" s="44">
        <f t="shared" ref="H989" si="182">(E989*F989)+(E989*G989)</f>
        <v>0</v>
      </c>
    </row>
    <row r="990" spans="1:8" x14ac:dyDescent="0.2">
      <c r="A990" s="436"/>
      <c r="B990" s="437"/>
      <c r="C990" s="438"/>
      <c r="D990" s="40"/>
      <c r="E990" s="105"/>
      <c r="F990" s="180"/>
      <c r="G990" s="166"/>
      <c r="H990" s="152"/>
    </row>
    <row r="991" spans="1:8" x14ac:dyDescent="0.2">
      <c r="A991" s="426">
        <v>2</v>
      </c>
      <c r="B991" s="427" t="s">
        <v>68</v>
      </c>
      <c r="C991" s="428"/>
      <c r="D991" s="259"/>
      <c r="E991" s="257"/>
      <c r="F991" s="259"/>
      <c r="G991" s="429"/>
    </row>
    <row r="992" spans="1:8" x14ac:dyDescent="0.2">
      <c r="A992" s="430" t="s">
        <v>188</v>
      </c>
      <c r="B992" s="431" t="s">
        <v>243</v>
      </c>
      <c r="C992" s="432" t="s">
        <v>114</v>
      </c>
      <c r="D992" s="433"/>
      <c r="E992" s="190"/>
      <c r="F992" s="434"/>
      <c r="G992" s="435"/>
    </row>
    <row r="993" spans="1:9" ht="74.25" customHeight="1" x14ac:dyDescent="0.2">
      <c r="A993" s="436" t="s">
        <v>224</v>
      </c>
      <c r="B993" s="437" t="s">
        <v>483</v>
      </c>
      <c r="C993" s="438" t="s">
        <v>128</v>
      </c>
      <c r="D993" s="40">
        <v>7</v>
      </c>
      <c r="E993" s="105"/>
      <c r="F993" s="180"/>
      <c r="G993" s="166">
        <f t="shared" ref="G993" si="183">(D993*E993)+(D993*F993)</f>
        <v>0</v>
      </c>
    </row>
    <row r="994" spans="1:9" ht="62.25" customHeight="1" x14ac:dyDescent="0.2">
      <c r="A994" s="436" t="s">
        <v>225</v>
      </c>
      <c r="B994" s="437" t="s">
        <v>484</v>
      </c>
      <c r="C994" s="438" t="s">
        <v>128</v>
      </c>
      <c r="D994" s="40">
        <v>7</v>
      </c>
      <c r="E994" s="105"/>
      <c r="F994" s="180"/>
      <c r="G994" s="166">
        <f t="shared" ref="G994" si="184">(D994*E994)+(D994*F994)</f>
        <v>0</v>
      </c>
    </row>
    <row r="995" spans="1:9" ht="12" customHeight="1" x14ac:dyDescent="0.2">
      <c r="A995" s="436"/>
      <c r="B995" s="437"/>
      <c r="C995" s="438"/>
      <c r="D995" s="40"/>
      <c r="E995" s="105"/>
      <c r="F995" s="180"/>
      <c r="G995" s="166"/>
    </row>
    <row r="996" spans="1:9" x14ac:dyDescent="0.2">
      <c r="A996" s="430" t="s">
        <v>189</v>
      </c>
      <c r="B996" s="431" t="s">
        <v>209</v>
      </c>
      <c r="C996" s="439" t="s">
        <v>114</v>
      </c>
      <c r="D996" s="440"/>
      <c r="E996" s="105"/>
      <c r="F996" s="180"/>
      <c r="G996" s="166"/>
    </row>
    <row r="997" spans="1:9" ht="87.75" customHeight="1" x14ac:dyDescent="0.2">
      <c r="A997" s="436" t="s">
        <v>224</v>
      </c>
      <c r="B997" s="437" t="s">
        <v>519</v>
      </c>
      <c r="C997" s="438" t="s">
        <v>128</v>
      </c>
      <c r="D997" s="40">
        <v>27.75</v>
      </c>
      <c r="E997" s="105"/>
      <c r="F997" s="180"/>
      <c r="G997" s="166">
        <f t="shared" ref="G997" si="185">(D997*E997)+(D997*F997)</f>
        <v>0</v>
      </c>
    </row>
    <row r="998" spans="1:9" ht="12" customHeight="1" x14ac:dyDescent="0.2">
      <c r="A998" s="436"/>
      <c r="B998" s="437"/>
      <c r="C998" s="438"/>
      <c r="D998" s="40"/>
      <c r="E998" s="105"/>
      <c r="F998" s="180"/>
      <c r="G998" s="166"/>
    </row>
    <row r="999" spans="1:9" x14ac:dyDescent="0.2">
      <c r="A999" s="426">
        <v>3</v>
      </c>
      <c r="B999" s="427" t="s">
        <v>69</v>
      </c>
      <c r="C999" s="428"/>
      <c r="D999" s="259"/>
      <c r="E999" s="257"/>
      <c r="F999" s="259"/>
      <c r="G999" s="429"/>
    </row>
    <row r="1000" spans="1:9" x14ac:dyDescent="0.2">
      <c r="A1000" s="430" t="s">
        <v>188</v>
      </c>
      <c r="B1000" s="431" t="s">
        <v>264</v>
      </c>
      <c r="C1000" s="432" t="s">
        <v>114</v>
      </c>
      <c r="D1000" s="433"/>
      <c r="E1000" s="190"/>
      <c r="F1000" s="434"/>
      <c r="G1000" s="435"/>
    </row>
    <row r="1001" spans="1:9" ht="72.75" customHeight="1" x14ac:dyDescent="0.2">
      <c r="A1001" s="436" t="s">
        <v>224</v>
      </c>
      <c r="B1001" s="437" t="s">
        <v>580</v>
      </c>
      <c r="C1001" s="438" t="s">
        <v>128</v>
      </c>
      <c r="D1001" s="40">
        <v>7</v>
      </c>
      <c r="E1001" s="105"/>
      <c r="F1001" s="180"/>
      <c r="G1001" s="166">
        <f t="shared" ref="G1001" si="186">(D1001*E1001)+(D1001*F1001)</f>
        <v>0</v>
      </c>
    </row>
    <row r="1002" spans="1:9" ht="12" customHeight="1" x14ac:dyDescent="0.2">
      <c r="A1002" s="436"/>
      <c r="B1002" s="437"/>
      <c r="C1002" s="438"/>
      <c r="D1002" s="40"/>
      <c r="E1002" s="105"/>
      <c r="F1002" s="180"/>
      <c r="G1002" s="166"/>
    </row>
    <row r="1003" spans="1:9" ht="12" customHeight="1" x14ac:dyDescent="0.2">
      <c r="A1003" s="656"/>
      <c r="B1003" s="443"/>
      <c r="C1003" s="444"/>
      <c r="D1003" s="265"/>
      <c r="E1003" s="375"/>
      <c r="F1003" s="207"/>
      <c r="G1003" s="208"/>
    </row>
    <row r="1004" spans="1:9" ht="12" customHeight="1" x14ac:dyDescent="0.2">
      <c r="A1004" s="436"/>
      <c r="B1004" s="437"/>
      <c r="C1004" s="438"/>
      <c r="D1004" s="40"/>
      <c r="E1004" s="105"/>
      <c r="F1004" s="180"/>
      <c r="G1004" s="166"/>
    </row>
    <row r="1005" spans="1:9" ht="12.75" customHeight="1" x14ac:dyDescent="0.2">
      <c r="A1005" s="430" t="s">
        <v>189</v>
      </c>
      <c r="B1005" s="431" t="s">
        <v>209</v>
      </c>
      <c r="C1005" s="439" t="s">
        <v>114</v>
      </c>
      <c r="D1005" s="440"/>
      <c r="E1005" s="105"/>
      <c r="F1005" s="180"/>
      <c r="G1005" s="166"/>
    </row>
    <row r="1006" spans="1:9" ht="84.75" customHeight="1" x14ac:dyDescent="0.2">
      <c r="A1006" s="441"/>
      <c r="B1006" s="437" t="s">
        <v>519</v>
      </c>
      <c r="C1006" s="438" t="s">
        <v>128</v>
      </c>
      <c r="D1006" s="40">
        <v>27.75</v>
      </c>
      <c r="E1006" s="105"/>
      <c r="F1006" s="180"/>
      <c r="G1006" s="166">
        <f t="shared" ref="G1006" si="187">(D1006*E1006)+(D1006*F1006)</f>
        <v>0</v>
      </c>
      <c r="I1006" s="19">
        <f>3.7*5+3.15*2+2.92</f>
        <v>27.72</v>
      </c>
    </row>
    <row r="1007" spans="1:9" x14ac:dyDescent="0.2">
      <c r="A1007" s="441"/>
      <c r="B1007" s="437"/>
      <c r="C1007" s="438"/>
      <c r="D1007" s="40"/>
      <c r="E1007" s="105"/>
      <c r="F1007" s="180"/>
      <c r="G1007" s="166"/>
    </row>
    <row r="1008" spans="1:9" x14ac:dyDescent="0.2">
      <c r="A1008" s="157" t="s">
        <v>581</v>
      </c>
      <c r="B1008" s="158" t="s">
        <v>582</v>
      </c>
      <c r="C1008" s="168"/>
      <c r="D1008" s="160"/>
      <c r="E1008" s="161"/>
      <c r="F1008" s="160"/>
      <c r="G1008" s="425"/>
    </row>
    <row r="1009" spans="1:7" ht="24" x14ac:dyDescent="0.2">
      <c r="A1009" s="441" t="s">
        <v>188</v>
      </c>
      <c r="B1009" s="437" t="s">
        <v>583</v>
      </c>
      <c r="C1009" s="438" t="s">
        <v>114</v>
      </c>
      <c r="D1009" s="40">
        <v>1</v>
      </c>
      <c r="E1009" s="105"/>
      <c r="F1009" s="180"/>
      <c r="G1009" s="166">
        <f t="shared" ref="G1009" si="188">(D1009*E1009)+(D1009*F1009)</f>
        <v>0</v>
      </c>
    </row>
    <row r="1010" spans="1:7" x14ac:dyDescent="0.2">
      <c r="A1010" s="441"/>
      <c r="B1010" s="437"/>
      <c r="C1010" s="438"/>
      <c r="D1010" s="40"/>
      <c r="E1010" s="105"/>
      <c r="F1010" s="180"/>
      <c r="G1010" s="166"/>
    </row>
    <row r="1011" spans="1:7" ht="48" x14ac:dyDescent="0.2">
      <c r="A1011" s="441" t="s">
        <v>189</v>
      </c>
      <c r="B1011" s="437" t="s">
        <v>584</v>
      </c>
      <c r="C1011" s="438" t="s">
        <v>114</v>
      </c>
      <c r="D1011" s="40">
        <v>1</v>
      </c>
      <c r="E1011" s="105"/>
      <c r="F1011" s="180"/>
      <c r="G1011" s="166">
        <f t="shared" ref="G1011" si="189">(D1011*E1011)+(D1011*F1011)</f>
        <v>0</v>
      </c>
    </row>
    <row r="1012" spans="1:7" x14ac:dyDescent="0.2">
      <c r="A1012" s="441"/>
      <c r="B1012" s="437"/>
      <c r="C1012" s="438"/>
      <c r="D1012" s="40"/>
      <c r="E1012" s="105"/>
      <c r="F1012" s="180"/>
      <c r="G1012" s="166"/>
    </row>
    <row r="1013" spans="1:7" x14ac:dyDescent="0.2">
      <c r="A1013" s="441"/>
      <c r="B1013" s="437"/>
      <c r="C1013" s="438"/>
      <c r="D1013" s="40"/>
      <c r="E1013" s="105"/>
      <c r="F1013" s="180"/>
      <c r="G1013" s="166"/>
    </row>
    <row r="1014" spans="1:7" x14ac:dyDescent="0.2">
      <c r="A1014" s="441"/>
      <c r="B1014" s="437"/>
      <c r="C1014" s="438"/>
      <c r="D1014" s="40"/>
      <c r="E1014" s="105"/>
      <c r="F1014" s="180"/>
      <c r="G1014" s="166"/>
    </row>
    <row r="1015" spans="1:7" x14ac:dyDescent="0.2">
      <c r="A1015" s="441"/>
      <c r="B1015" s="437"/>
      <c r="C1015" s="438"/>
      <c r="D1015" s="40"/>
      <c r="E1015" s="105"/>
      <c r="F1015" s="180"/>
      <c r="G1015" s="166"/>
    </row>
    <row r="1016" spans="1:7" x14ac:dyDescent="0.2">
      <c r="A1016" s="441"/>
      <c r="B1016" s="437"/>
      <c r="C1016" s="438"/>
      <c r="D1016" s="40"/>
      <c r="E1016" s="105"/>
      <c r="F1016" s="180"/>
      <c r="G1016" s="166"/>
    </row>
    <row r="1017" spans="1:7" x14ac:dyDescent="0.2">
      <c r="A1017" s="441"/>
      <c r="B1017" s="437"/>
      <c r="C1017" s="438"/>
      <c r="D1017" s="40"/>
      <c r="E1017" s="105"/>
      <c r="F1017" s="180"/>
      <c r="G1017" s="166"/>
    </row>
    <row r="1018" spans="1:7" x14ac:dyDescent="0.2">
      <c r="A1018" s="441"/>
      <c r="B1018" s="437"/>
      <c r="C1018" s="438"/>
      <c r="D1018" s="40"/>
      <c r="E1018" s="105"/>
      <c r="F1018" s="180"/>
      <c r="G1018" s="166"/>
    </row>
    <row r="1019" spans="1:7" x14ac:dyDescent="0.2">
      <c r="A1019" s="441"/>
      <c r="B1019" s="437"/>
      <c r="C1019" s="438"/>
      <c r="D1019" s="40"/>
      <c r="E1019" s="105"/>
      <c r="F1019" s="180"/>
      <c r="G1019" s="166"/>
    </row>
    <row r="1020" spans="1:7" x14ac:dyDescent="0.2">
      <c r="A1020" s="441"/>
      <c r="B1020" s="437"/>
      <c r="C1020" s="438"/>
      <c r="D1020" s="40"/>
      <c r="E1020" s="105"/>
      <c r="F1020" s="180"/>
      <c r="G1020" s="166"/>
    </row>
    <row r="1021" spans="1:7" x14ac:dyDescent="0.2">
      <c r="A1021" s="441"/>
      <c r="B1021" s="437"/>
      <c r="C1021" s="438"/>
      <c r="D1021" s="40"/>
      <c r="E1021" s="105"/>
      <c r="F1021" s="180"/>
      <c r="G1021" s="166"/>
    </row>
    <row r="1022" spans="1:7" x14ac:dyDescent="0.2">
      <c r="A1022" s="441"/>
      <c r="B1022" s="437"/>
      <c r="C1022" s="438"/>
      <c r="D1022" s="40"/>
      <c r="E1022" s="105"/>
      <c r="F1022" s="180"/>
      <c r="G1022" s="166"/>
    </row>
    <row r="1023" spans="1:7" x14ac:dyDescent="0.2">
      <c r="A1023" s="441"/>
      <c r="B1023" s="437"/>
      <c r="C1023" s="438"/>
      <c r="D1023" s="40"/>
      <c r="E1023" s="105"/>
      <c r="F1023" s="180"/>
      <c r="G1023" s="166"/>
    </row>
    <row r="1024" spans="1:7" x14ac:dyDescent="0.2">
      <c r="A1024" s="441"/>
      <c r="B1024" s="437"/>
      <c r="C1024" s="438"/>
      <c r="D1024" s="40"/>
      <c r="E1024" s="105"/>
      <c r="F1024" s="180"/>
      <c r="G1024" s="166"/>
    </row>
    <row r="1025" spans="1:7" x14ac:dyDescent="0.2">
      <c r="A1025" s="441"/>
      <c r="B1025" s="437"/>
      <c r="C1025" s="438"/>
      <c r="D1025" s="40"/>
      <c r="E1025" s="105"/>
      <c r="F1025" s="180"/>
      <c r="G1025" s="166"/>
    </row>
    <row r="1026" spans="1:7" x14ac:dyDescent="0.2">
      <c r="A1026" s="441"/>
      <c r="B1026" s="437"/>
      <c r="C1026" s="438"/>
      <c r="D1026" s="40"/>
      <c r="E1026" s="105"/>
      <c r="F1026" s="180"/>
      <c r="G1026" s="166"/>
    </row>
    <row r="1027" spans="1:7" x14ac:dyDescent="0.2">
      <c r="A1027" s="441"/>
      <c r="B1027" s="437"/>
      <c r="C1027" s="438"/>
      <c r="D1027" s="40"/>
      <c r="E1027" s="105"/>
      <c r="F1027" s="180"/>
      <c r="G1027" s="166"/>
    </row>
    <row r="1028" spans="1:7" x14ac:dyDescent="0.2">
      <c r="A1028" s="441"/>
      <c r="B1028" s="437"/>
      <c r="C1028" s="438"/>
      <c r="D1028" s="40"/>
      <c r="E1028" s="105"/>
      <c r="F1028" s="180"/>
      <c r="G1028" s="166"/>
    </row>
    <row r="1029" spans="1:7" x14ac:dyDescent="0.2">
      <c r="A1029" s="441"/>
      <c r="B1029" s="437"/>
      <c r="C1029" s="438"/>
      <c r="D1029" s="40"/>
      <c r="E1029" s="105"/>
      <c r="F1029" s="180"/>
      <c r="G1029" s="166"/>
    </row>
    <row r="1030" spans="1:7" x14ac:dyDescent="0.2">
      <c r="A1030" s="441"/>
      <c r="B1030" s="437"/>
      <c r="C1030" s="438"/>
      <c r="D1030" s="40"/>
      <c r="E1030" s="105"/>
      <c r="F1030" s="180"/>
      <c r="G1030" s="166"/>
    </row>
    <row r="1031" spans="1:7" x14ac:dyDescent="0.2">
      <c r="A1031" s="441"/>
      <c r="B1031" s="437"/>
      <c r="C1031" s="438"/>
      <c r="D1031" s="40"/>
      <c r="E1031" s="105"/>
      <c r="F1031" s="180"/>
      <c r="G1031" s="166"/>
    </row>
    <row r="1032" spans="1:7" x14ac:dyDescent="0.2">
      <c r="A1032" s="441"/>
      <c r="B1032" s="437"/>
      <c r="C1032" s="438"/>
      <c r="D1032" s="40"/>
      <c r="E1032" s="105"/>
      <c r="F1032" s="180"/>
      <c r="G1032" s="166"/>
    </row>
    <row r="1033" spans="1:7" x14ac:dyDescent="0.2">
      <c r="A1033" s="441"/>
      <c r="B1033" s="437"/>
      <c r="C1033" s="438"/>
      <c r="D1033" s="40"/>
      <c r="E1033" s="105"/>
      <c r="F1033" s="180"/>
      <c r="G1033" s="166"/>
    </row>
    <row r="1034" spans="1:7" x14ac:dyDescent="0.2">
      <c r="A1034" s="441"/>
      <c r="B1034" s="437"/>
      <c r="C1034" s="438"/>
      <c r="D1034" s="40"/>
      <c r="E1034" s="105"/>
      <c r="F1034" s="180"/>
      <c r="G1034" s="166"/>
    </row>
    <row r="1035" spans="1:7" x14ac:dyDescent="0.2">
      <c r="A1035" s="441"/>
      <c r="B1035" s="437"/>
      <c r="C1035" s="438"/>
      <c r="D1035" s="40"/>
      <c r="E1035" s="105"/>
      <c r="F1035" s="180"/>
      <c r="G1035" s="166"/>
    </row>
    <row r="1036" spans="1:7" x14ac:dyDescent="0.2">
      <c r="A1036" s="441"/>
      <c r="B1036" s="437"/>
      <c r="C1036" s="438"/>
      <c r="D1036" s="40"/>
      <c r="E1036" s="105"/>
      <c r="F1036" s="180"/>
      <c r="G1036" s="166"/>
    </row>
    <row r="1037" spans="1:7" x14ac:dyDescent="0.2">
      <c r="A1037" s="441"/>
      <c r="B1037" s="437"/>
      <c r="C1037" s="438"/>
      <c r="D1037" s="40"/>
      <c r="E1037" s="105"/>
      <c r="F1037" s="180"/>
      <c r="G1037" s="166"/>
    </row>
    <row r="1038" spans="1:7" x14ac:dyDescent="0.2">
      <c r="A1038" s="441"/>
      <c r="B1038" s="437"/>
      <c r="C1038" s="438"/>
      <c r="D1038" s="40"/>
      <c r="E1038" s="105"/>
      <c r="F1038" s="180"/>
      <c r="G1038" s="166"/>
    </row>
    <row r="1039" spans="1:7" x14ac:dyDescent="0.2">
      <c r="A1039" s="441"/>
      <c r="B1039" s="437"/>
      <c r="C1039" s="438"/>
      <c r="D1039" s="40"/>
      <c r="E1039" s="105"/>
      <c r="F1039" s="180"/>
      <c r="G1039" s="166"/>
    </row>
    <row r="1040" spans="1:7" x14ac:dyDescent="0.2">
      <c r="A1040" s="441"/>
      <c r="B1040" s="437"/>
      <c r="C1040" s="438"/>
      <c r="D1040" s="40"/>
      <c r="E1040" s="105"/>
      <c r="F1040" s="180"/>
      <c r="G1040" s="166"/>
    </row>
    <row r="1041" spans="1:7" x14ac:dyDescent="0.2">
      <c r="A1041" s="441"/>
      <c r="B1041" s="437"/>
      <c r="C1041" s="438"/>
      <c r="D1041" s="40"/>
      <c r="E1041" s="105"/>
      <c r="F1041" s="180"/>
      <c r="G1041" s="166"/>
    </row>
    <row r="1042" spans="1:7" x14ac:dyDescent="0.2">
      <c r="A1042" s="441"/>
      <c r="B1042" s="437"/>
      <c r="C1042" s="438"/>
      <c r="D1042" s="40"/>
      <c r="E1042" s="105"/>
      <c r="F1042" s="180"/>
      <c r="G1042" s="166"/>
    </row>
    <row r="1043" spans="1:7" x14ac:dyDescent="0.2">
      <c r="A1043" s="441"/>
      <c r="B1043" s="437"/>
      <c r="C1043" s="438"/>
      <c r="D1043" s="40"/>
      <c r="E1043" s="105"/>
      <c r="F1043" s="180"/>
      <c r="G1043" s="166"/>
    </row>
    <row r="1044" spans="1:7" x14ac:dyDescent="0.2">
      <c r="A1044" s="441"/>
      <c r="B1044" s="437"/>
      <c r="C1044" s="438"/>
      <c r="D1044" s="40"/>
      <c r="E1044" s="105"/>
      <c r="F1044" s="180"/>
      <c r="G1044" s="166"/>
    </row>
    <row r="1045" spans="1:7" x14ac:dyDescent="0.2">
      <c r="A1045" s="441"/>
      <c r="B1045" s="437"/>
      <c r="C1045" s="438"/>
      <c r="D1045" s="40"/>
      <c r="E1045" s="105"/>
      <c r="F1045" s="180"/>
      <c r="G1045" s="166"/>
    </row>
    <row r="1046" spans="1:7" x14ac:dyDescent="0.2">
      <c r="A1046" s="441"/>
      <c r="B1046" s="437"/>
      <c r="C1046" s="438"/>
      <c r="D1046" s="40"/>
      <c r="E1046" s="105"/>
      <c r="F1046" s="180"/>
      <c r="G1046" s="166"/>
    </row>
    <row r="1047" spans="1:7" x14ac:dyDescent="0.2">
      <c r="A1047" s="441"/>
      <c r="B1047" s="437"/>
      <c r="C1047" s="438"/>
      <c r="D1047" s="40"/>
      <c r="E1047" s="105"/>
      <c r="F1047" s="180"/>
      <c r="G1047" s="166"/>
    </row>
    <row r="1048" spans="1:7" x14ac:dyDescent="0.2">
      <c r="A1048" s="441"/>
      <c r="B1048" s="437"/>
      <c r="C1048" s="438"/>
      <c r="D1048" s="40"/>
      <c r="E1048" s="105"/>
      <c r="F1048" s="180"/>
      <c r="G1048" s="166"/>
    </row>
    <row r="1049" spans="1:7" x14ac:dyDescent="0.2">
      <c r="A1049" s="442"/>
      <c r="B1049" s="443"/>
      <c r="C1049" s="444"/>
      <c r="D1049" s="265"/>
      <c r="E1049" s="375"/>
      <c r="F1049" s="207"/>
      <c r="G1049" s="208"/>
    </row>
    <row r="1050" spans="1:7" x14ac:dyDescent="0.2">
      <c r="A1050" s="457"/>
      <c r="B1050" s="291" t="s">
        <v>282</v>
      </c>
      <c r="C1050" s="292"/>
      <c r="D1050" s="293"/>
      <c r="E1050" s="294"/>
      <c r="F1050" s="386"/>
      <c r="G1050" s="224"/>
    </row>
    <row r="1051" spans="1:7" x14ac:dyDescent="0.2">
      <c r="A1051" s="533"/>
      <c r="B1051" s="387" t="s">
        <v>129</v>
      </c>
      <c r="C1051" s="388"/>
      <c r="D1051" s="389"/>
      <c r="E1051" s="390"/>
      <c r="F1051" s="391"/>
      <c r="G1051" s="385">
        <f>SUM(G987:G1005)</f>
        <v>0</v>
      </c>
    </row>
    <row r="1052" spans="1:7" x14ac:dyDescent="0.2">
      <c r="A1052" s="457"/>
      <c r="B1052" s="291"/>
      <c r="C1052" s="292"/>
      <c r="D1052" s="293"/>
      <c r="E1052" s="294"/>
      <c r="F1052" s="295"/>
      <c r="G1052" s="313"/>
    </row>
    <row r="1053" spans="1:7" x14ac:dyDescent="0.2">
      <c r="A1053" s="297"/>
      <c r="B1053" s="298" t="s">
        <v>130</v>
      </c>
      <c r="C1053" s="299"/>
      <c r="D1053" s="96"/>
      <c r="E1053" s="300"/>
      <c r="F1053" s="152"/>
      <c r="G1053" s="301"/>
    </row>
    <row r="1054" spans="1:7" x14ac:dyDescent="0.2">
      <c r="A1054" s="297"/>
      <c r="B1054" s="302" t="s">
        <v>131</v>
      </c>
      <c r="C1054" s="299"/>
      <c r="D1054" s="96"/>
      <c r="E1054" s="300"/>
      <c r="F1054" s="152"/>
      <c r="G1054" s="301"/>
    </row>
    <row r="1055" spans="1:7" x14ac:dyDescent="0.2">
      <c r="A1055" s="319" t="s">
        <v>132</v>
      </c>
      <c r="B1055" s="445" t="s">
        <v>44</v>
      </c>
      <c r="C1055" s="299"/>
      <c r="D1055" s="96"/>
      <c r="E1055" s="300"/>
      <c r="F1055" s="152"/>
      <c r="G1055" s="301"/>
    </row>
    <row r="1056" spans="1:7" ht="29.25" customHeight="1" x14ac:dyDescent="0.2">
      <c r="A1056" s="297"/>
      <c r="B1056" s="621" t="s">
        <v>181</v>
      </c>
      <c r="C1056" s="621"/>
      <c r="D1056" s="621"/>
      <c r="E1056" s="621"/>
      <c r="F1056" s="333"/>
      <c r="G1056" s="334"/>
    </row>
    <row r="1057" spans="1:7" ht="30.75" customHeight="1" x14ac:dyDescent="0.2">
      <c r="A1057" s="343"/>
      <c r="B1057" s="621" t="s">
        <v>180</v>
      </c>
      <c r="C1057" s="621"/>
      <c r="D1057" s="621"/>
      <c r="E1057" s="621"/>
      <c r="F1057" s="333"/>
      <c r="G1057" s="334"/>
    </row>
    <row r="1058" spans="1:7" ht="17.25" customHeight="1" x14ac:dyDescent="0.2">
      <c r="A1058" s="297"/>
      <c r="B1058" s="340" t="s">
        <v>133</v>
      </c>
      <c r="C1058" s="340"/>
      <c r="D1058" s="340"/>
      <c r="E1058" s="340"/>
      <c r="F1058" s="333"/>
      <c r="G1058" s="334"/>
    </row>
    <row r="1059" spans="1:7" ht="53.25" customHeight="1" x14ac:dyDescent="0.2">
      <c r="A1059" s="297"/>
      <c r="B1059" s="621" t="s">
        <v>179</v>
      </c>
      <c r="C1059" s="621"/>
      <c r="D1059" s="621"/>
      <c r="E1059" s="621"/>
      <c r="F1059" s="333"/>
      <c r="G1059" s="334"/>
    </row>
    <row r="1060" spans="1:7" ht="18" customHeight="1" x14ac:dyDescent="0.2">
      <c r="A1060" s="297"/>
      <c r="B1060" s="622" t="s">
        <v>134</v>
      </c>
      <c r="C1060" s="622"/>
      <c r="D1060" s="622"/>
      <c r="E1060" s="622"/>
      <c r="F1060" s="333"/>
      <c r="G1060" s="334"/>
    </row>
    <row r="1061" spans="1:7" x14ac:dyDescent="0.2">
      <c r="A1061" s="536" t="s">
        <v>169</v>
      </c>
      <c r="B1061" s="537" t="s">
        <v>66</v>
      </c>
      <c r="C1061" s="538"/>
      <c r="D1061" s="539"/>
      <c r="E1061" s="539"/>
      <c r="F1061" s="540"/>
      <c r="G1061" s="541">
        <f>D1061*E1061</f>
        <v>0</v>
      </c>
    </row>
    <row r="1062" spans="1:7" x14ac:dyDescent="0.2">
      <c r="A1062" s="542" t="s">
        <v>224</v>
      </c>
      <c r="B1062" s="543" t="s">
        <v>135</v>
      </c>
      <c r="C1062" s="544"/>
      <c r="D1062" s="545"/>
      <c r="E1062" s="161"/>
      <c r="F1062" s="160"/>
      <c r="G1062" s="425"/>
    </row>
    <row r="1063" spans="1:7" ht="39.75" customHeight="1" x14ac:dyDescent="0.2">
      <c r="A1063" s="218" t="s">
        <v>188</v>
      </c>
      <c r="B1063" s="523" t="s">
        <v>424</v>
      </c>
      <c r="C1063" s="413" t="s">
        <v>17</v>
      </c>
      <c r="D1063" s="209">
        <v>1</v>
      </c>
      <c r="E1063" s="105"/>
      <c r="F1063" s="180">
        <f>E1063*35%</f>
        <v>0</v>
      </c>
      <c r="G1063" s="166">
        <f t="shared" ref="G1063:G1065" si="190">(D1063*E1063)+(D1063*F1063)</f>
        <v>0</v>
      </c>
    </row>
    <row r="1064" spans="1:7" ht="36.75" customHeight="1" x14ac:dyDescent="0.2">
      <c r="A1064" s="218" t="s">
        <v>189</v>
      </c>
      <c r="B1064" s="546" t="s">
        <v>423</v>
      </c>
      <c r="C1064" s="524" t="s">
        <v>17</v>
      </c>
      <c r="D1064" s="209">
        <v>1</v>
      </c>
      <c r="E1064" s="105"/>
      <c r="F1064" s="180">
        <f>E1064*35%</f>
        <v>0</v>
      </c>
      <c r="G1064" s="166">
        <f t="shared" si="190"/>
        <v>0</v>
      </c>
    </row>
    <row r="1065" spans="1:7" ht="37.5" customHeight="1" x14ac:dyDescent="0.2">
      <c r="A1065" s="218" t="s">
        <v>202</v>
      </c>
      <c r="B1065" s="546" t="s">
        <v>278</v>
      </c>
      <c r="C1065" s="524" t="s">
        <v>17</v>
      </c>
      <c r="D1065" s="209">
        <v>1</v>
      </c>
      <c r="E1065" s="105"/>
      <c r="F1065" s="180"/>
      <c r="G1065" s="166">
        <f t="shared" si="190"/>
        <v>0</v>
      </c>
    </row>
    <row r="1066" spans="1:7" x14ac:dyDescent="0.2">
      <c r="A1066" s="542" t="s">
        <v>225</v>
      </c>
      <c r="B1066" s="547" t="s">
        <v>136</v>
      </c>
      <c r="C1066" s="544"/>
      <c r="D1066" s="545"/>
      <c r="E1066" s="161"/>
      <c r="F1066" s="232"/>
      <c r="G1066" s="233">
        <f>D1066*E1066</f>
        <v>0</v>
      </c>
    </row>
    <row r="1067" spans="1:7" x14ac:dyDescent="0.2">
      <c r="A1067" s="218"/>
      <c r="B1067" s="546" t="s">
        <v>588</v>
      </c>
      <c r="C1067" s="524" t="s">
        <v>114</v>
      </c>
      <c r="D1067" s="209">
        <v>1</v>
      </c>
      <c r="E1067" s="105"/>
      <c r="F1067" s="180"/>
      <c r="G1067" s="166">
        <f t="shared" ref="G1067:G1071" si="191">(D1067*E1067)+(D1067*F1067)</f>
        <v>0</v>
      </c>
    </row>
    <row r="1068" spans="1:7" x14ac:dyDescent="0.2">
      <c r="A1068" s="218"/>
      <c r="B1068" s="546" t="s">
        <v>589</v>
      </c>
      <c r="C1068" s="524" t="s">
        <v>114</v>
      </c>
      <c r="D1068" s="209">
        <v>1</v>
      </c>
      <c r="E1068" s="105"/>
      <c r="F1068" s="180"/>
      <c r="G1068" s="166">
        <f t="shared" si="191"/>
        <v>0</v>
      </c>
    </row>
    <row r="1069" spans="1:7" x14ac:dyDescent="0.2">
      <c r="A1069" s="218"/>
      <c r="B1069" s="546" t="s">
        <v>590</v>
      </c>
      <c r="C1069" s="524" t="s">
        <v>114</v>
      </c>
      <c r="D1069" s="209">
        <v>1</v>
      </c>
      <c r="E1069" s="105"/>
      <c r="F1069" s="180"/>
      <c r="G1069" s="166">
        <f t="shared" si="191"/>
        <v>0</v>
      </c>
    </row>
    <row r="1070" spans="1:7" x14ac:dyDescent="0.2">
      <c r="A1070" s="218"/>
      <c r="B1070" s="546" t="s">
        <v>591</v>
      </c>
      <c r="C1070" s="524" t="s">
        <v>114</v>
      </c>
      <c r="D1070" s="209">
        <v>1</v>
      </c>
      <c r="E1070" s="479"/>
      <c r="F1070" s="180"/>
      <c r="G1070" s="166">
        <f t="shared" si="191"/>
        <v>0</v>
      </c>
    </row>
    <row r="1071" spans="1:7" x14ac:dyDescent="0.2">
      <c r="A1071" s="218"/>
      <c r="B1071" s="546" t="s">
        <v>592</v>
      </c>
      <c r="C1071" s="524" t="s">
        <v>114</v>
      </c>
      <c r="D1071" s="209">
        <v>6</v>
      </c>
      <c r="E1071" s="479"/>
      <c r="F1071" s="180"/>
      <c r="G1071" s="166">
        <f t="shared" si="191"/>
        <v>0</v>
      </c>
    </row>
    <row r="1072" spans="1:7" ht="13.5" customHeight="1" x14ac:dyDescent="0.2">
      <c r="A1072" s="542" t="s">
        <v>227</v>
      </c>
      <c r="B1072" s="548" t="s">
        <v>273</v>
      </c>
      <c r="C1072" s="549"/>
      <c r="D1072" s="545"/>
      <c r="E1072" s="545"/>
      <c r="F1072" s="550"/>
      <c r="G1072" s="551"/>
    </row>
    <row r="1073" spans="1:10" ht="13.5" customHeight="1" x14ac:dyDescent="0.2">
      <c r="A1073" s="525" t="s">
        <v>169</v>
      </c>
      <c r="B1073" s="552" t="s">
        <v>274</v>
      </c>
      <c r="C1073" s="553"/>
      <c r="D1073" s="479"/>
      <c r="E1073" s="105"/>
      <c r="F1073" s="180"/>
      <c r="G1073" s="166"/>
    </row>
    <row r="1074" spans="1:10" ht="36.75" customHeight="1" x14ac:dyDescent="0.2">
      <c r="A1074" s="218" t="s">
        <v>188</v>
      </c>
      <c r="B1074" s="546" t="s">
        <v>275</v>
      </c>
      <c r="C1074" s="524" t="s">
        <v>17</v>
      </c>
      <c r="D1074" s="209">
        <v>1</v>
      </c>
      <c r="E1074" s="105"/>
      <c r="F1074" s="180"/>
      <c r="G1074" s="166">
        <f>(D1074*E1074)+(D1074*F1074)</f>
        <v>0</v>
      </c>
    </row>
    <row r="1075" spans="1:10" ht="28.5" customHeight="1" x14ac:dyDescent="0.2">
      <c r="A1075" s="218" t="s">
        <v>189</v>
      </c>
      <c r="B1075" s="546" t="s">
        <v>276</v>
      </c>
      <c r="C1075" s="524" t="s">
        <v>17</v>
      </c>
      <c r="D1075" s="209">
        <v>1</v>
      </c>
      <c r="E1075" s="105"/>
      <c r="F1075" s="180"/>
      <c r="G1075" s="166">
        <f t="shared" ref="G1075:G1076" si="192">(D1075*E1075)+(D1075*F1075)</f>
        <v>0</v>
      </c>
      <c r="I1075" s="45"/>
      <c r="J1075" s="45"/>
    </row>
    <row r="1076" spans="1:10" ht="27.75" customHeight="1" x14ac:dyDescent="0.2">
      <c r="A1076" s="218" t="s">
        <v>202</v>
      </c>
      <c r="B1076" s="546" t="s">
        <v>277</v>
      </c>
      <c r="C1076" s="524" t="s">
        <v>17</v>
      </c>
      <c r="D1076" s="209">
        <v>1</v>
      </c>
      <c r="E1076" s="105"/>
      <c r="F1076" s="180"/>
      <c r="G1076" s="166">
        <f t="shared" si="192"/>
        <v>0</v>
      </c>
    </row>
    <row r="1077" spans="1:10" x14ac:dyDescent="0.2">
      <c r="A1077" s="536">
        <v>2</v>
      </c>
      <c r="B1077" s="537" t="s">
        <v>68</v>
      </c>
      <c r="C1077" s="538"/>
      <c r="D1077" s="539"/>
      <c r="E1077" s="539"/>
      <c r="F1077" s="540"/>
      <c r="G1077" s="541">
        <f>D1077*E1077</f>
        <v>0</v>
      </c>
    </row>
    <row r="1078" spans="1:10" x14ac:dyDescent="0.2">
      <c r="A1078" s="542" t="s">
        <v>224</v>
      </c>
      <c r="B1078" s="543" t="s">
        <v>135</v>
      </c>
      <c r="C1078" s="544"/>
      <c r="D1078" s="545"/>
      <c r="E1078" s="161"/>
      <c r="F1078" s="160"/>
      <c r="G1078" s="425"/>
    </row>
    <row r="1079" spans="1:10" ht="36" x14ac:dyDescent="0.2">
      <c r="A1079" s="218" t="s">
        <v>188</v>
      </c>
      <c r="B1079" s="523" t="s">
        <v>424</v>
      </c>
      <c r="C1079" s="413" t="s">
        <v>17</v>
      </c>
      <c r="D1079" s="209">
        <v>1</v>
      </c>
      <c r="E1079" s="105"/>
      <c r="F1079" s="180">
        <f>E1079*35%</f>
        <v>0</v>
      </c>
      <c r="G1079" s="166">
        <f t="shared" ref="G1079:G1080" si="193">(D1079*E1079)+(D1079*F1079)</f>
        <v>0</v>
      </c>
    </row>
    <row r="1080" spans="1:10" ht="36" x14ac:dyDescent="0.2">
      <c r="A1080" s="218" t="s">
        <v>189</v>
      </c>
      <c r="B1080" s="546" t="s">
        <v>423</v>
      </c>
      <c r="C1080" s="524" t="s">
        <v>17</v>
      </c>
      <c r="D1080" s="209">
        <v>1</v>
      </c>
      <c r="E1080" s="105"/>
      <c r="F1080" s="180">
        <f>E1080*35%</f>
        <v>0</v>
      </c>
      <c r="G1080" s="166">
        <f t="shared" si="193"/>
        <v>0</v>
      </c>
    </row>
    <row r="1081" spans="1:10" ht="13.5" customHeight="1" x14ac:dyDescent="0.2">
      <c r="A1081" s="542" t="s">
        <v>225</v>
      </c>
      <c r="B1081" s="547" t="s">
        <v>136</v>
      </c>
      <c r="C1081" s="544"/>
      <c r="D1081" s="545"/>
      <c r="E1081" s="161"/>
      <c r="F1081" s="232"/>
      <c r="G1081" s="233">
        <f>D1081*E1081</f>
        <v>0</v>
      </c>
    </row>
    <row r="1082" spans="1:10" x14ac:dyDescent="0.2">
      <c r="A1082" s="218"/>
      <c r="B1082" s="546" t="s">
        <v>137</v>
      </c>
      <c r="C1082" s="524" t="s">
        <v>114</v>
      </c>
      <c r="D1082" s="209">
        <v>3</v>
      </c>
      <c r="E1082" s="105"/>
      <c r="F1082" s="180"/>
      <c r="G1082" s="166">
        <f t="shared" ref="G1082:G1088" si="194">(D1082*E1082)+(D1082*F1082)</f>
        <v>0</v>
      </c>
    </row>
    <row r="1083" spans="1:10" x14ac:dyDescent="0.2">
      <c r="A1083" s="218"/>
      <c r="B1083" s="546" t="s">
        <v>485</v>
      </c>
      <c r="C1083" s="524" t="s">
        <v>114</v>
      </c>
      <c r="D1083" s="209">
        <v>2</v>
      </c>
      <c r="E1083" s="105"/>
      <c r="F1083" s="180"/>
      <c r="G1083" s="166">
        <f t="shared" si="194"/>
        <v>0</v>
      </c>
    </row>
    <row r="1084" spans="1:10" ht="14.25" customHeight="1" x14ac:dyDescent="0.2">
      <c r="A1084" s="218"/>
      <c r="B1084" s="546" t="s">
        <v>138</v>
      </c>
      <c r="C1084" s="524" t="s">
        <v>114</v>
      </c>
      <c r="D1084" s="209">
        <v>2</v>
      </c>
      <c r="E1084" s="105"/>
      <c r="F1084" s="180"/>
      <c r="G1084" s="166">
        <f t="shared" si="194"/>
        <v>0</v>
      </c>
    </row>
    <row r="1085" spans="1:10" ht="14.25" customHeight="1" x14ac:dyDescent="0.2">
      <c r="A1085" s="218"/>
      <c r="B1085" s="546" t="s">
        <v>139</v>
      </c>
      <c r="C1085" s="524" t="s">
        <v>114</v>
      </c>
      <c r="D1085" s="209">
        <f>D1082</f>
        <v>3</v>
      </c>
      <c r="E1085" s="105"/>
      <c r="F1085" s="180"/>
      <c r="G1085" s="166">
        <f t="shared" si="194"/>
        <v>0</v>
      </c>
    </row>
    <row r="1086" spans="1:10" x14ac:dyDescent="0.2">
      <c r="A1086" s="218"/>
      <c r="B1086" s="546" t="s">
        <v>140</v>
      </c>
      <c r="C1086" s="524" t="s">
        <v>114</v>
      </c>
      <c r="D1086" s="209">
        <v>1</v>
      </c>
      <c r="E1086" s="105"/>
      <c r="F1086" s="180"/>
      <c r="G1086" s="166">
        <f t="shared" si="194"/>
        <v>0</v>
      </c>
    </row>
    <row r="1087" spans="1:10" x14ac:dyDescent="0.2">
      <c r="A1087" s="218"/>
      <c r="B1087" s="546" t="s">
        <v>141</v>
      </c>
      <c r="C1087" s="524" t="s">
        <v>114</v>
      </c>
      <c r="D1087" s="209">
        <f>D1082</f>
        <v>3</v>
      </c>
      <c r="E1087" s="105"/>
      <c r="F1087" s="180"/>
      <c r="G1087" s="166">
        <f t="shared" si="194"/>
        <v>0</v>
      </c>
    </row>
    <row r="1088" spans="1:10" x14ac:dyDescent="0.2">
      <c r="A1088" s="657"/>
      <c r="B1088" s="658" t="s">
        <v>594</v>
      </c>
      <c r="C1088" s="659" t="s">
        <v>114</v>
      </c>
      <c r="D1088" s="501">
        <v>4</v>
      </c>
      <c r="E1088" s="375"/>
      <c r="F1088" s="207"/>
      <c r="G1088" s="208">
        <f t="shared" si="194"/>
        <v>0</v>
      </c>
    </row>
    <row r="1089" spans="1:7" x14ac:dyDescent="0.2">
      <c r="A1089" s="218"/>
      <c r="B1089" s="546"/>
      <c r="C1089" s="524"/>
      <c r="D1089" s="209"/>
      <c r="E1089" s="209"/>
      <c r="F1089" s="199"/>
      <c r="G1089" s="200"/>
    </row>
    <row r="1090" spans="1:7" x14ac:dyDescent="0.2">
      <c r="A1090" s="554"/>
      <c r="B1090" s="555" t="s">
        <v>425</v>
      </c>
      <c r="C1090" s="556"/>
      <c r="D1090" s="161"/>
      <c r="E1090" s="161"/>
      <c r="F1090" s="232"/>
      <c r="G1090" s="233"/>
    </row>
    <row r="1091" spans="1:7" ht="36" x14ac:dyDescent="0.2">
      <c r="A1091" s="218" t="s">
        <v>188</v>
      </c>
      <c r="B1091" s="546" t="s">
        <v>426</v>
      </c>
      <c r="C1091" s="524" t="s">
        <v>114</v>
      </c>
      <c r="D1091" s="209">
        <v>5</v>
      </c>
      <c r="E1091" s="209"/>
      <c r="F1091" s="180"/>
      <c r="G1091" s="166">
        <f t="shared" ref="G1091:G1096" si="195">(D1091*E1091)+(D1091*F1091)</f>
        <v>0</v>
      </c>
    </row>
    <row r="1092" spans="1:7" ht="48" x14ac:dyDescent="0.2">
      <c r="A1092" s="218" t="s">
        <v>189</v>
      </c>
      <c r="B1092" s="546" t="s">
        <v>464</v>
      </c>
      <c r="C1092" s="524" t="s">
        <v>17</v>
      </c>
      <c r="D1092" s="209">
        <v>1</v>
      </c>
      <c r="E1092" s="209"/>
      <c r="F1092" s="180"/>
      <c r="G1092" s="166"/>
    </row>
    <row r="1093" spans="1:7" x14ac:dyDescent="0.2">
      <c r="A1093" s="218"/>
      <c r="B1093" s="546"/>
      <c r="C1093" s="524"/>
      <c r="D1093" s="209"/>
      <c r="E1093" s="479"/>
      <c r="F1093" s="180"/>
      <c r="G1093" s="166"/>
    </row>
    <row r="1094" spans="1:7" x14ac:dyDescent="0.2">
      <c r="A1094" s="557" t="s">
        <v>227</v>
      </c>
      <c r="B1094" s="558" t="s">
        <v>273</v>
      </c>
      <c r="C1094" s="559"/>
      <c r="D1094" s="560"/>
      <c r="E1094" s="560"/>
      <c r="F1094" s="561"/>
      <c r="G1094" s="562">
        <f t="shared" si="195"/>
        <v>0</v>
      </c>
    </row>
    <row r="1095" spans="1:7" x14ac:dyDescent="0.2">
      <c r="A1095" s="525" t="s">
        <v>169</v>
      </c>
      <c r="B1095" s="552" t="s">
        <v>274</v>
      </c>
      <c r="C1095" s="553"/>
      <c r="D1095" s="479"/>
      <c r="E1095" s="105"/>
      <c r="F1095" s="180"/>
      <c r="G1095" s="166">
        <f t="shared" si="195"/>
        <v>0</v>
      </c>
    </row>
    <row r="1096" spans="1:7" ht="36" x14ac:dyDescent="0.2">
      <c r="A1096" s="218" t="s">
        <v>188</v>
      </c>
      <c r="B1096" s="546" t="s">
        <v>593</v>
      </c>
      <c r="C1096" s="524" t="s">
        <v>17</v>
      </c>
      <c r="D1096" s="209">
        <v>1</v>
      </c>
      <c r="E1096" s="105"/>
      <c r="F1096" s="180"/>
      <c r="G1096" s="166">
        <f t="shared" si="195"/>
        <v>0</v>
      </c>
    </row>
    <row r="1097" spans="1:7" ht="12.75" customHeight="1" x14ac:dyDescent="0.2">
      <c r="A1097" s="563"/>
      <c r="B1097" s="523"/>
      <c r="C1097" s="413"/>
      <c r="D1097" s="40"/>
      <c r="E1097" s="105"/>
      <c r="F1097" s="180"/>
      <c r="G1097" s="166"/>
    </row>
    <row r="1098" spans="1:7" ht="14.25" customHeight="1" x14ac:dyDescent="0.2">
      <c r="A1098" s="536">
        <v>3</v>
      </c>
      <c r="B1098" s="537" t="s">
        <v>69</v>
      </c>
      <c r="C1098" s="538"/>
      <c r="D1098" s="539"/>
      <c r="E1098" s="539"/>
      <c r="F1098" s="540"/>
      <c r="G1098" s="541">
        <f>D1098*E1098</f>
        <v>0</v>
      </c>
    </row>
    <row r="1099" spans="1:7" x14ac:dyDescent="0.2">
      <c r="A1099" s="542" t="s">
        <v>224</v>
      </c>
      <c r="B1099" s="543" t="s">
        <v>135</v>
      </c>
      <c r="C1099" s="544"/>
      <c r="D1099" s="545"/>
      <c r="E1099" s="161"/>
      <c r="F1099" s="160"/>
      <c r="G1099" s="425"/>
    </row>
    <row r="1100" spans="1:7" ht="36" x14ac:dyDescent="0.2">
      <c r="A1100" s="218" t="s">
        <v>188</v>
      </c>
      <c r="B1100" s="523" t="s">
        <v>424</v>
      </c>
      <c r="C1100" s="413" t="s">
        <v>17</v>
      </c>
      <c r="D1100" s="209">
        <v>1</v>
      </c>
      <c r="E1100" s="105"/>
      <c r="F1100" s="180">
        <f>E1100*35%</f>
        <v>0</v>
      </c>
      <c r="G1100" s="166">
        <f t="shared" ref="G1100:G1101" si="196">(D1100*E1100)+(D1100*F1100)</f>
        <v>0</v>
      </c>
    </row>
    <row r="1101" spans="1:7" ht="36" x14ac:dyDescent="0.2">
      <c r="A1101" s="218" t="s">
        <v>189</v>
      </c>
      <c r="B1101" s="546" t="s">
        <v>423</v>
      </c>
      <c r="C1101" s="524" t="s">
        <v>17</v>
      </c>
      <c r="D1101" s="209">
        <v>1</v>
      </c>
      <c r="E1101" s="105"/>
      <c r="F1101" s="180">
        <f>E1101*35%</f>
        <v>0</v>
      </c>
      <c r="G1101" s="166">
        <f t="shared" si="196"/>
        <v>0</v>
      </c>
    </row>
    <row r="1102" spans="1:7" x14ac:dyDescent="0.2">
      <c r="A1102" s="218"/>
      <c r="B1102" s="546"/>
      <c r="C1102" s="524"/>
      <c r="D1102" s="209"/>
      <c r="E1102" s="105"/>
      <c r="F1102" s="180"/>
      <c r="G1102" s="166"/>
    </row>
    <row r="1103" spans="1:7" x14ac:dyDescent="0.2">
      <c r="A1103" s="542" t="s">
        <v>225</v>
      </c>
      <c r="B1103" s="547" t="s">
        <v>136</v>
      </c>
      <c r="C1103" s="544"/>
      <c r="D1103" s="545"/>
      <c r="E1103" s="161"/>
      <c r="F1103" s="232"/>
      <c r="G1103" s="233">
        <f>D1103*E1103</f>
        <v>0</v>
      </c>
    </row>
    <row r="1104" spans="1:7" x14ac:dyDescent="0.2">
      <c r="A1104" s="218" t="s">
        <v>188</v>
      </c>
      <c r="B1104" s="546" t="s">
        <v>137</v>
      </c>
      <c r="C1104" s="524" t="s">
        <v>114</v>
      </c>
      <c r="D1104" s="209">
        <v>3</v>
      </c>
      <c r="E1104" s="105"/>
      <c r="F1104" s="180"/>
      <c r="G1104" s="166">
        <f t="shared" ref="G1104:G1111" si="197">(D1104*E1104)+(D1104*F1104)</f>
        <v>0</v>
      </c>
    </row>
    <row r="1105" spans="1:7" x14ac:dyDescent="0.2">
      <c r="A1105" s="218" t="s">
        <v>189</v>
      </c>
      <c r="B1105" s="546" t="s">
        <v>485</v>
      </c>
      <c r="C1105" s="524" t="s">
        <v>114</v>
      </c>
      <c r="D1105" s="209">
        <v>2</v>
      </c>
      <c r="E1105" s="105"/>
      <c r="F1105" s="180"/>
      <c r="G1105" s="166">
        <f t="shared" si="197"/>
        <v>0</v>
      </c>
    </row>
    <row r="1106" spans="1:7" x14ac:dyDescent="0.2">
      <c r="A1106" s="218" t="s">
        <v>202</v>
      </c>
      <c r="B1106" s="546" t="s">
        <v>138</v>
      </c>
      <c r="C1106" s="524" t="s">
        <v>114</v>
      </c>
      <c r="D1106" s="209">
        <v>2</v>
      </c>
      <c r="E1106" s="105"/>
      <c r="F1106" s="180"/>
      <c r="G1106" s="166">
        <f t="shared" si="197"/>
        <v>0</v>
      </c>
    </row>
    <row r="1107" spans="1:7" x14ac:dyDescent="0.2">
      <c r="A1107" s="218" t="s">
        <v>203</v>
      </c>
      <c r="B1107" s="546" t="s">
        <v>139</v>
      </c>
      <c r="C1107" s="524" t="s">
        <v>114</v>
      </c>
      <c r="D1107" s="209">
        <f>D1104</f>
        <v>3</v>
      </c>
      <c r="E1107" s="105"/>
      <c r="F1107" s="180"/>
      <c r="G1107" s="166">
        <f t="shared" si="197"/>
        <v>0</v>
      </c>
    </row>
    <row r="1108" spans="1:7" x14ac:dyDescent="0.2">
      <c r="A1108" s="218" t="s">
        <v>204</v>
      </c>
      <c r="B1108" s="546" t="s">
        <v>140</v>
      </c>
      <c r="C1108" s="524" t="s">
        <v>114</v>
      </c>
      <c r="D1108" s="209">
        <v>1</v>
      </c>
      <c r="E1108" s="105"/>
      <c r="F1108" s="180"/>
      <c r="G1108" s="166">
        <f t="shared" si="197"/>
        <v>0</v>
      </c>
    </row>
    <row r="1109" spans="1:7" x14ac:dyDescent="0.2">
      <c r="A1109" s="218" t="s">
        <v>205</v>
      </c>
      <c r="B1109" s="546" t="s">
        <v>141</v>
      </c>
      <c r="C1109" s="524" t="s">
        <v>114</v>
      </c>
      <c r="D1109" s="209">
        <f>D1104</f>
        <v>3</v>
      </c>
      <c r="E1109" s="105"/>
      <c r="F1109" s="180"/>
      <c r="G1109" s="166">
        <f t="shared" si="197"/>
        <v>0</v>
      </c>
    </row>
    <row r="1110" spans="1:7" x14ac:dyDescent="0.2">
      <c r="A1110" s="218" t="s">
        <v>206</v>
      </c>
      <c r="B1110" s="546" t="s">
        <v>594</v>
      </c>
      <c r="C1110" s="524" t="s">
        <v>114</v>
      </c>
      <c r="D1110" s="209">
        <v>4</v>
      </c>
      <c r="E1110" s="105"/>
      <c r="F1110" s="180"/>
      <c r="G1110" s="166">
        <f t="shared" si="197"/>
        <v>0</v>
      </c>
    </row>
    <row r="1111" spans="1:7" x14ac:dyDescent="0.2">
      <c r="A1111" s="218" t="s">
        <v>207</v>
      </c>
      <c r="B1111" s="546" t="s">
        <v>272</v>
      </c>
      <c r="C1111" s="524" t="s">
        <v>114</v>
      </c>
      <c r="D1111" s="209">
        <v>4</v>
      </c>
      <c r="E1111" s="105"/>
      <c r="F1111" s="180"/>
      <c r="G1111" s="166">
        <f t="shared" si="197"/>
        <v>0</v>
      </c>
    </row>
    <row r="1112" spans="1:7" x14ac:dyDescent="0.2">
      <c r="A1112" s="218"/>
      <c r="B1112" s="546"/>
      <c r="C1112" s="524"/>
      <c r="D1112" s="209"/>
      <c r="E1112" s="479"/>
      <c r="F1112" s="180"/>
      <c r="G1112" s="166"/>
    </row>
    <row r="1113" spans="1:7" x14ac:dyDescent="0.2">
      <c r="A1113" s="557" t="s">
        <v>227</v>
      </c>
      <c r="B1113" s="558" t="s">
        <v>273</v>
      </c>
      <c r="C1113" s="559"/>
      <c r="D1113" s="560"/>
      <c r="E1113" s="560"/>
      <c r="F1113" s="561"/>
      <c r="G1113" s="562">
        <f t="shared" ref="G1113:G1115" si="198">(D1113*E1113)+(D1113*F1113)</f>
        <v>0</v>
      </c>
    </row>
    <row r="1114" spans="1:7" x14ac:dyDescent="0.2">
      <c r="A1114" s="525" t="s">
        <v>169</v>
      </c>
      <c r="B1114" s="552" t="s">
        <v>274</v>
      </c>
      <c r="C1114" s="553"/>
      <c r="D1114" s="479"/>
      <c r="E1114" s="105"/>
      <c r="F1114" s="180"/>
      <c r="G1114" s="166">
        <f t="shared" si="198"/>
        <v>0</v>
      </c>
    </row>
    <row r="1115" spans="1:7" ht="36" x14ac:dyDescent="0.2">
      <c r="A1115" s="218" t="s">
        <v>188</v>
      </c>
      <c r="B1115" s="546" t="s">
        <v>275</v>
      </c>
      <c r="C1115" s="524" t="s">
        <v>17</v>
      </c>
      <c r="D1115" s="209">
        <v>1</v>
      </c>
      <c r="E1115" s="105"/>
      <c r="F1115" s="180"/>
      <c r="G1115" s="166">
        <f t="shared" si="198"/>
        <v>0</v>
      </c>
    </row>
    <row r="1116" spans="1:7" x14ac:dyDescent="0.2">
      <c r="A1116" s="218"/>
      <c r="B1116" s="546"/>
      <c r="C1116" s="524"/>
      <c r="D1116" s="209"/>
      <c r="E1116" s="105"/>
      <c r="F1116" s="180"/>
      <c r="G1116" s="166"/>
    </row>
    <row r="1117" spans="1:7" x14ac:dyDescent="0.2">
      <c r="A1117" s="536">
        <v>4</v>
      </c>
      <c r="B1117" s="537" t="s">
        <v>253</v>
      </c>
      <c r="C1117" s="538"/>
      <c r="D1117" s="539"/>
      <c r="E1117" s="539"/>
      <c r="F1117" s="540"/>
      <c r="G1117" s="541">
        <f>D1117*E1117</f>
        <v>0</v>
      </c>
    </row>
    <row r="1118" spans="1:7" x14ac:dyDescent="0.2">
      <c r="A1118" s="542" t="s">
        <v>224</v>
      </c>
      <c r="B1118" s="547" t="s">
        <v>136</v>
      </c>
      <c r="C1118" s="544"/>
      <c r="D1118" s="545"/>
      <c r="E1118" s="161"/>
      <c r="F1118" s="232"/>
      <c r="G1118" s="233">
        <f>D1118*E1118</f>
        <v>0</v>
      </c>
    </row>
    <row r="1119" spans="1:7" x14ac:dyDescent="0.2">
      <c r="A1119" s="218" t="s">
        <v>188</v>
      </c>
      <c r="B1119" s="546" t="s">
        <v>530</v>
      </c>
      <c r="C1119" s="524" t="s">
        <v>114</v>
      </c>
      <c r="D1119" s="209">
        <v>8</v>
      </c>
      <c r="E1119" s="105"/>
      <c r="F1119" s="180"/>
      <c r="G1119" s="166">
        <f t="shared" ref="G1119" si="199">(D1119*E1119)+(D1119*F1119)</f>
        <v>0</v>
      </c>
    </row>
    <row r="1120" spans="1:7" x14ac:dyDescent="0.2">
      <c r="A1120" s="218"/>
      <c r="B1120" s="546"/>
      <c r="C1120" s="524"/>
      <c r="D1120" s="209"/>
      <c r="E1120" s="479"/>
      <c r="F1120" s="180"/>
      <c r="G1120" s="166"/>
    </row>
    <row r="1121" spans="1:7" x14ac:dyDescent="0.2">
      <c r="A1121" s="557" t="s">
        <v>227</v>
      </c>
      <c r="B1121" s="558" t="s">
        <v>273</v>
      </c>
      <c r="C1121" s="559"/>
      <c r="D1121" s="560"/>
      <c r="E1121" s="560"/>
      <c r="F1121" s="561"/>
      <c r="G1121" s="562">
        <f t="shared" ref="G1121:G1123" si="200">(D1121*E1121)+(D1121*F1121)</f>
        <v>0</v>
      </c>
    </row>
    <row r="1122" spans="1:7" x14ac:dyDescent="0.2">
      <c r="A1122" s="525" t="s">
        <v>169</v>
      </c>
      <c r="B1122" s="552" t="s">
        <v>274</v>
      </c>
      <c r="C1122" s="553"/>
      <c r="D1122" s="479"/>
      <c r="E1122" s="105"/>
      <c r="F1122" s="180"/>
      <c r="G1122" s="166">
        <f t="shared" si="200"/>
        <v>0</v>
      </c>
    </row>
    <row r="1123" spans="1:7" ht="36" x14ac:dyDescent="0.2">
      <c r="A1123" s="218" t="s">
        <v>188</v>
      </c>
      <c r="B1123" s="546" t="s">
        <v>531</v>
      </c>
      <c r="C1123" s="524" t="s">
        <v>17</v>
      </c>
      <c r="D1123" s="209">
        <v>1</v>
      </c>
      <c r="E1123" s="105"/>
      <c r="F1123" s="180"/>
      <c r="G1123" s="166">
        <f t="shared" si="200"/>
        <v>0</v>
      </c>
    </row>
    <row r="1124" spans="1:7" x14ac:dyDescent="0.2">
      <c r="A1124" s="218"/>
      <c r="B1124" s="546"/>
      <c r="C1124" s="524"/>
      <c r="D1124" s="209"/>
      <c r="E1124" s="105"/>
      <c r="F1124" s="180"/>
      <c r="G1124" s="166"/>
    </row>
    <row r="1125" spans="1:7" x14ac:dyDescent="0.2">
      <c r="A1125" s="218"/>
      <c r="B1125" s="546"/>
      <c r="C1125" s="524"/>
      <c r="D1125" s="209"/>
      <c r="E1125" s="105"/>
      <c r="F1125" s="180"/>
      <c r="G1125" s="166"/>
    </row>
    <row r="1126" spans="1:7" x14ac:dyDescent="0.2">
      <c r="A1126" s="218"/>
      <c r="B1126" s="546"/>
      <c r="C1126" s="524"/>
      <c r="D1126" s="209"/>
      <c r="E1126" s="105"/>
      <c r="F1126" s="180"/>
      <c r="G1126" s="166"/>
    </row>
    <row r="1127" spans="1:7" x14ac:dyDescent="0.2">
      <c r="A1127" s="218"/>
      <c r="B1127" s="546"/>
      <c r="C1127" s="524"/>
      <c r="D1127" s="209"/>
      <c r="E1127" s="105"/>
      <c r="F1127" s="180"/>
      <c r="G1127" s="166"/>
    </row>
    <row r="1128" spans="1:7" x14ac:dyDescent="0.2">
      <c r="A1128" s="290"/>
      <c r="B1128" s="291" t="s">
        <v>283</v>
      </c>
      <c r="C1128" s="292"/>
      <c r="D1128" s="293"/>
      <c r="E1128" s="294"/>
      <c r="F1128" s="386"/>
      <c r="G1128" s="224"/>
    </row>
    <row r="1129" spans="1:7" x14ac:dyDescent="0.2">
      <c r="A1129" s="335"/>
      <c r="B1129" s="387" t="s">
        <v>142</v>
      </c>
      <c r="C1129" s="388"/>
      <c r="D1129" s="389"/>
      <c r="E1129" s="390"/>
      <c r="F1129" s="391"/>
      <c r="G1129" s="385">
        <f>SUM(G1063:G1128)</f>
        <v>0</v>
      </c>
    </row>
    <row r="1130" spans="1:7" x14ac:dyDescent="0.2">
      <c r="A1130" s="338"/>
      <c r="B1130" s="578"/>
      <c r="C1130" s="327"/>
      <c r="D1130" s="328"/>
      <c r="E1130" s="295"/>
      <c r="F1130" s="295"/>
      <c r="G1130" s="295"/>
    </row>
    <row r="1131" spans="1:7" x14ac:dyDescent="0.2">
      <c r="A1131" s="38"/>
      <c r="B1131" s="225" t="s">
        <v>284</v>
      </c>
      <c r="C1131" s="39"/>
      <c r="D1131" s="40"/>
      <c r="E1131" s="105"/>
      <c r="F1131" s="180"/>
      <c r="G1131" s="166"/>
    </row>
    <row r="1132" spans="1:7" x14ac:dyDescent="0.2">
      <c r="A1132" s="38"/>
      <c r="B1132" s="156" t="s">
        <v>98</v>
      </c>
      <c r="C1132" s="39"/>
      <c r="D1132" s="40"/>
      <c r="E1132" s="105"/>
      <c r="F1132" s="180"/>
      <c r="G1132" s="166"/>
    </row>
    <row r="1133" spans="1:7" x14ac:dyDescent="0.2">
      <c r="A1133" s="579" t="s">
        <v>285</v>
      </c>
      <c r="B1133" s="164" t="s">
        <v>44</v>
      </c>
      <c r="C1133" s="39"/>
      <c r="D1133" s="40"/>
      <c r="E1133" s="105"/>
      <c r="F1133" s="180"/>
      <c r="G1133" s="166"/>
    </row>
    <row r="1134" spans="1:7" ht="25.5" customHeight="1" x14ac:dyDescent="0.2">
      <c r="A1134" s="580"/>
      <c r="B1134" s="632" t="s">
        <v>599</v>
      </c>
      <c r="C1134" s="621"/>
      <c r="D1134" s="621"/>
      <c r="E1134" s="633"/>
      <c r="F1134" s="534"/>
      <c r="G1134" s="535"/>
    </row>
    <row r="1135" spans="1:7" ht="39.75" customHeight="1" x14ac:dyDescent="0.2">
      <c r="A1135" s="580"/>
      <c r="B1135" s="632" t="s">
        <v>598</v>
      </c>
      <c r="C1135" s="621"/>
      <c r="D1135" s="621"/>
      <c r="E1135" s="633"/>
      <c r="F1135" s="534"/>
      <c r="G1135" s="535"/>
    </row>
    <row r="1136" spans="1:7" ht="36.75" customHeight="1" x14ac:dyDescent="0.2">
      <c r="A1136" s="580"/>
      <c r="B1136" s="632" t="s">
        <v>597</v>
      </c>
      <c r="C1136" s="621"/>
      <c r="D1136" s="621"/>
      <c r="E1136" s="633"/>
      <c r="F1136" s="534"/>
      <c r="G1136" s="535"/>
    </row>
    <row r="1137" spans="1:7" ht="28.5" customHeight="1" x14ac:dyDescent="0.2">
      <c r="A1137" s="581"/>
      <c r="B1137" s="632" t="s">
        <v>596</v>
      </c>
      <c r="C1137" s="621"/>
      <c r="D1137" s="621"/>
      <c r="E1137" s="633"/>
      <c r="F1137" s="534"/>
      <c r="G1137" s="535"/>
    </row>
    <row r="1138" spans="1:7" ht="15" customHeight="1" x14ac:dyDescent="0.2">
      <c r="A1138" s="580"/>
      <c r="B1138" s="634" t="s">
        <v>210</v>
      </c>
      <c r="C1138" s="622"/>
      <c r="D1138" s="622"/>
      <c r="E1138" s="635"/>
      <c r="F1138" s="534"/>
      <c r="G1138" s="535"/>
    </row>
    <row r="1139" spans="1:7" x14ac:dyDescent="0.2">
      <c r="A1139" s="580"/>
      <c r="B1139" s="227"/>
      <c r="C1139" s="227"/>
      <c r="D1139" s="227"/>
      <c r="E1139" s="227"/>
      <c r="F1139" s="227"/>
      <c r="G1139" s="582"/>
    </row>
    <row r="1140" spans="1:7" ht="15" customHeight="1" x14ac:dyDescent="0.2">
      <c r="A1140" s="583" t="s">
        <v>169</v>
      </c>
      <c r="B1140" s="537" t="s">
        <v>66</v>
      </c>
      <c r="C1140" s="538"/>
      <c r="D1140" s="584"/>
      <c r="E1140" s="539"/>
      <c r="F1140" s="540"/>
      <c r="G1140" s="541">
        <f>D1140*E1140</f>
        <v>0</v>
      </c>
    </row>
    <row r="1141" spans="1:7" ht="13.5" customHeight="1" x14ac:dyDescent="0.2">
      <c r="A1141" s="585" t="s">
        <v>170</v>
      </c>
      <c r="B1141" s="518" t="s">
        <v>211</v>
      </c>
      <c r="C1141" s="168"/>
      <c r="D1141" s="160"/>
      <c r="E1141" s="161"/>
      <c r="F1141" s="232"/>
      <c r="G1141" s="233">
        <f>D1141*E1141</f>
        <v>0</v>
      </c>
    </row>
    <row r="1142" spans="1:7" ht="22.5" customHeight="1" x14ac:dyDescent="0.2">
      <c r="A1142" s="586" t="s">
        <v>188</v>
      </c>
      <c r="B1142" s="587" t="s">
        <v>428</v>
      </c>
      <c r="C1142" s="413" t="s">
        <v>17</v>
      </c>
      <c r="D1142" s="588"/>
      <c r="E1142" s="589" t="s">
        <v>427</v>
      </c>
      <c r="F1142" s="590"/>
      <c r="G1142" s="591"/>
    </row>
    <row r="1143" spans="1:7" ht="13.5" customHeight="1" x14ac:dyDescent="0.2">
      <c r="A1143" s="585" t="s">
        <v>175</v>
      </c>
      <c r="B1143" s="592" t="s">
        <v>212</v>
      </c>
      <c r="C1143" s="556"/>
      <c r="D1143" s="160"/>
      <c r="E1143" s="161"/>
      <c r="F1143" s="232"/>
      <c r="G1143" s="233"/>
    </row>
    <row r="1144" spans="1:7" ht="24" customHeight="1" x14ac:dyDescent="0.2">
      <c r="A1144" s="586" t="s">
        <v>188</v>
      </c>
      <c r="B1144" s="587" t="s">
        <v>429</v>
      </c>
      <c r="C1144" s="456" t="s">
        <v>114</v>
      </c>
      <c r="D1144" s="40">
        <v>1</v>
      </c>
      <c r="E1144" s="105"/>
      <c r="F1144" s="180"/>
      <c r="G1144" s="166">
        <f>(D1144*E1144)+(D1144*F1144)</f>
        <v>0</v>
      </c>
    </row>
    <row r="1145" spans="1:7" ht="24.75" customHeight="1" x14ac:dyDescent="0.2">
      <c r="A1145" s="586" t="s">
        <v>189</v>
      </c>
      <c r="B1145" s="606" t="s">
        <v>616</v>
      </c>
      <c r="C1145" s="456"/>
      <c r="D1145" s="40"/>
      <c r="E1145" s="105"/>
      <c r="F1145" s="180"/>
      <c r="G1145" s="166">
        <f t="shared" ref="G1145:G1147" si="201">(D1145*E1145)+(D1145*F1145)</f>
        <v>0</v>
      </c>
    </row>
    <row r="1146" spans="1:7" ht="12" customHeight="1" x14ac:dyDescent="0.2">
      <c r="A1146" s="586"/>
      <c r="B1146" s="606" t="s">
        <v>610</v>
      </c>
      <c r="C1146" s="456" t="s">
        <v>114</v>
      </c>
      <c r="D1146" s="40">
        <v>1</v>
      </c>
      <c r="E1146" s="105"/>
      <c r="F1146" s="180"/>
      <c r="G1146" s="166">
        <f t="shared" si="201"/>
        <v>0</v>
      </c>
    </row>
    <row r="1147" spans="1:7" ht="12" customHeight="1" x14ac:dyDescent="0.2">
      <c r="A1147" s="586"/>
      <c r="B1147" s="606" t="s">
        <v>611</v>
      </c>
      <c r="C1147" s="456" t="s">
        <v>114</v>
      </c>
      <c r="D1147" s="40">
        <v>1</v>
      </c>
      <c r="E1147" s="105"/>
      <c r="F1147" s="180"/>
      <c r="G1147" s="166">
        <f t="shared" si="201"/>
        <v>0</v>
      </c>
    </row>
    <row r="1148" spans="1:7" ht="12" customHeight="1" x14ac:dyDescent="0.2">
      <c r="A1148" s="586"/>
      <c r="B1148" s="587" t="s">
        <v>612</v>
      </c>
      <c r="C1148" s="456" t="s">
        <v>114</v>
      </c>
      <c r="D1148" s="40">
        <v>1</v>
      </c>
      <c r="E1148" s="105"/>
      <c r="F1148" s="180"/>
      <c r="G1148" s="166">
        <f t="shared" ref="G1148" si="202">(D1148*E1148)+(D1148*F1148)</f>
        <v>0</v>
      </c>
    </row>
    <row r="1149" spans="1:7" ht="13.5" customHeight="1" x14ac:dyDescent="0.2">
      <c r="A1149" s="585" t="s">
        <v>192</v>
      </c>
      <c r="B1149" s="592" t="s">
        <v>213</v>
      </c>
      <c r="C1149" s="593"/>
      <c r="D1149" s="594"/>
      <c r="E1149" s="595"/>
      <c r="F1149" s="596"/>
      <c r="G1149" s="597"/>
    </row>
    <row r="1150" spans="1:7" ht="13.5" customHeight="1" x14ac:dyDescent="0.2">
      <c r="A1150" s="38" t="s">
        <v>188</v>
      </c>
      <c r="B1150" s="523" t="s">
        <v>221</v>
      </c>
      <c r="C1150" s="456" t="s">
        <v>114</v>
      </c>
      <c r="D1150" s="40">
        <f>D1158+D1159+D1156+D1160</f>
        <v>84</v>
      </c>
      <c r="E1150" s="105"/>
      <c r="F1150" s="598"/>
      <c r="G1150" s="166">
        <f t="shared" ref="G1150:G1154" si="203">(D1150*E1150)+(D1150*F1150)</f>
        <v>0</v>
      </c>
    </row>
    <row r="1151" spans="1:7" ht="13.5" customHeight="1" x14ac:dyDescent="0.2">
      <c r="A1151" s="38" t="s">
        <v>189</v>
      </c>
      <c r="B1151" s="523" t="s">
        <v>222</v>
      </c>
      <c r="C1151" s="456" t="s">
        <v>114</v>
      </c>
      <c r="D1151" s="40">
        <f>D1165+D1166+D1168+D1169+D1164</f>
        <v>35</v>
      </c>
      <c r="E1151" s="105"/>
      <c r="F1151" s="598"/>
      <c r="G1151" s="166">
        <f t="shared" si="203"/>
        <v>0</v>
      </c>
    </row>
    <row r="1152" spans="1:7" ht="13.5" customHeight="1" x14ac:dyDescent="0.2">
      <c r="A1152" s="38" t="s">
        <v>202</v>
      </c>
      <c r="B1152" s="523" t="s">
        <v>223</v>
      </c>
      <c r="C1152" s="456" t="s">
        <v>114</v>
      </c>
      <c r="D1152" s="40">
        <f>D1168</f>
        <v>2</v>
      </c>
      <c r="E1152" s="105"/>
      <c r="F1152" s="598"/>
      <c r="G1152" s="166">
        <f t="shared" si="203"/>
        <v>0</v>
      </c>
    </row>
    <row r="1153" spans="1:7" ht="13.5" customHeight="1" x14ac:dyDescent="0.2">
      <c r="A1153" s="38" t="s">
        <v>203</v>
      </c>
      <c r="B1153" s="523" t="s">
        <v>279</v>
      </c>
      <c r="C1153" s="456" t="s">
        <v>229</v>
      </c>
      <c r="D1153" s="40">
        <v>10</v>
      </c>
      <c r="E1153" s="105"/>
      <c r="F1153" s="598"/>
      <c r="G1153" s="599">
        <f t="shared" si="203"/>
        <v>0</v>
      </c>
    </row>
    <row r="1154" spans="1:7" ht="27.75" customHeight="1" x14ac:dyDescent="0.2">
      <c r="A1154" s="38" t="s">
        <v>206</v>
      </c>
      <c r="B1154" s="523" t="s">
        <v>505</v>
      </c>
      <c r="C1154" s="456" t="s">
        <v>114</v>
      </c>
      <c r="D1154" s="40">
        <v>2</v>
      </c>
      <c r="E1154" s="105"/>
      <c r="F1154" s="598"/>
      <c r="G1154" s="166">
        <f t="shared" si="203"/>
        <v>0</v>
      </c>
    </row>
    <row r="1155" spans="1:7" ht="13.5" customHeight="1" x14ac:dyDescent="0.2">
      <c r="A1155" s="157" t="s">
        <v>184</v>
      </c>
      <c r="B1155" s="518" t="s">
        <v>217</v>
      </c>
      <c r="C1155" s="556"/>
      <c r="D1155" s="160"/>
      <c r="E1155" s="161"/>
      <c r="F1155" s="600"/>
      <c r="G1155" s="601"/>
    </row>
    <row r="1156" spans="1:7" ht="13.5" customHeight="1" x14ac:dyDescent="0.2">
      <c r="A1156" s="38"/>
      <c r="B1156" s="437" t="s">
        <v>430</v>
      </c>
      <c r="C1156" s="456" t="s">
        <v>114</v>
      </c>
      <c r="D1156" s="40">
        <v>11</v>
      </c>
      <c r="E1156" s="105"/>
      <c r="F1156" s="598"/>
      <c r="G1156" s="599"/>
    </row>
    <row r="1157" spans="1:7" ht="15" customHeight="1" x14ac:dyDescent="0.2">
      <c r="A1157" s="157" t="s">
        <v>199</v>
      </c>
      <c r="B1157" s="518" t="s">
        <v>500</v>
      </c>
      <c r="C1157" s="556"/>
      <c r="D1157" s="160"/>
      <c r="E1157" s="161"/>
      <c r="F1157" s="232"/>
      <c r="G1157" s="233"/>
    </row>
    <row r="1158" spans="1:7" ht="26.25" customHeight="1" x14ac:dyDescent="0.2">
      <c r="A1158" s="38" t="s">
        <v>188</v>
      </c>
      <c r="B1158" s="437" t="s">
        <v>487</v>
      </c>
      <c r="C1158" s="456" t="s">
        <v>114</v>
      </c>
      <c r="D1158" s="40">
        <v>59</v>
      </c>
      <c r="E1158" s="105"/>
      <c r="F1158" s="598"/>
      <c r="G1158" s="166">
        <f>(D1158*E1158)+(D1158*F1158)</f>
        <v>0</v>
      </c>
    </row>
    <row r="1159" spans="1:7" ht="15.75" customHeight="1" x14ac:dyDescent="0.2">
      <c r="A1159" s="38" t="s">
        <v>189</v>
      </c>
      <c r="B1159" s="602" t="s">
        <v>488</v>
      </c>
      <c r="C1159" s="456" t="s">
        <v>114</v>
      </c>
      <c r="D1159" s="40">
        <v>2</v>
      </c>
      <c r="E1159" s="105"/>
      <c r="F1159" s="598"/>
      <c r="G1159" s="166">
        <f t="shared" ref="G1159:G1162" si="204">(D1159*E1159)+(D1159*F1159)</f>
        <v>0</v>
      </c>
    </row>
    <row r="1160" spans="1:7" ht="12.75" customHeight="1" x14ac:dyDescent="0.2">
      <c r="A1160" s="38" t="s">
        <v>202</v>
      </c>
      <c r="B1160" s="437" t="s">
        <v>486</v>
      </c>
      <c r="C1160" s="456" t="s">
        <v>114</v>
      </c>
      <c r="D1160" s="40">
        <v>12</v>
      </c>
      <c r="E1160" s="105"/>
      <c r="F1160" s="603"/>
      <c r="G1160" s="369">
        <f t="shared" si="204"/>
        <v>0</v>
      </c>
    </row>
    <row r="1161" spans="1:7" s="85" customFormat="1" ht="14.25" customHeight="1" x14ac:dyDescent="0.2">
      <c r="A1161" s="38" t="s">
        <v>203</v>
      </c>
      <c r="B1161" s="437" t="s">
        <v>614</v>
      </c>
      <c r="C1161" s="456" t="s">
        <v>114</v>
      </c>
      <c r="D1161" s="40">
        <v>2</v>
      </c>
      <c r="E1161" s="105"/>
      <c r="F1161" s="603"/>
      <c r="G1161" s="369">
        <f t="shared" si="204"/>
        <v>0</v>
      </c>
    </row>
    <row r="1162" spans="1:7" s="85" customFormat="1" ht="14.25" customHeight="1" x14ac:dyDescent="0.2">
      <c r="A1162" s="38" t="s">
        <v>204</v>
      </c>
      <c r="B1162" s="437" t="s">
        <v>613</v>
      </c>
      <c r="C1162" s="456" t="s">
        <v>114</v>
      </c>
      <c r="D1162" s="40">
        <v>1</v>
      </c>
      <c r="E1162" s="105"/>
      <c r="F1162" s="603"/>
      <c r="G1162" s="369">
        <f t="shared" si="204"/>
        <v>0</v>
      </c>
    </row>
    <row r="1163" spans="1:7" s="85" customFormat="1" ht="12.75" customHeight="1" x14ac:dyDescent="0.2">
      <c r="A1163" s="157" t="s">
        <v>215</v>
      </c>
      <c r="B1163" s="518" t="s">
        <v>214</v>
      </c>
      <c r="C1163" s="556"/>
      <c r="D1163" s="160"/>
      <c r="E1163" s="161"/>
      <c r="F1163" s="232"/>
      <c r="G1163" s="233"/>
    </row>
    <row r="1164" spans="1:7" s="85" customFormat="1" ht="27" customHeight="1" x14ac:dyDescent="0.2">
      <c r="A1164" s="38" t="s">
        <v>188</v>
      </c>
      <c r="B1164" s="437" t="s">
        <v>600</v>
      </c>
      <c r="C1164" s="456" t="s">
        <v>114</v>
      </c>
      <c r="D1164" s="40">
        <v>5</v>
      </c>
      <c r="E1164" s="105"/>
      <c r="F1164" s="598"/>
      <c r="G1164" s="166">
        <f t="shared" ref="G1164" si="205">(D1164*E1164)+(D1164*F1164)</f>
        <v>0</v>
      </c>
    </row>
    <row r="1165" spans="1:7" ht="13.5" customHeight="1" x14ac:dyDescent="0.2">
      <c r="A1165" s="38" t="s">
        <v>189</v>
      </c>
      <c r="B1165" s="437" t="s">
        <v>603</v>
      </c>
      <c r="C1165" s="456" t="s">
        <v>114</v>
      </c>
      <c r="D1165" s="40">
        <v>13</v>
      </c>
      <c r="E1165" s="105"/>
      <c r="F1165" s="598"/>
      <c r="G1165" s="166">
        <f t="shared" ref="G1165:G1171" si="206">(D1165*E1165)+(D1165*F1165)</f>
        <v>0</v>
      </c>
    </row>
    <row r="1166" spans="1:7" ht="12.75" customHeight="1" x14ac:dyDescent="0.2">
      <c r="A1166" s="38" t="s">
        <v>202</v>
      </c>
      <c r="B1166" s="437" t="s">
        <v>604</v>
      </c>
      <c r="C1166" s="456" t="s">
        <v>114</v>
      </c>
      <c r="D1166" s="40">
        <v>12</v>
      </c>
      <c r="E1166" s="105"/>
      <c r="F1166" s="598"/>
      <c r="G1166" s="166">
        <f t="shared" si="206"/>
        <v>0</v>
      </c>
    </row>
    <row r="1167" spans="1:7" ht="12.75" customHeight="1" x14ac:dyDescent="0.2">
      <c r="A1167" s="38" t="s">
        <v>203</v>
      </c>
      <c r="B1167" s="437" t="s">
        <v>606</v>
      </c>
      <c r="C1167" s="456" t="s">
        <v>114</v>
      </c>
      <c r="D1167" s="40">
        <v>3</v>
      </c>
      <c r="E1167" s="105"/>
      <c r="F1167" s="598"/>
      <c r="G1167" s="166">
        <f t="shared" ref="G1167" si="207">(D1167*E1167)+(D1167*F1167)</f>
        <v>0</v>
      </c>
    </row>
    <row r="1168" spans="1:7" ht="12.75" customHeight="1" x14ac:dyDescent="0.2">
      <c r="A1168" s="38" t="s">
        <v>204</v>
      </c>
      <c r="B1168" s="437" t="s">
        <v>605</v>
      </c>
      <c r="C1168" s="456" t="s">
        <v>114</v>
      </c>
      <c r="D1168" s="40">
        <v>2</v>
      </c>
      <c r="E1168" s="105"/>
      <c r="F1168" s="598"/>
      <c r="G1168" s="166">
        <f t="shared" si="206"/>
        <v>0</v>
      </c>
    </row>
    <row r="1169" spans="1:7" ht="12.75" customHeight="1" x14ac:dyDescent="0.2">
      <c r="A1169" s="38" t="s">
        <v>205</v>
      </c>
      <c r="B1169" s="437" t="s">
        <v>602</v>
      </c>
      <c r="C1169" s="456" t="s">
        <v>114</v>
      </c>
      <c r="D1169" s="40">
        <v>3</v>
      </c>
      <c r="E1169" s="105"/>
      <c r="F1169" s="598"/>
      <c r="G1169" s="166">
        <f t="shared" si="206"/>
        <v>0</v>
      </c>
    </row>
    <row r="1170" spans="1:7" ht="15" customHeight="1" x14ac:dyDescent="0.2">
      <c r="A1170" s="38" t="s">
        <v>497</v>
      </c>
      <c r="B1170" s="437" t="s">
        <v>608</v>
      </c>
      <c r="C1170" s="456" t="s">
        <v>114</v>
      </c>
      <c r="D1170" s="40">
        <v>0</v>
      </c>
      <c r="E1170" s="105"/>
      <c r="F1170" s="598"/>
      <c r="G1170" s="166">
        <f t="shared" si="206"/>
        <v>0</v>
      </c>
    </row>
    <row r="1171" spans="1:7" ht="15" customHeight="1" x14ac:dyDescent="0.2">
      <c r="A1171" s="38" t="s">
        <v>498</v>
      </c>
      <c r="B1171" s="437" t="s">
        <v>609</v>
      </c>
      <c r="C1171" s="456" t="s">
        <v>114</v>
      </c>
      <c r="D1171" s="40">
        <v>0</v>
      </c>
      <c r="E1171" s="105"/>
      <c r="F1171" s="598"/>
      <c r="G1171" s="166">
        <f t="shared" si="206"/>
        <v>0</v>
      </c>
    </row>
    <row r="1172" spans="1:7" ht="15" customHeight="1" x14ac:dyDescent="0.2">
      <c r="A1172" s="325" t="s">
        <v>601</v>
      </c>
      <c r="B1172" s="443" t="s">
        <v>501</v>
      </c>
      <c r="C1172" s="604" t="s">
        <v>114</v>
      </c>
      <c r="D1172" s="265">
        <v>2</v>
      </c>
      <c r="E1172" s="375"/>
      <c r="F1172" s="660"/>
      <c r="G1172" s="208"/>
    </row>
    <row r="1173" spans="1:7" ht="15" customHeight="1" x14ac:dyDescent="0.2">
      <c r="A1173" s="157" t="s">
        <v>218</v>
      </c>
      <c r="B1173" s="518" t="s">
        <v>216</v>
      </c>
      <c r="C1173" s="556"/>
      <c r="D1173" s="160"/>
      <c r="E1173" s="161"/>
      <c r="F1173" s="232"/>
      <c r="G1173" s="233"/>
    </row>
    <row r="1174" spans="1:7" ht="15" customHeight="1" x14ac:dyDescent="0.2">
      <c r="A1174" s="38" t="s">
        <v>188</v>
      </c>
      <c r="B1174" s="437" t="s">
        <v>607</v>
      </c>
      <c r="C1174" s="456" t="s">
        <v>114</v>
      </c>
      <c r="D1174" s="40">
        <f>D1158+D1159+D1160</f>
        <v>73</v>
      </c>
      <c r="E1174" s="105"/>
      <c r="F1174" s="598"/>
      <c r="G1174" s="166">
        <f t="shared" ref="G1174" si="208">(D1174*E1174)+(D1174*F1174)</f>
        <v>0</v>
      </c>
    </row>
    <row r="1175" spans="1:7" ht="12.75" customHeight="1" x14ac:dyDescent="0.2">
      <c r="A1175" s="38" t="s">
        <v>204</v>
      </c>
      <c r="B1175" s="437" t="s">
        <v>431</v>
      </c>
      <c r="C1175" s="456" t="s">
        <v>114</v>
      </c>
      <c r="D1175" s="40">
        <f>D1156</f>
        <v>11</v>
      </c>
      <c r="E1175" s="105"/>
      <c r="F1175" s="598"/>
      <c r="G1175" s="166"/>
    </row>
    <row r="1176" spans="1:7" ht="13.5" customHeight="1" x14ac:dyDescent="0.2">
      <c r="A1176" s="38"/>
      <c r="B1176" s="437"/>
      <c r="C1176" s="456"/>
      <c r="D1176" s="40"/>
      <c r="E1176" s="105"/>
      <c r="F1176" s="180"/>
      <c r="G1176" s="166"/>
    </row>
    <row r="1177" spans="1:7" ht="13.5" customHeight="1" x14ac:dyDescent="0.2">
      <c r="A1177" s="583" t="s">
        <v>171</v>
      </c>
      <c r="B1177" s="537" t="s">
        <v>68</v>
      </c>
      <c r="C1177" s="538"/>
      <c r="D1177" s="584"/>
      <c r="E1177" s="539"/>
      <c r="F1177" s="540"/>
      <c r="G1177" s="541">
        <f>D1177*E1177</f>
        <v>0</v>
      </c>
    </row>
    <row r="1178" spans="1:7" ht="12.75" customHeight="1" x14ac:dyDescent="0.2">
      <c r="A1178" s="585" t="s">
        <v>174</v>
      </c>
      <c r="B1178" s="592" t="s">
        <v>212</v>
      </c>
      <c r="C1178" s="556"/>
      <c r="D1178" s="160"/>
      <c r="E1178" s="161"/>
      <c r="F1178" s="232"/>
      <c r="G1178" s="233"/>
    </row>
    <row r="1179" spans="1:7" ht="24.75" customHeight="1" x14ac:dyDescent="0.2">
      <c r="A1179" s="605" t="s">
        <v>188</v>
      </c>
      <c r="B1179" s="606" t="s">
        <v>616</v>
      </c>
      <c r="C1179" s="456"/>
      <c r="D1179" s="40"/>
      <c r="E1179" s="105"/>
      <c r="F1179" s="180"/>
      <c r="G1179" s="166">
        <f t="shared" ref="G1179:G1182" si="209">(D1179*E1179)+(D1179*F1179)</f>
        <v>0</v>
      </c>
    </row>
    <row r="1180" spans="1:7" ht="12.75" customHeight="1" x14ac:dyDescent="0.2">
      <c r="A1180" s="605"/>
      <c r="B1180" s="606" t="s">
        <v>610</v>
      </c>
      <c r="C1180" s="456" t="s">
        <v>114</v>
      </c>
      <c r="D1180" s="40">
        <v>1</v>
      </c>
      <c r="E1180" s="105"/>
      <c r="F1180" s="180"/>
      <c r="G1180" s="166">
        <f t="shared" si="209"/>
        <v>0</v>
      </c>
    </row>
    <row r="1181" spans="1:7" ht="12.75" customHeight="1" x14ac:dyDescent="0.2">
      <c r="A1181" s="605"/>
      <c r="B1181" s="606" t="s">
        <v>611</v>
      </c>
      <c r="C1181" s="456" t="s">
        <v>114</v>
      </c>
      <c r="D1181" s="40">
        <v>1</v>
      </c>
      <c r="E1181" s="105"/>
      <c r="F1181" s="180"/>
      <c r="G1181" s="166">
        <f t="shared" si="209"/>
        <v>0</v>
      </c>
    </row>
    <row r="1182" spans="1:7" ht="12.75" customHeight="1" x14ac:dyDescent="0.2">
      <c r="A1182" s="605"/>
      <c r="B1182" s="606" t="s">
        <v>618</v>
      </c>
      <c r="C1182" s="456" t="s">
        <v>114</v>
      </c>
      <c r="D1182" s="40">
        <v>1</v>
      </c>
      <c r="E1182" s="105"/>
      <c r="F1182" s="180"/>
      <c r="G1182" s="166">
        <f t="shared" si="209"/>
        <v>0</v>
      </c>
    </row>
    <row r="1183" spans="1:7" ht="12.75" customHeight="1" x14ac:dyDescent="0.2">
      <c r="A1183" s="585" t="s">
        <v>9</v>
      </c>
      <c r="B1183" s="592" t="s">
        <v>213</v>
      </c>
      <c r="C1183" s="593"/>
      <c r="D1183" s="594"/>
      <c r="E1183" s="595"/>
      <c r="F1183" s="596"/>
      <c r="G1183" s="597"/>
    </row>
    <row r="1184" spans="1:7" ht="12.75" customHeight="1" x14ac:dyDescent="0.2">
      <c r="A1184" s="38" t="s">
        <v>188</v>
      </c>
      <c r="B1184" s="523" t="s">
        <v>221</v>
      </c>
      <c r="C1184" s="456" t="s">
        <v>114</v>
      </c>
      <c r="D1184" s="40">
        <f>D1194+D1195+D1192+D1196</f>
        <v>85</v>
      </c>
      <c r="E1184" s="105"/>
      <c r="F1184" s="598"/>
      <c r="G1184" s="166">
        <f t="shared" ref="G1184:G1190" si="210">(D1184*E1184)+(D1184*F1184)</f>
        <v>0</v>
      </c>
    </row>
    <row r="1185" spans="1:7" ht="12.75" customHeight="1" x14ac:dyDescent="0.2">
      <c r="A1185" s="38" t="s">
        <v>189</v>
      </c>
      <c r="B1185" s="523" t="s">
        <v>222</v>
      </c>
      <c r="C1185" s="456" t="s">
        <v>114</v>
      </c>
      <c r="D1185" s="40">
        <f>D1200+D1201+D1202+D1203</f>
        <v>83</v>
      </c>
      <c r="E1185" s="105"/>
      <c r="F1185" s="598"/>
      <c r="G1185" s="166">
        <f t="shared" si="210"/>
        <v>0</v>
      </c>
    </row>
    <row r="1186" spans="1:7" ht="12.75" customHeight="1" x14ac:dyDescent="0.2">
      <c r="A1186" s="38" t="s">
        <v>202</v>
      </c>
      <c r="B1186" s="523" t="s">
        <v>223</v>
      </c>
      <c r="C1186" s="456" t="s">
        <v>114</v>
      </c>
      <c r="D1186" s="40">
        <f>D1204+D1205</f>
        <v>12</v>
      </c>
      <c r="E1186" s="105"/>
      <c r="F1186" s="598"/>
      <c r="G1186" s="166">
        <f t="shared" si="210"/>
        <v>0</v>
      </c>
    </row>
    <row r="1187" spans="1:7" ht="12.75" customHeight="1" x14ac:dyDescent="0.2">
      <c r="A1187" s="38" t="s">
        <v>203</v>
      </c>
      <c r="B1187" s="523" t="s">
        <v>279</v>
      </c>
      <c r="C1187" s="456" t="s">
        <v>229</v>
      </c>
      <c r="D1187" s="40">
        <v>14</v>
      </c>
      <c r="E1187" s="105"/>
      <c r="F1187" s="598"/>
      <c r="G1187" s="599">
        <f t="shared" si="210"/>
        <v>0</v>
      </c>
    </row>
    <row r="1188" spans="1:7" ht="25.5" customHeight="1" x14ac:dyDescent="0.2">
      <c r="A1188" s="38" t="s">
        <v>204</v>
      </c>
      <c r="B1188" s="523" t="s">
        <v>505</v>
      </c>
      <c r="C1188" s="456" t="s">
        <v>114</v>
      </c>
      <c r="D1188" s="40">
        <v>2</v>
      </c>
      <c r="E1188" s="105"/>
      <c r="F1188" s="598"/>
      <c r="G1188" s="166">
        <f t="shared" si="210"/>
        <v>0</v>
      </c>
    </row>
    <row r="1189" spans="1:7" ht="15" customHeight="1" x14ac:dyDescent="0.2">
      <c r="A1189" s="38" t="s">
        <v>205</v>
      </c>
      <c r="B1189" s="523" t="s">
        <v>617</v>
      </c>
      <c r="C1189" s="456" t="s">
        <v>114</v>
      </c>
      <c r="D1189" s="40">
        <f>D1206</f>
        <v>6</v>
      </c>
      <c r="E1189" s="105"/>
      <c r="F1189" s="598"/>
      <c r="G1189" s="166">
        <f t="shared" ref="G1189" si="211">(D1189*E1189)+(D1189*F1189)</f>
        <v>0</v>
      </c>
    </row>
    <row r="1190" spans="1:7" ht="12.75" customHeight="1" x14ac:dyDescent="0.2">
      <c r="A1190" s="38" t="s">
        <v>206</v>
      </c>
      <c r="B1190" s="523" t="s">
        <v>615</v>
      </c>
      <c r="C1190" s="456" t="s">
        <v>114</v>
      </c>
      <c r="D1190" s="40">
        <f>D1207</f>
        <v>3</v>
      </c>
      <c r="E1190" s="105"/>
      <c r="F1190" s="598"/>
      <c r="G1190" s="166">
        <f t="shared" si="210"/>
        <v>0</v>
      </c>
    </row>
    <row r="1191" spans="1:7" s="109" customFormat="1" ht="12.75" customHeight="1" x14ac:dyDescent="0.2">
      <c r="A1191" s="157" t="s">
        <v>18</v>
      </c>
      <c r="B1191" s="518" t="s">
        <v>217</v>
      </c>
      <c r="C1191" s="556"/>
      <c r="D1191" s="160"/>
      <c r="E1191" s="161"/>
      <c r="F1191" s="600"/>
      <c r="G1191" s="601"/>
    </row>
    <row r="1192" spans="1:7" ht="12.75" customHeight="1" x14ac:dyDescent="0.2">
      <c r="A1192" s="38"/>
      <c r="B1192" s="437" t="s">
        <v>430</v>
      </c>
      <c r="C1192" s="456" t="s">
        <v>114</v>
      </c>
      <c r="D1192" s="40">
        <v>16</v>
      </c>
      <c r="E1192" s="105"/>
      <c r="F1192" s="598"/>
      <c r="G1192" s="599"/>
    </row>
    <row r="1193" spans="1:7" ht="12.75" customHeight="1" x14ac:dyDescent="0.2">
      <c r="A1193" s="157" t="s">
        <v>47</v>
      </c>
      <c r="B1193" s="518" t="s">
        <v>500</v>
      </c>
      <c r="C1193" s="556"/>
      <c r="D1193" s="160"/>
      <c r="E1193" s="161"/>
      <c r="F1193" s="232"/>
      <c r="G1193" s="233"/>
    </row>
    <row r="1194" spans="1:7" s="85" customFormat="1" ht="24.75" customHeight="1" x14ac:dyDescent="0.2">
      <c r="A1194" s="38" t="s">
        <v>188</v>
      </c>
      <c r="B1194" s="437" t="s">
        <v>487</v>
      </c>
      <c r="C1194" s="456" t="s">
        <v>114</v>
      </c>
      <c r="D1194" s="40">
        <v>62</v>
      </c>
      <c r="E1194" s="105"/>
      <c r="F1194" s="598"/>
      <c r="G1194" s="166">
        <f>(D1194*E1194)+(D1194*F1194)</f>
        <v>0</v>
      </c>
    </row>
    <row r="1195" spans="1:7" ht="12.75" customHeight="1" x14ac:dyDescent="0.2">
      <c r="A1195" s="38" t="s">
        <v>189</v>
      </c>
      <c r="B1195" s="602" t="s">
        <v>495</v>
      </c>
      <c r="C1195" s="456" t="s">
        <v>114</v>
      </c>
      <c r="D1195" s="40">
        <v>2</v>
      </c>
      <c r="E1195" s="105"/>
      <c r="F1195" s="598"/>
      <c r="G1195" s="166">
        <f t="shared" ref="G1195:G1198" si="212">(D1195*E1195)+(D1195*F1195)</f>
        <v>0</v>
      </c>
    </row>
    <row r="1196" spans="1:7" ht="13.5" customHeight="1" x14ac:dyDescent="0.2">
      <c r="A1196" s="38" t="s">
        <v>202</v>
      </c>
      <c r="B1196" s="602" t="s">
        <v>496</v>
      </c>
      <c r="C1196" s="456" t="s">
        <v>114</v>
      </c>
      <c r="D1196" s="40">
        <v>5</v>
      </c>
      <c r="E1196" s="105"/>
      <c r="F1196" s="603"/>
      <c r="G1196" s="369">
        <f t="shared" si="212"/>
        <v>0</v>
      </c>
    </row>
    <row r="1197" spans="1:7" ht="13.5" customHeight="1" x14ac:dyDescent="0.2">
      <c r="A1197" s="38" t="s">
        <v>203</v>
      </c>
      <c r="B1197" s="437" t="s">
        <v>614</v>
      </c>
      <c r="C1197" s="456" t="s">
        <v>114</v>
      </c>
      <c r="D1197" s="40">
        <v>2</v>
      </c>
      <c r="E1197" s="105"/>
      <c r="F1197" s="603"/>
      <c r="G1197" s="369">
        <f t="shared" si="212"/>
        <v>0</v>
      </c>
    </row>
    <row r="1198" spans="1:7" ht="13.5" customHeight="1" x14ac:dyDescent="0.2">
      <c r="A1198" s="38" t="s">
        <v>204</v>
      </c>
      <c r="B1198" s="437" t="s">
        <v>620</v>
      </c>
      <c r="C1198" s="456" t="s">
        <v>114</v>
      </c>
      <c r="D1198" s="40">
        <v>2</v>
      </c>
      <c r="E1198" s="105"/>
      <c r="F1198" s="603"/>
      <c r="G1198" s="369">
        <f t="shared" si="212"/>
        <v>0</v>
      </c>
    </row>
    <row r="1199" spans="1:7" ht="12.75" customHeight="1" x14ac:dyDescent="0.2">
      <c r="A1199" s="157" t="s">
        <v>236</v>
      </c>
      <c r="B1199" s="518" t="s">
        <v>214</v>
      </c>
      <c r="C1199" s="556"/>
      <c r="D1199" s="160"/>
      <c r="E1199" s="161"/>
      <c r="F1199" s="232"/>
      <c r="G1199" s="233"/>
    </row>
    <row r="1200" spans="1:7" ht="24" customHeight="1" x14ac:dyDescent="0.2">
      <c r="A1200" s="38" t="s">
        <v>188</v>
      </c>
      <c r="B1200" s="437" t="s">
        <v>600</v>
      </c>
      <c r="C1200" s="456" t="s">
        <v>114</v>
      </c>
      <c r="D1200" s="40">
        <v>5</v>
      </c>
      <c r="E1200" s="105"/>
      <c r="F1200" s="598"/>
      <c r="G1200" s="166">
        <f t="shared" ref="G1200" si="213">(D1200*E1200)+(D1200*F1200)</f>
        <v>0</v>
      </c>
    </row>
    <row r="1201" spans="1:7" ht="13.5" customHeight="1" x14ac:dyDescent="0.2">
      <c r="A1201" s="38" t="s">
        <v>189</v>
      </c>
      <c r="B1201" s="437" t="s">
        <v>490</v>
      </c>
      <c r="C1201" s="456" t="s">
        <v>114</v>
      </c>
      <c r="D1201" s="40">
        <v>43</v>
      </c>
      <c r="E1201" s="105"/>
      <c r="F1201" s="598"/>
      <c r="G1201" s="166">
        <f t="shared" ref="G1201:G1208" si="214">(D1201*E1201)+(D1201*F1201)</f>
        <v>0</v>
      </c>
    </row>
    <row r="1202" spans="1:7" ht="12" customHeight="1" x14ac:dyDescent="0.2">
      <c r="A1202" s="38" t="s">
        <v>202</v>
      </c>
      <c r="B1202" s="437" t="s">
        <v>491</v>
      </c>
      <c r="C1202" s="456" t="s">
        <v>114</v>
      </c>
      <c r="D1202" s="40">
        <v>11</v>
      </c>
      <c r="E1202" s="105"/>
      <c r="F1202" s="598"/>
      <c r="G1202" s="166">
        <f t="shared" si="214"/>
        <v>0</v>
      </c>
    </row>
    <row r="1203" spans="1:7" ht="13.5" customHeight="1" x14ac:dyDescent="0.2">
      <c r="A1203" s="38" t="s">
        <v>203</v>
      </c>
      <c r="B1203" s="437" t="s">
        <v>492</v>
      </c>
      <c r="C1203" s="456" t="s">
        <v>114</v>
      </c>
      <c r="D1203" s="40">
        <v>24</v>
      </c>
      <c r="E1203" s="105"/>
      <c r="F1203" s="598"/>
      <c r="G1203" s="166">
        <f t="shared" si="214"/>
        <v>0</v>
      </c>
    </row>
    <row r="1204" spans="1:7" ht="13.5" customHeight="1" x14ac:dyDescent="0.2">
      <c r="A1204" s="38" t="s">
        <v>204</v>
      </c>
      <c r="B1204" s="437" t="s">
        <v>493</v>
      </c>
      <c r="C1204" s="456" t="s">
        <v>114</v>
      </c>
      <c r="D1204" s="40">
        <v>6</v>
      </c>
      <c r="E1204" s="105"/>
      <c r="F1204" s="598"/>
      <c r="G1204" s="166">
        <f t="shared" si="214"/>
        <v>0</v>
      </c>
    </row>
    <row r="1205" spans="1:7" ht="12.75" customHeight="1" x14ac:dyDescent="0.2">
      <c r="A1205" s="38" t="s">
        <v>205</v>
      </c>
      <c r="B1205" s="437" t="s">
        <v>494</v>
      </c>
      <c r="C1205" s="456" t="s">
        <v>114</v>
      </c>
      <c r="D1205" s="40">
        <v>6</v>
      </c>
      <c r="E1205" s="105"/>
      <c r="F1205" s="598"/>
      <c r="G1205" s="166">
        <f t="shared" si="214"/>
        <v>0</v>
      </c>
    </row>
    <row r="1206" spans="1:7" ht="12.75" customHeight="1" x14ac:dyDescent="0.2">
      <c r="A1206" s="38" t="s">
        <v>206</v>
      </c>
      <c r="B1206" s="437" t="s">
        <v>619</v>
      </c>
      <c r="C1206" s="456" t="s">
        <v>114</v>
      </c>
      <c r="D1206" s="40">
        <v>6</v>
      </c>
      <c r="E1206" s="105"/>
      <c r="F1206" s="598"/>
      <c r="G1206" s="166">
        <f t="shared" si="214"/>
        <v>0</v>
      </c>
    </row>
    <row r="1207" spans="1:7" ht="12.75" customHeight="1" x14ac:dyDescent="0.2">
      <c r="A1207" s="38" t="s">
        <v>207</v>
      </c>
      <c r="B1207" s="437" t="s">
        <v>608</v>
      </c>
      <c r="C1207" s="456" t="s">
        <v>114</v>
      </c>
      <c r="D1207" s="40">
        <v>3</v>
      </c>
      <c r="E1207" s="105"/>
      <c r="F1207" s="598"/>
      <c r="G1207" s="166">
        <f t="shared" si="214"/>
        <v>0</v>
      </c>
    </row>
    <row r="1208" spans="1:7" ht="14.25" customHeight="1" x14ac:dyDescent="0.2">
      <c r="A1208" s="38" t="s">
        <v>208</v>
      </c>
      <c r="B1208" s="437" t="s">
        <v>609</v>
      </c>
      <c r="C1208" s="456" t="s">
        <v>114</v>
      </c>
      <c r="D1208" s="40">
        <v>2</v>
      </c>
      <c r="E1208" s="105"/>
      <c r="F1208" s="598"/>
      <c r="G1208" s="166">
        <f t="shared" si="214"/>
        <v>0</v>
      </c>
    </row>
    <row r="1209" spans="1:7" ht="12.75" customHeight="1" x14ac:dyDescent="0.2">
      <c r="A1209" s="157" t="s">
        <v>237</v>
      </c>
      <c r="B1209" s="518" t="s">
        <v>216</v>
      </c>
      <c r="C1209" s="556"/>
      <c r="D1209" s="160"/>
      <c r="E1209" s="161"/>
      <c r="F1209" s="232"/>
      <c r="G1209" s="233"/>
    </row>
    <row r="1210" spans="1:7" ht="12.75" customHeight="1" x14ac:dyDescent="0.2">
      <c r="A1210" s="38"/>
      <c r="B1210" s="437" t="s">
        <v>607</v>
      </c>
      <c r="C1210" s="456" t="s">
        <v>114</v>
      </c>
      <c r="D1210" s="40">
        <f>D1194+D1195+D1196</f>
        <v>69</v>
      </c>
      <c r="E1210" s="105"/>
      <c r="F1210" s="598"/>
      <c r="G1210" s="166">
        <f t="shared" ref="G1210" si="215">(D1210*E1210)+(D1210*F1210)</f>
        <v>0</v>
      </c>
    </row>
    <row r="1211" spans="1:7" ht="13.5" customHeight="1" x14ac:dyDescent="0.2">
      <c r="A1211" s="38"/>
      <c r="B1211" s="437" t="s">
        <v>431</v>
      </c>
      <c r="C1211" s="456" t="s">
        <v>114</v>
      </c>
      <c r="D1211" s="40">
        <f>D1192</f>
        <v>16</v>
      </c>
      <c r="E1211" s="105"/>
      <c r="F1211" s="598"/>
      <c r="G1211" s="166"/>
    </row>
    <row r="1212" spans="1:7" ht="13.5" customHeight="1" x14ac:dyDescent="0.2">
      <c r="A1212" s="157" t="s">
        <v>219</v>
      </c>
      <c r="B1212" s="518" t="s">
        <v>220</v>
      </c>
      <c r="C1212" s="556"/>
      <c r="D1212" s="160"/>
      <c r="E1212" s="161"/>
      <c r="F1212" s="232"/>
      <c r="G1212" s="233"/>
    </row>
    <row r="1213" spans="1:7" ht="24" customHeight="1" x14ac:dyDescent="0.2">
      <c r="A1213" s="38" t="s">
        <v>256</v>
      </c>
      <c r="B1213" s="437" t="s">
        <v>623</v>
      </c>
      <c r="C1213" s="456" t="s">
        <v>114</v>
      </c>
      <c r="D1213" s="40">
        <v>5</v>
      </c>
      <c r="E1213" s="105"/>
      <c r="F1213" s="180"/>
      <c r="G1213" s="166">
        <f>(D1213*E1213)+(D1213*F1213)</f>
        <v>0</v>
      </c>
    </row>
    <row r="1214" spans="1:7" ht="12.75" customHeight="1" x14ac:dyDescent="0.2">
      <c r="A1214" s="583" t="s">
        <v>56</v>
      </c>
      <c r="B1214" s="537" t="s">
        <v>69</v>
      </c>
      <c r="C1214" s="538"/>
      <c r="D1214" s="584"/>
      <c r="E1214" s="539"/>
      <c r="F1214" s="540"/>
      <c r="G1214" s="541">
        <f>D1214*E1214</f>
        <v>0</v>
      </c>
    </row>
    <row r="1215" spans="1:7" ht="13.5" customHeight="1" x14ac:dyDescent="0.2">
      <c r="A1215" s="585" t="s">
        <v>176</v>
      </c>
      <c r="B1215" s="592" t="s">
        <v>212</v>
      </c>
      <c r="C1215" s="556"/>
      <c r="D1215" s="160"/>
      <c r="E1215" s="161"/>
      <c r="F1215" s="232"/>
      <c r="G1215" s="233"/>
    </row>
    <row r="1216" spans="1:7" ht="26.25" customHeight="1" x14ac:dyDescent="0.2">
      <c r="A1216" s="586" t="s">
        <v>188</v>
      </c>
      <c r="B1216" s="606" t="s">
        <v>616</v>
      </c>
      <c r="C1216" s="456"/>
      <c r="D1216" s="40"/>
      <c r="E1216" s="105"/>
      <c r="F1216" s="180"/>
      <c r="G1216" s="166">
        <f t="shared" ref="G1216:G1218" si="216">(D1216*E1216)+(D1216*F1216)</f>
        <v>0</v>
      </c>
    </row>
    <row r="1217" spans="1:7" ht="13.5" customHeight="1" x14ac:dyDescent="0.2">
      <c r="A1217" s="586"/>
      <c r="B1217" s="606" t="s">
        <v>610</v>
      </c>
      <c r="C1217" s="456" t="s">
        <v>114</v>
      </c>
      <c r="D1217" s="40">
        <v>1</v>
      </c>
      <c r="E1217" s="105"/>
      <c r="F1217" s="180"/>
      <c r="G1217" s="166">
        <f t="shared" si="216"/>
        <v>0</v>
      </c>
    </row>
    <row r="1218" spans="1:7" ht="13.5" customHeight="1" x14ac:dyDescent="0.2">
      <c r="A1218" s="586"/>
      <c r="B1218" s="606" t="s">
        <v>611</v>
      </c>
      <c r="C1218" s="456" t="s">
        <v>114</v>
      </c>
      <c r="D1218" s="40">
        <v>1</v>
      </c>
      <c r="E1218" s="105"/>
      <c r="F1218" s="180"/>
      <c r="G1218" s="166">
        <f t="shared" si="216"/>
        <v>0</v>
      </c>
    </row>
    <row r="1219" spans="1:7" ht="13.5" customHeight="1" x14ac:dyDescent="0.2">
      <c r="A1219" s="661"/>
      <c r="B1219" s="662" t="s">
        <v>618</v>
      </c>
      <c r="C1219" s="604" t="s">
        <v>114</v>
      </c>
      <c r="D1219" s="265">
        <v>1</v>
      </c>
      <c r="E1219" s="375"/>
      <c r="F1219" s="207"/>
      <c r="G1219" s="208">
        <f t="shared" ref="G1219" si="217">(D1219*E1219)+(D1219*F1219)</f>
        <v>0</v>
      </c>
    </row>
    <row r="1220" spans="1:7" ht="13.5" customHeight="1" x14ac:dyDescent="0.2">
      <c r="A1220" s="585" t="s">
        <v>67</v>
      </c>
      <c r="B1220" s="592" t="s">
        <v>213</v>
      </c>
      <c r="C1220" s="593"/>
      <c r="D1220" s="594"/>
      <c r="E1220" s="595"/>
      <c r="F1220" s="596"/>
      <c r="G1220" s="597"/>
    </row>
    <row r="1221" spans="1:7" ht="13.5" customHeight="1" x14ac:dyDescent="0.2">
      <c r="A1221" s="38" t="s">
        <v>188</v>
      </c>
      <c r="B1221" s="523" t="s">
        <v>221</v>
      </c>
      <c r="C1221" s="456" t="s">
        <v>114</v>
      </c>
      <c r="D1221" s="40">
        <f>D1231+D1232+D1229+D1233</f>
        <v>85</v>
      </c>
      <c r="E1221" s="105"/>
      <c r="F1221" s="598"/>
      <c r="G1221" s="166">
        <f t="shared" ref="G1221:G1227" si="218">(D1221*E1221)+(D1221*F1221)</f>
        <v>0</v>
      </c>
    </row>
    <row r="1222" spans="1:7" ht="13.5" customHeight="1" x14ac:dyDescent="0.2">
      <c r="A1222" s="38" t="s">
        <v>189</v>
      </c>
      <c r="B1222" s="523" t="s">
        <v>222</v>
      </c>
      <c r="C1222" s="456" t="s">
        <v>114</v>
      </c>
      <c r="D1222" s="40">
        <f>D1237+D1238+D1239+D1240</f>
        <v>19</v>
      </c>
      <c r="E1222" s="105"/>
      <c r="F1222" s="598"/>
      <c r="G1222" s="166">
        <f t="shared" si="218"/>
        <v>0</v>
      </c>
    </row>
    <row r="1223" spans="1:7" ht="12.75" customHeight="1" x14ac:dyDescent="0.2">
      <c r="A1223" s="38" t="s">
        <v>202</v>
      </c>
      <c r="B1223" s="523" t="s">
        <v>223</v>
      </c>
      <c r="C1223" s="456" t="s">
        <v>114</v>
      </c>
      <c r="D1223" s="40">
        <f>D1241</f>
        <v>6</v>
      </c>
      <c r="E1223" s="105"/>
      <c r="F1223" s="598"/>
      <c r="G1223" s="166">
        <f t="shared" si="218"/>
        <v>0</v>
      </c>
    </row>
    <row r="1224" spans="1:7" ht="13.5" customHeight="1" x14ac:dyDescent="0.2">
      <c r="A1224" s="38" t="s">
        <v>203</v>
      </c>
      <c r="B1224" s="523" t="s">
        <v>279</v>
      </c>
      <c r="C1224" s="456" t="s">
        <v>114</v>
      </c>
      <c r="D1224" s="40">
        <v>3</v>
      </c>
      <c r="E1224" s="105"/>
      <c r="F1224" s="598"/>
      <c r="G1224" s="599">
        <f t="shared" si="218"/>
        <v>0</v>
      </c>
    </row>
    <row r="1225" spans="1:7" ht="26.25" customHeight="1" x14ac:dyDescent="0.2">
      <c r="A1225" s="38" t="s">
        <v>204</v>
      </c>
      <c r="B1225" s="523" t="s">
        <v>505</v>
      </c>
      <c r="C1225" s="456" t="s">
        <v>114</v>
      </c>
      <c r="D1225" s="40">
        <v>2</v>
      </c>
      <c r="E1225" s="105"/>
      <c r="F1225" s="598"/>
      <c r="G1225" s="166">
        <f t="shared" si="218"/>
        <v>0</v>
      </c>
    </row>
    <row r="1226" spans="1:7" ht="12.75" customHeight="1" x14ac:dyDescent="0.2">
      <c r="A1226" s="38" t="s">
        <v>205</v>
      </c>
      <c r="B1226" s="523" t="s">
        <v>617</v>
      </c>
      <c r="C1226" s="456" t="s">
        <v>114</v>
      </c>
      <c r="D1226" s="40">
        <f>D1242</f>
        <v>1</v>
      </c>
      <c r="E1226" s="105"/>
      <c r="F1226" s="598"/>
      <c r="G1226" s="166">
        <f t="shared" si="218"/>
        <v>0</v>
      </c>
    </row>
    <row r="1227" spans="1:7" ht="12.75" customHeight="1" x14ac:dyDescent="0.2">
      <c r="A1227" s="38" t="s">
        <v>206</v>
      </c>
      <c r="B1227" s="523" t="s">
        <v>615</v>
      </c>
      <c r="C1227" s="456" t="s">
        <v>114</v>
      </c>
      <c r="D1227" s="40">
        <f>D1243</f>
        <v>4</v>
      </c>
      <c r="E1227" s="105"/>
      <c r="F1227" s="598"/>
      <c r="G1227" s="166">
        <f t="shared" si="218"/>
        <v>0</v>
      </c>
    </row>
    <row r="1228" spans="1:7" ht="12" customHeight="1" x14ac:dyDescent="0.2">
      <c r="A1228" s="157" t="s">
        <v>70</v>
      </c>
      <c r="B1228" s="518" t="s">
        <v>217</v>
      </c>
      <c r="C1228" s="556"/>
      <c r="D1228" s="160"/>
      <c r="E1228" s="161"/>
      <c r="F1228" s="600"/>
      <c r="G1228" s="601"/>
    </row>
    <row r="1229" spans="1:7" ht="13.5" customHeight="1" x14ac:dyDescent="0.2">
      <c r="A1229" s="38"/>
      <c r="B1229" s="437" t="s">
        <v>430</v>
      </c>
      <c r="C1229" s="456" t="s">
        <v>114</v>
      </c>
      <c r="D1229" s="40">
        <v>16</v>
      </c>
      <c r="E1229" s="105"/>
      <c r="F1229" s="598"/>
      <c r="G1229" s="599"/>
    </row>
    <row r="1230" spans="1:7" ht="12.75" customHeight="1" x14ac:dyDescent="0.2">
      <c r="A1230" s="157" t="s">
        <v>99</v>
      </c>
      <c r="B1230" s="518" t="s">
        <v>500</v>
      </c>
      <c r="C1230" s="556"/>
      <c r="D1230" s="160"/>
      <c r="E1230" s="161"/>
      <c r="F1230" s="232"/>
      <c r="G1230" s="233"/>
    </row>
    <row r="1231" spans="1:7" s="85" customFormat="1" ht="25.5" customHeight="1" x14ac:dyDescent="0.2">
      <c r="A1231" s="38" t="s">
        <v>188</v>
      </c>
      <c r="B1231" s="437" t="s">
        <v>487</v>
      </c>
      <c r="C1231" s="456" t="s">
        <v>114</v>
      </c>
      <c r="D1231" s="40">
        <v>62</v>
      </c>
      <c r="E1231" s="105"/>
      <c r="F1231" s="598"/>
      <c r="G1231" s="166">
        <f>(D1231*E1231)+(D1231*F1231)</f>
        <v>0</v>
      </c>
    </row>
    <row r="1232" spans="1:7" s="85" customFormat="1" ht="12.75" customHeight="1" x14ac:dyDescent="0.2">
      <c r="A1232" s="38" t="s">
        <v>189</v>
      </c>
      <c r="B1232" s="602" t="s">
        <v>495</v>
      </c>
      <c r="C1232" s="456" t="s">
        <v>114</v>
      </c>
      <c r="D1232" s="40">
        <v>2</v>
      </c>
      <c r="E1232" s="105"/>
      <c r="F1232" s="598"/>
      <c r="G1232" s="166">
        <f t="shared" ref="G1232:G1233" si="219">(D1232*E1232)+(D1232*F1232)</f>
        <v>0</v>
      </c>
    </row>
    <row r="1233" spans="1:7" s="85" customFormat="1" ht="12.75" customHeight="1" x14ac:dyDescent="0.2">
      <c r="A1233" s="38" t="s">
        <v>202</v>
      </c>
      <c r="B1233" s="602" t="s">
        <v>496</v>
      </c>
      <c r="C1233" s="456" t="s">
        <v>114</v>
      </c>
      <c r="D1233" s="40">
        <v>5</v>
      </c>
      <c r="E1233" s="105"/>
      <c r="F1233" s="603"/>
      <c r="G1233" s="369">
        <f t="shared" si="219"/>
        <v>0</v>
      </c>
    </row>
    <row r="1234" spans="1:7" ht="12.75" customHeight="1" x14ac:dyDescent="0.2">
      <c r="A1234" s="38" t="s">
        <v>203</v>
      </c>
      <c r="B1234" s="437" t="s">
        <v>614</v>
      </c>
      <c r="C1234" s="456" t="s">
        <v>114</v>
      </c>
      <c r="D1234" s="40">
        <v>1</v>
      </c>
      <c r="E1234" s="105"/>
      <c r="F1234" s="603"/>
      <c r="G1234" s="369"/>
    </row>
    <row r="1235" spans="1:7" ht="12.75" customHeight="1" x14ac:dyDescent="0.2">
      <c r="A1235" s="38" t="s">
        <v>204</v>
      </c>
      <c r="B1235" s="437" t="s">
        <v>620</v>
      </c>
      <c r="C1235" s="456" t="s">
        <v>114</v>
      </c>
      <c r="D1235" s="40">
        <v>2</v>
      </c>
      <c r="E1235" s="105"/>
      <c r="F1235" s="603"/>
      <c r="G1235" s="369">
        <f t="shared" ref="G1235" si="220">(D1235*E1235)+(D1235*F1235)</f>
        <v>0</v>
      </c>
    </row>
    <row r="1236" spans="1:7" ht="12.75" customHeight="1" x14ac:dyDescent="0.2">
      <c r="A1236" s="157" t="s">
        <v>191</v>
      </c>
      <c r="B1236" s="518" t="s">
        <v>214</v>
      </c>
      <c r="C1236" s="556"/>
      <c r="D1236" s="160"/>
      <c r="E1236" s="161"/>
      <c r="F1236" s="232"/>
      <c r="G1236" s="233"/>
    </row>
    <row r="1237" spans="1:7" ht="12.75" customHeight="1" x14ac:dyDescent="0.2">
      <c r="A1237" s="38" t="s">
        <v>188</v>
      </c>
      <c r="B1237" s="437" t="s">
        <v>489</v>
      </c>
      <c r="C1237" s="456" t="s">
        <v>114</v>
      </c>
      <c r="D1237" s="40">
        <v>5</v>
      </c>
      <c r="E1237" s="105"/>
      <c r="F1237" s="598"/>
      <c r="G1237" s="166">
        <f t="shared" ref="G1237:G1245" si="221">(D1237*E1237)+(D1237*F1237)</f>
        <v>0</v>
      </c>
    </row>
    <row r="1238" spans="1:7" ht="12.75" customHeight="1" x14ac:dyDescent="0.2">
      <c r="A1238" s="38" t="s">
        <v>189</v>
      </c>
      <c r="B1238" s="437" t="s">
        <v>490</v>
      </c>
      <c r="C1238" s="456" t="s">
        <v>114</v>
      </c>
      <c r="D1238" s="40">
        <v>10</v>
      </c>
      <c r="E1238" s="105"/>
      <c r="F1238" s="598"/>
      <c r="G1238" s="166">
        <f t="shared" si="221"/>
        <v>0</v>
      </c>
    </row>
    <row r="1239" spans="1:7" ht="12.75" customHeight="1" x14ac:dyDescent="0.2">
      <c r="A1239" s="38" t="s">
        <v>202</v>
      </c>
      <c r="B1239" s="437" t="s">
        <v>491</v>
      </c>
      <c r="C1239" s="456" t="s">
        <v>114</v>
      </c>
      <c r="D1239" s="40">
        <v>4</v>
      </c>
      <c r="E1239" s="105"/>
      <c r="F1239" s="598"/>
      <c r="G1239" s="166">
        <f t="shared" si="221"/>
        <v>0</v>
      </c>
    </row>
    <row r="1240" spans="1:7" ht="12.75" customHeight="1" x14ac:dyDescent="0.2">
      <c r="A1240" s="38" t="s">
        <v>203</v>
      </c>
      <c r="B1240" s="437" t="s">
        <v>492</v>
      </c>
      <c r="C1240" s="456" t="s">
        <v>114</v>
      </c>
      <c r="D1240" s="40">
        <v>0</v>
      </c>
      <c r="E1240" s="105"/>
      <c r="F1240" s="598"/>
      <c r="G1240" s="166">
        <f t="shared" si="221"/>
        <v>0</v>
      </c>
    </row>
    <row r="1241" spans="1:7" ht="12.75" customHeight="1" x14ac:dyDescent="0.2">
      <c r="A1241" s="38" t="s">
        <v>204</v>
      </c>
      <c r="B1241" s="437" t="s">
        <v>493</v>
      </c>
      <c r="C1241" s="456" t="s">
        <v>114</v>
      </c>
      <c r="D1241" s="40">
        <v>6</v>
      </c>
      <c r="E1241" s="105"/>
      <c r="F1241" s="598"/>
      <c r="G1241" s="166">
        <f t="shared" si="221"/>
        <v>0</v>
      </c>
    </row>
    <row r="1242" spans="1:7" ht="12.75" customHeight="1" x14ac:dyDescent="0.2">
      <c r="A1242" s="38" t="s">
        <v>205</v>
      </c>
      <c r="B1242" s="437" t="s">
        <v>619</v>
      </c>
      <c r="C1242" s="456" t="s">
        <v>114</v>
      </c>
      <c r="D1242" s="40">
        <v>1</v>
      </c>
      <c r="E1242" s="105"/>
      <c r="F1242" s="598"/>
      <c r="G1242" s="166">
        <f t="shared" si="221"/>
        <v>0</v>
      </c>
    </row>
    <row r="1243" spans="1:7" ht="12.75" customHeight="1" x14ac:dyDescent="0.2">
      <c r="A1243" s="38" t="s">
        <v>206</v>
      </c>
      <c r="B1243" s="437" t="s">
        <v>608</v>
      </c>
      <c r="C1243" s="456" t="s">
        <v>114</v>
      </c>
      <c r="D1243" s="40">
        <v>4</v>
      </c>
      <c r="E1243" s="105"/>
      <c r="F1243" s="598"/>
      <c r="G1243" s="166">
        <f t="shared" si="221"/>
        <v>0</v>
      </c>
    </row>
    <row r="1244" spans="1:7" ht="12.75" customHeight="1" x14ac:dyDescent="0.2">
      <c r="A1244" s="38" t="s">
        <v>207</v>
      </c>
      <c r="B1244" s="437" t="s">
        <v>609</v>
      </c>
      <c r="C1244" s="456" t="s">
        <v>114</v>
      </c>
      <c r="D1244" s="40">
        <v>2</v>
      </c>
      <c r="E1244" s="105"/>
      <c r="F1244" s="598"/>
      <c r="G1244" s="166">
        <f t="shared" si="221"/>
        <v>0</v>
      </c>
    </row>
    <row r="1245" spans="1:7" ht="12.75" customHeight="1" x14ac:dyDescent="0.2">
      <c r="A1245" s="38" t="s">
        <v>208</v>
      </c>
      <c r="B1245" s="437" t="s">
        <v>499</v>
      </c>
      <c r="C1245" s="456" t="s">
        <v>114</v>
      </c>
      <c r="D1245" s="40">
        <v>1</v>
      </c>
      <c r="E1245" s="105"/>
      <c r="F1245" s="598"/>
      <c r="G1245" s="166">
        <f t="shared" si="221"/>
        <v>0</v>
      </c>
    </row>
    <row r="1246" spans="1:7" ht="12.75" customHeight="1" x14ac:dyDescent="0.2">
      <c r="A1246" s="157" t="s">
        <v>238</v>
      </c>
      <c r="B1246" s="518" t="s">
        <v>216</v>
      </c>
      <c r="C1246" s="556"/>
      <c r="D1246" s="160"/>
      <c r="E1246" s="161"/>
      <c r="F1246" s="232"/>
      <c r="G1246" s="233"/>
    </row>
    <row r="1247" spans="1:7" ht="12.75" customHeight="1" x14ac:dyDescent="0.2">
      <c r="A1247" s="38" t="s">
        <v>188</v>
      </c>
      <c r="B1247" s="437" t="s">
        <v>532</v>
      </c>
      <c r="C1247" s="456" t="s">
        <v>114</v>
      </c>
      <c r="D1247" s="40">
        <f>D1231+D1232+D1233</f>
        <v>69</v>
      </c>
      <c r="E1247" s="105"/>
      <c r="F1247" s="598"/>
      <c r="G1247" s="166">
        <f t="shared" ref="G1247" si="222">(D1247*E1247)+(D1247*F1247)</f>
        <v>0</v>
      </c>
    </row>
    <row r="1248" spans="1:7" ht="12" customHeight="1" x14ac:dyDescent="0.2">
      <c r="A1248" s="38" t="s">
        <v>189</v>
      </c>
      <c r="B1248" s="437" t="s">
        <v>431</v>
      </c>
      <c r="C1248" s="456" t="s">
        <v>114</v>
      </c>
      <c r="D1248" s="40">
        <f>D1229</f>
        <v>16</v>
      </c>
      <c r="E1248" s="105"/>
      <c r="F1248" s="598"/>
      <c r="G1248" s="166"/>
    </row>
    <row r="1249" spans="1:7" ht="13.5" customHeight="1" x14ac:dyDescent="0.2">
      <c r="A1249" s="157" t="s">
        <v>239</v>
      </c>
      <c r="B1249" s="518" t="s">
        <v>220</v>
      </c>
      <c r="C1249" s="556"/>
      <c r="D1249" s="160"/>
      <c r="E1249" s="161"/>
      <c r="F1249" s="232"/>
      <c r="G1249" s="233"/>
    </row>
    <row r="1250" spans="1:7" ht="24.75" customHeight="1" x14ac:dyDescent="0.2">
      <c r="A1250" s="38" t="s">
        <v>256</v>
      </c>
      <c r="B1250" s="437" t="s">
        <v>623</v>
      </c>
      <c r="C1250" s="456" t="s">
        <v>114</v>
      </c>
      <c r="D1250" s="40">
        <v>5</v>
      </c>
      <c r="E1250" s="105"/>
      <c r="F1250" s="180"/>
      <c r="G1250" s="166">
        <f>(D1250*E1250)+(D1250*F1250)</f>
        <v>0</v>
      </c>
    </row>
    <row r="1251" spans="1:7" ht="12.75" customHeight="1" x14ac:dyDescent="0.2">
      <c r="A1251" s="38"/>
      <c r="B1251" s="437"/>
      <c r="C1251" s="456"/>
      <c r="D1251" s="40"/>
      <c r="E1251" s="105"/>
      <c r="F1251" s="598"/>
      <c r="G1251" s="166"/>
    </row>
    <row r="1252" spans="1:7" ht="13.5" customHeight="1" x14ac:dyDescent="0.2">
      <c r="A1252" s="583" t="s">
        <v>172</v>
      </c>
      <c r="B1252" s="537" t="s">
        <v>382</v>
      </c>
      <c r="C1252" s="538"/>
      <c r="D1252" s="584"/>
      <c r="E1252" s="539"/>
      <c r="F1252" s="540"/>
      <c r="G1252" s="541">
        <f>D1252*E1252</f>
        <v>0</v>
      </c>
    </row>
    <row r="1253" spans="1:7" ht="14.25" customHeight="1" x14ac:dyDescent="0.2">
      <c r="A1253" s="585" t="s">
        <v>102</v>
      </c>
      <c r="B1253" s="592" t="s">
        <v>213</v>
      </c>
      <c r="C1253" s="593"/>
      <c r="D1253" s="594"/>
      <c r="E1253" s="595"/>
      <c r="F1253" s="596"/>
      <c r="G1253" s="597"/>
    </row>
    <row r="1254" spans="1:7" ht="13.5" customHeight="1" x14ac:dyDescent="0.2">
      <c r="A1254" s="38" t="s">
        <v>188</v>
      </c>
      <c r="B1254" s="523" t="s">
        <v>221</v>
      </c>
      <c r="C1254" s="456" t="s">
        <v>114</v>
      </c>
      <c r="D1254" s="40">
        <f>D1261+D1262</f>
        <v>3</v>
      </c>
      <c r="E1254" s="105"/>
      <c r="F1254" s="598"/>
      <c r="G1254" s="166">
        <f t="shared" ref="G1254:G1259" si="223">(D1254*E1254)+(D1254*F1254)</f>
        <v>0</v>
      </c>
    </row>
    <row r="1255" spans="1:7" ht="13.5" customHeight="1" x14ac:dyDescent="0.2">
      <c r="A1255" s="38" t="s">
        <v>189</v>
      </c>
      <c r="B1255" s="523" t="s">
        <v>222</v>
      </c>
      <c r="C1255" s="456" t="s">
        <v>114</v>
      </c>
      <c r="D1255" s="40">
        <f>D1265+D1266+D1267+D1268</f>
        <v>16</v>
      </c>
      <c r="E1255" s="105"/>
      <c r="F1255" s="598"/>
      <c r="G1255" s="166">
        <f t="shared" si="223"/>
        <v>0</v>
      </c>
    </row>
    <row r="1256" spans="1:7" ht="13.5" customHeight="1" x14ac:dyDescent="0.2">
      <c r="A1256" s="38" t="s">
        <v>202</v>
      </c>
      <c r="B1256" s="523" t="s">
        <v>223</v>
      </c>
      <c r="C1256" s="456" t="s">
        <v>114</v>
      </c>
      <c r="D1256" s="40">
        <f>D1269+D1270</f>
        <v>1</v>
      </c>
      <c r="E1256" s="105"/>
      <c r="F1256" s="598"/>
      <c r="G1256" s="166">
        <f t="shared" si="223"/>
        <v>0</v>
      </c>
    </row>
    <row r="1257" spans="1:7" ht="13.5" customHeight="1" x14ac:dyDescent="0.2">
      <c r="A1257" s="38" t="s">
        <v>203</v>
      </c>
      <c r="B1257" s="523" t="s">
        <v>279</v>
      </c>
      <c r="C1257" s="456" t="s">
        <v>229</v>
      </c>
      <c r="D1257" s="40">
        <v>14</v>
      </c>
      <c r="E1257" s="105"/>
      <c r="F1257" s="598"/>
      <c r="G1257" s="599">
        <f t="shared" si="223"/>
        <v>0</v>
      </c>
    </row>
    <row r="1258" spans="1:7" ht="15" customHeight="1" x14ac:dyDescent="0.2">
      <c r="A1258" s="38" t="s">
        <v>204</v>
      </c>
      <c r="B1258" s="523" t="s">
        <v>621</v>
      </c>
      <c r="C1258" s="456" t="s">
        <v>114</v>
      </c>
      <c r="D1258" s="40">
        <f>D1272</f>
        <v>1</v>
      </c>
      <c r="E1258" s="105"/>
      <c r="F1258" s="598"/>
      <c r="G1258" s="166">
        <f t="shared" si="223"/>
        <v>0</v>
      </c>
    </row>
    <row r="1259" spans="1:7" ht="13.5" customHeight="1" x14ac:dyDescent="0.2">
      <c r="A1259" s="38" t="s">
        <v>205</v>
      </c>
      <c r="B1259" s="523" t="s">
        <v>617</v>
      </c>
      <c r="C1259" s="456" t="s">
        <v>114</v>
      </c>
      <c r="D1259" s="40">
        <v>3</v>
      </c>
      <c r="E1259" s="105"/>
      <c r="F1259" s="598"/>
      <c r="G1259" s="166">
        <f t="shared" si="223"/>
        <v>0</v>
      </c>
    </row>
    <row r="1260" spans="1:7" ht="13.5" customHeight="1" x14ac:dyDescent="0.2">
      <c r="A1260" s="157" t="s">
        <v>147</v>
      </c>
      <c r="B1260" s="518" t="s">
        <v>500</v>
      </c>
      <c r="C1260" s="556"/>
      <c r="D1260" s="160"/>
      <c r="E1260" s="161"/>
      <c r="F1260" s="232"/>
      <c r="G1260" s="233"/>
    </row>
    <row r="1261" spans="1:7" ht="12.75" customHeight="1" x14ac:dyDescent="0.2">
      <c r="A1261" s="38" t="s">
        <v>188</v>
      </c>
      <c r="B1261" s="602" t="s">
        <v>495</v>
      </c>
      <c r="C1261" s="456" t="s">
        <v>114</v>
      </c>
      <c r="D1261" s="40">
        <v>1</v>
      </c>
      <c r="E1261" s="105"/>
      <c r="F1261" s="598"/>
      <c r="G1261" s="166">
        <f t="shared" ref="G1261:G1262" si="224">(D1261*E1261)+(D1261*F1261)</f>
        <v>0</v>
      </c>
    </row>
    <row r="1262" spans="1:7" ht="13.5" customHeight="1" x14ac:dyDescent="0.2">
      <c r="A1262" s="38" t="s">
        <v>189</v>
      </c>
      <c r="B1262" s="602" t="s">
        <v>496</v>
      </c>
      <c r="C1262" s="456" t="s">
        <v>114</v>
      </c>
      <c r="D1262" s="40">
        <v>2</v>
      </c>
      <c r="E1262" s="105"/>
      <c r="F1262" s="603"/>
      <c r="G1262" s="369">
        <f t="shared" si="224"/>
        <v>0</v>
      </c>
    </row>
    <row r="1263" spans="1:7" ht="13.5" customHeight="1" x14ac:dyDescent="0.2">
      <c r="A1263" s="38" t="s">
        <v>202</v>
      </c>
      <c r="B1263" s="602" t="s">
        <v>504</v>
      </c>
      <c r="C1263" s="456" t="s">
        <v>114</v>
      </c>
      <c r="D1263" s="40">
        <v>1</v>
      </c>
      <c r="E1263" s="105"/>
      <c r="F1263" s="603"/>
      <c r="G1263" s="369"/>
    </row>
    <row r="1264" spans="1:7" ht="13.5" customHeight="1" x14ac:dyDescent="0.2">
      <c r="A1264" s="157" t="s">
        <v>148</v>
      </c>
      <c r="B1264" s="518" t="s">
        <v>214</v>
      </c>
      <c r="C1264" s="556"/>
      <c r="D1264" s="160"/>
      <c r="E1264" s="161"/>
      <c r="F1264" s="232"/>
      <c r="G1264" s="233"/>
    </row>
    <row r="1265" spans="1:7" ht="13.5" customHeight="1" x14ac:dyDescent="0.2">
      <c r="A1265" s="38" t="s">
        <v>188</v>
      </c>
      <c r="B1265" s="437" t="s">
        <v>489</v>
      </c>
      <c r="C1265" s="456" t="s">
        <v>114</v>
      </c>
      <c r="D1265" s="40">
        <v>0</v>
      </c>
      <c r="E1265" s="105"/>
      <c r="F1265" s="598"/>
      <c r="G1265" s="166">
        <f t="shared" ref="G1265:G1272" si="225">(D1265*E1265)+(D1265*F1265)</f>
        <v>0</v>
      </c>
    </row>
    <row r="1266" spans="1:7" ht="13.5" customHeight="1" x14ac:dyDescent="0.2">
      <c r="A1266" s="38" t="s">
        <v>189</v>
      </c>
      <c r="B1266" s="437" t="s">
        <v>490</v>
      </c>
      <c r="C1266" s="456" t="s">
        <v>114</v>
      </c>
      <c r="D1266" s="40">
        <v>16</v>
      </c>
      <c r="E1266" s="105"/>
      <c r="F1266" s="598"/>
      <c r="G1266" s="166">
        <f t="shared" si="225"/>
        <v>0</v>
      </c>
    </row>
    <row r="1267" spans="1:7" ht="13.5" customHeight="1" x14ac:dyDescent="0.2">
      <c r="A1267" s="38" t="s">
        <v>202</v>
      </c>
      <c r="B1267" s="437" t="s">
        <v>491</v>
      </c>
      <c r="C1267" s="456" t="s">
        <v>114</v>
      </c>
      <c r="D1267" s="40">
        <v>0</v>
      </c>
      <c r="E1267" s="105"/>
      <c r="F1267" s="598"/>
      <c r="G1267" s="166">
        <f t="shared" si="225"/>
        <v>0</v>
      </c>
    </row>
    <row r="1268" spans="1:7" ht="13.5" customHeight="1" x14ac:dyDescent="0.2">
      <c r="A1268" s="38" t="s">
        <v>203</v>
      </c>
      <c r="B1268" s="437" t="s">
        <v>492</v>
      </c>
      <c r="C1268" s="456" t="s">
        <v>114</v>
      </c>
      <c r="D1268" s="40">
        <v>0</v>
      </c>
      <c r="E1268" s="105"/>
      <c r="F1268" s="598"/>
      <c r="G1268" s="166">
        <f t="shared" si="225"/>
        <v>0</v>
      </c>
    </row>
    <row r="1269" spans="1:7" ht="13.5" customHeight="1" x14ac:dyDescent="0.2">
      <c r="A1269" s="38" t="s">
        <v>204</v>
      </c>
      <c r="B1269" s="437" t="s">
        <v>493</v>
      </c>
      <c r="C1269" s="456" t="s">
        <v>114</v>
      </c>
      <c r="D1269" s="40">
        <v>1</v>
      </c>
      <c r="E1269" s="105"/>
      <c r="F1269" s="598"/>
      <c r="G1269" s="166">
        <f t="shared" si="225"/>
        <v>0</v>
      </c>
    </row>
    <row r="1270" spans="1:7" ht="13.5" customHeight="1" x14ac:dyDescent="0.2">
      <c r="A1270" s="38" t="s">
        <v>205</v>
      </c>
      <c r="B1270" s="437" t="s">
        <v>494</v>
      </c>
      <c r="C1270" s="456" t="s">
        <v>114</v>
      </c>
      <c r="D1270" s="40">
        <v>0</v>
      </c>
      <c r="E1270" s="105"/>
      <c r="F1270" s="598"/>
      <c r="G1270" s="166">
        <f t="shared" si="225"/>
        <v>0</v>
      </c>
    </row>
    <row r="1271" spans="1:7" ht="13.5" customHeight="1" x14ac:dyDescent="0.2">
      <c r="A1271" s="38" t="s">
        <v>206</v>
      </c>
      <c r="B1271" s="437" t="s">
        <v>622</v>
      </c>
      <c r="C1271" s="456" t="s">
        <v>114</v>
      </c>
      <c r="D1271" s="40">
        <v>3</v>
      </c>
      <c r="E1271" s="105"/>
      <c r="F1271" s="598"/>
      <c r="G1271" s="166">
        <f t="shared" si="225"/>
        <v>0</v>
      </c>
    </row>
    <row r="1272" spans="1:7" ht="13.5" customHeight="1" x14ac:dyDescent="0.2">
      <c r="A1272" s="325" t="s">
        <v>208</v>
      </c>
      <c r="B1272" s="443" t="s">
        <v>499</v>
      </c>
      <c r="C1272" s="604" t="s">
        <v>114</v>
      </c>
      <c r="D1272" s="265">
        <v>1</v>
      </c>
      <c r="E1272" s="375"/>
      <c r="F1272" s="660"/>
      <c r="G1272" s="208">
        <f t="shared" si="225"/>
        <v>0</v>
      </c>
    </row>
    <row r="1273" spans="1:7" ht="13.5" customHeight="1" x14ac:dyDescent="0.2">
      <c r="A1273" s="157" t="s">
        <v>149</v>
      </c>
      <c r="B1273" s="518" t="s">
        <v>216</v>
      </c>
      <c r="C1273" s="556"/>
      <c r="D1273" s="160"/>
      <c r="E1273" s="161"/>
      <c r="F1273" s="232"/>
      <c r="G1273" s="233"/>
    </row>
    <row r="1274" spans="1:7" ht="13.5" customHeight="1" x14ac:dyDescent="0.2">
      <c r="A1274" s="38" t="s">
        <v>188</v>
      </c>
      <c r="B1274" s="437" t="s">
        <v>607</v>
      </c>
      <c r="C1274" s="456" t="s">
        <v>114</v>
      </c>
      <c r="D1274" s="40">
        <f>D1261+D1262</f>
        <v>3</v>
      </c>
      <c r="E1274" s="105"/>
      <c r="F1274" s="598"/>
      <c r="G1274" s="166">
        <f t="shared" ref="G1274" si="226">(D1274*E1274)+(D1274*F1274)</f>
        <v>0</v>
      </c>
    </row>
    <row r="1275" spans="1:7" ht="13.5" customHeight="1" x14ac:dyDescent="0.2">
      <c r="A1275" s="157" t="s">
        <v>502</v>
      </c>
      <c r="B1275" s="518" t="s">
        <v>220</v>
      </c>
      <c r="C1275" s="556"/>
      <c r="D1275" s="160"/>
      <c r="E1275" s="161"/>
      <c r="F1275" s="232"/>
      <c r="G1275" s="233"/>
    </row>
    <row r="1276" spans="1:7" ht="26.25" customHeight="1" x14ac:dyDescent="0.2">
      <c r="A1276" s="38" t="s">
        <v>188</v>
      </c>
      <c r="B1276" s="437" t="s">
        <v>503</v>
      </c>
      <c r="C1276" s="456" t="s">
        <v>114</v>
      </c>
      <c r="D1276" s="40">
        <v>1</v>
      </c>
      <c r="E1276" s="105"/>
      <c r="F1276" s="180"/>
      <c r="G1276" s="166">
        <f>(D1276*E1276)+(D1276*F1276)</f>
        <v>0</v>
      </c>
    </row>
    <row r="1277" spans="1:7" ht="13.5" customHeight="1" x14ac:dyDescent="0.2">
      <c r="A1277" s="38"/>
      <c r="B1277" s="437"/>
      <c r="C1277" s="456"/>
      <c r="D1277" s="40"/>
      <c r="E1277" s="105"/>
      <c r="F1277" s="598"/>
      <c r="G1277" s="166"/>
    </row>
    <row r="1278" spans="1:7" ht="13.5" customHeight="1" x14ac:dyDescent="0.2">
      <c r="A1278" s="38"/>
      <c r="B1278" s="437"/>
      <c r="C1278" s="456"/>
      <c r="D1278" s="40"/>
      <c r="E1278" s="105"/>
      <c r="F1278" s="598"/>
      <c r="G1278" s="166"/>
    </row>
    <row r="1279" spans="1:7" ht="13.5" customHeight="1" x14ac:dyDescent="0.2">
      <c r="A1279" s="38"/>
      <c r="B1279" s="437"/>
      <c r="C1279" s="456"/>
      <c r="D1279" s="40"/>
      <c r="E1279" s="105"/>
      <c r="F1279" s="598"/>
      <c r="G1279" s="166"/>
    </row>
    <row r="1280" spans="1:7" ht="13.5" customHeight="1" x14ac:dyDescent="0.2">
      <c r="A1280" s="38"/>
      <c r="B1280" s="437"/>
      <c r="C1280" s="456"/>
      <c r="D1280" s="40"/>
      <c r="E1280" s="105"/>
      <c r="F1280" s="180"/>
      <c r="G1280" s="166"/>
    </row>
    <row r="1281" spans="1:7" ht="13.5" customHeight="1" x14ac:dyDescent="0.2">
      <c r="A1281" s="38"/>
      <c r="B1281" s="437"/>
      <c r="C1281" s="456"/>
      <c r="D1281" s="40"/>
      <c r="E1281" s="105"/>
      <c r="F1281" s="180"/>
      <c r="G1281" s="166"/>
    </row>
    <row r="1282" spans="1:7" ht="13.5" customHeight="1" x14ac:dyDescent="0.2">
      <c r="A1282" s="38"/>
      <c r="B1282" s="437"/>
      <c r="C1282" s="456"/>
      <c r="D1282" s="40"/>
      <c r="E1282" s="105"/>
      <c r="F1282" s="180"/>
      <c r="G1282" s="166"/>
    </row>
    <row r="1283" spans="1:7" ht="13.5" customHeight="1" x14ac:dyDescent="0.2">
      <c r="A1283" s="38"/>
      <c r="B1283" s="437"/>
      <c r="C1283" s="456"/>
      <c r="D1283" s="40"/>
      <c r="E1283" s="105"/>
      <c r="F1283" s="180"/>
      <c r="G1283" s="166"/>
    </row>
    <row r="1284" spans="1:7" ht="13.5" customHeight="1" x14ac:dyDescent="0.2">
      <c r="A1284" s="38"/>
      <c r="B1284" s="437"/>
      <c r="C1284" s="456"/>
      <c r="D1284" s="40"/>
      <c r="E1284" s="105"/>
      <c r="F1284" s="180"/>
      <c r="G1284" s="166"/>
    </row>
    <row r="1285" spans="1:7" ht="13.5" customHeight="1" x14ac:dyDescent="0.2">
      <c r="A1285" s="38"/>
      <c r="B1285" s="437"/>
      <c r="C1285" s="456"/>
      <c r="D1285" s="40"/>
      <c r="E1285" s="105"/>
      <c r="F1285" s="180"/>
      <c r="G1285" s="166"/>
    </row>
    <row r="1286" spans="1:7" ht="13.5" customHeight="1" x14ac:dyDescent="0.2">
      <c r="A1286" s="38"/>
      <c r="B1286" s="437"/>
      <c r="C1286" s="456"/>
      <c r="D1286" s="40"/>
      <c r="E1286" s="105"/>
      <c r="F1286" s="180"/>
      <c r="G1286" s="166"/>
    </row>
    <row r="1287" spans="1:7" ht="13.5" customHeight="1" x14ac:dyDescent="0.2">
      <c r="A1287" s="38"/>
      <c r="B1287" s="437"/>
      <c r="C1287" s="456"/>
      <c r="D1287" s="40"/>
      <c r="E1287" s="105"/>
      <c r="F1287" s="180"/>
      <c r="G1287" s="166"/>
    </row>
    <row r="1288" spans="1:7" ht="13.5" customHeight="1" x14ac:dyDescent="0.2">
      <c r="A1288" s="38"/>
      <c r="B1288" s="437"/>
      <c r="C1288" s="456"/>
      <c r="D1288" s="40"/>
      <c r="E1288" s="105"/>
      <c r="F1288" s="180"/>
      <c r="G1288" s="166"/>
    </row>
    <row r="1289" spans="1:7" ht="13.5" customHeight="1" x14ac:dyDescent="0.2">
      <c r="A1289" s="38"/>
      <c r="B1289" s="437"/>
      <c r="C1289" s="456"/>
      <c r="D1289" s="40"/>
      <c r="E1289" s="105"/>
      <c r="F1289" s="180"/>
      <c r="G1289" s="166"/>
    </row>
    <row r="1290" spans="1:7" ht="13.5" customHeight="1" x14ac:dyDescent="0.2">
      <c r="A1290" s="38"/>
      <c r="B1290" s="437"/>
      <c r="C1290" s="456"/>
      <c r="D1290" s="40"/>
      <c r="E1290" s="105"/>
      <c r="F1290" s="180"/>
      <c r="G1290" s="166"/>
    </row>
    <row r="1291" spans="1:7" ht="13.5" customHeight="1" x14ac:dyDescent="0.2">
      <c r="A1291" s="38"/>
      <c r="B1291" s="437"/>
      <c r="C1291" s="456"/>
      <c r="D1291" s="40"/>
      <c r="E1291" s="105"/>
      <c r="F1291" s="180"/>
      <c r="G1291" s="166"/>
    </row>
    <row r="1292" spans="1:7" ht="13.5" customHeight="1" x14ac:dyDescent="0.2">
      <c r="A1292" s="38"/>
      <c r="B1292" s="437"/>
      <c r="C1292" s="456"/>
      <c r="D1292" s="40"/>
      <c r="E1292" s="105"/>
      <c r="F1292" s="180"/>
      <c r="G1292" s="166"/>
    </row>
    <row r="1293" spans="1:7" ht="13.5" customHeight="1" x14ac:dyDescent="0.2">
      <c r="A1293" s="38"/>
      <c r="B1293" s="437"/>
      <c r="C1293" s="456"/>
      <c r="D1293" s="40"/>
      <c r="E1293" s="105"/>
      <c r="F1293" s="180"/>
      <c r="G1293" s="166"/>
    </row>
    <row r="1294" spans="1:7" ht="13.5" customHeight="1" x14ac:dyDescent="0.2">
      <c r="A1294" s="38"/>
      <c r="B1294" s="437"/>
      <c r="C1294" s="456"/>
      <c r="D1294" s="40"/>
      <c r="E1294" s="105"/>
      <c r="F1294" s="180"/>
      <c r="G1294" s="166"/>
    </row>
    <row r="1295" spans="1:7" ht="13.5" customHeight="1" x14ac:dyDescent="0.2">
      <c r="A1295" s="38"/>
      <c r="B1295" s="437"/>
      <c r="C1295" s="456"/>
      <c r="D1295" s="40"/>
      <c r="E1295" s="105"/>
      <c r="F1295" s="180"/>
      <c r="G1295" s="166"/>
    </row>
    <row r="1296" spans="1:7" ht="13.5" customHeight="1" x14ac:dyDescent="0.2">
      <c r="A1296" s="38"/>
      <c r="B1296" s="437"/>
      <c r="C1296" s="456"/>
      <c r="D1296" s="40"/>
      <c r="E1296" s="105"/>
      <c r="F1296" s="180"/>
      <c r="G1296" s="166"/>
    </row>
    <row r="1297" spans="1:7" ht="13.5" customHeight="1" x14ac:dyDescent="0.2">
      <c r="A1297" s="38"/>
      <c r="B1297" s="437"/>
      <c r="C1297" s="456"/>
      <c r="D1297" s="40"/>
      <c r="E1297" s="105"/>
      <c r="F1297" s="180"/>
      <c r="G1297" s="166"/>
    </row>
    <row r="1298" spans="1:7" x14ac:dyDescent="0.2">
      <c r="A1298" s="325"/>
      <c r="B1298" s="443"/>
      <c r="C1298" s="604"/>
      <c r="D1298" s="265"/>
      <c r="E1298" s="375"/>
      <c r="F1298" s="207"/>
      <c r="G1298" s="208"/>
    </row>
    <row r="1299" spans="1:7" x14ac:dyDescent="0.2">
      <c r="A1299" s="27"/>
      <c r="B1299" s="28" t="s">
        <v>286</v>
      </c>
      <c r="C1299" s="36"/>
      <c r="D1299" s="29"/>
      <c r="E1299" s="102"/>
      <c r="F1299" s="47"/>
      <c r="G1299" s="48"/>
    </row>
    <row r="1300" spans="1:7" ht="12.75" thickBot="1" x14ac:dyDescent="0.25">
      <c r="A1300" s="30"/>
      <c r="B1300" s="31" t="s">
        <v>449</v>
      </c>
      <c r="C1300" s="37"/>
      <c r="D1300" s="32"/>
      <c r="E1300" s="103"/>
      <c r="F1300" s="55"/>
      <c r="G1300" s="79">
        <f>SUM(G1141:G1299)</f>
        <v>0</v>
      </c>
    </row>
    <row r="1301" spans="1:7" x14ac:dyDescent="0.2">
      <c r="A1301" s="113"/>
      <c r="B1301" s="114" t="s">
        <v>432</v>
      </c>
      <c r="C1301" s="115"/>
      <c r="D1301" s="116"/>
      <c r="E1301" s="117"/>
      <c r="F1301" s="118"/>
      <c r="G1301" s="119"/>
    </row>
    <row r="1302" spans="1:7" x14ac:dyDescent="0.2">
      <c r="A1302" s="120"/>
      <c r="B1302" s="24" t="s">
        <v>433</v>
      </c>
      <c r="C1302" s="25"/>
      <c r="D1302" s="100"/>
      <c r="E1302" s="121"/>
      <c r="F1302" s="43"/>
      <c r="G1302" s="44"/>
    </row>
    <row r="1303" spans="1:7" x14ac:dyDescent="0.2">
      <c r="A1303" s="122">
        <v>13.1</v>
      </c>
      <c r="B1303" s="51" t="s">
        <v>434</v>
      </c>
      <c r="C1303" s="78"/>
      <c r="D1303" s="101"/>
      <c r="E1303" s="123"/>
      <c r="F1303" s="63"/>
      <c r="G1303" s="64"/>
    </row>
    <row r="1304" spans="1:7" ht="42.75" customHeight="1" x14ac:dyDescent="0.2">
      <c r="A1304" s="120"/>
      <c r="B1304" s="629" t="s">
        <v>435</v>
      </c>
      <c r="C1304" s="630"/>
      <c r="D1304" s="630"/>
      <c r="E1304" s="631"/>
      <c r="F1304" s="43"/>
      <c r="G1304" s="44"/>
    </row>
    <row r="1305" spans="1:7" ht="24" customHeight="1" x14ac:dyDescent="0.2">
      <c r="A1305" s="120"/>
      <c r="B1305" s="629" t="s">
        <v>436</v>
      </c>
      <c r="C1305" s="630"/>
      <c r="D1305" s="630"/>
      <c r="E1305" s="631"/>
      <c r="F1305" s="43"/>
      <c r="G1305" s="44"/>
    </row>
    <row r="1306" spans="1:7" ht="12" customHeight="1" x14ac:dyDescent="0.2">
      <c r="A1306" s="120"/>
      <c r="B1306" s="629" t="s">
        <v>437</v>
      </c>
      <c r="C1306" s="630"/>
      <c r="D1306" s="630"/>
      <c r="E1306" s="631"/>
      <c r="F1306" s="43"/>
      <c r="G1306" s="44"/>
    </row>
    <row r="1307" spans="1:7" ht="25.5" customHeight="1" x14ac:dyDescent="0.2">
      <c r="A1307" s="120"/>
      <c r="B1307" s="629" t="s">
        <v>438</v>
      </c>
      <c r="C1307" s="630"/>
      <c r="D1307" s="630"/>
      <c r="E1307" s="631"/>
      <c r="F1307" s="43"/>
      <c r="G1307" s="44"/>
    </row>
    <row r="1308" spans="1:7" x14ac:dyDescent="0.2">
      <c r="A1308" s="124">
        <v>13.2</v>
      </c>
      <c r="B1308" s="125" t="s">
        <v>439</v>
      </c>
      <c r="C1308" s="126"/>
      <c r="D1308" s="98"/>
      <c r="E1308" s="127"/>
      <c r="F1308" s="72"/>
      <c r="G1308" s="73"/>
    </row>
    <row r="1309" spans="1:7" ht="24" x14ac:dyDescent="0.2">
      <c r="A1309" s="120"/>
      <c r="B1309" s="50" t="s">
        <v>440</v>
      </c>
      <c r="C1309" s="54"/>
      <c r="D1309" s="100"/>
      <c r="E1309" s="121"/>
      <c r="F1309" s="43"/>
      <c r="G1309" s="44"/>
    </row>
    <row r="1310" spans="1:7" x14ac:dyDescent="0.2">
      <c r="A1310" s="128">
        <v>1</v>
      </c>
      <c r="B1310" s="129" t="s">
        <v>66</v>
      </c>
      <c r="C1310" s="130"/>
      <c r="D1310" s="106"/>
      <c r="E1310" s="131"/>
      <c r="F1310" s="132"/>
      <c r="G1310" s="133"/>
    </row>
    <row r="1311" spans="1:7" x14ac:dyDescent="0.2">
      <c r="A1311" s="134" t="s">
        <v>224</v>
      </c>
      <c r="B1311" s="135" t="s">
        <v>439</v>
      </c>
      <c r="C1311" s="126"/>
      <c r="D1311" s="98"/>
      <c r="E1311" s="127"/>
      <c r="F1311" s="136"/>
      <c r="G1311" s="44">
        <f t="shared" ref="G1311:G1321" si="227">(D1311*E1311)+(D1311*F1311)</f>
        <v>0</v>
      </c>
    </row>
    <row r="1312" spans="1:7" x14ac:dyDescent="0.2">
      <c r="A1312" s="120" t="s">
        <v>188</v>
      </c>
      <c r="B1312" s="50" t="s">
        <v>453</v>
      </c>
      <c r="C1312" s="54" t="s">
        <v>114</v>
      </c>
      <c r="D1312" s="100">
        <v>1</v>
      </c>
      <c r="E1312" s="121"/>
      <c r="F1312" s="43"/>
      <c r="G1312" s="44">
        <f t="shared" si="227"/>
        <v>0</v>
      </c>
    </row>
    <row r="1313" spans="1:7" x14ac:dyDescent="0.2">
      <c r="A1313" s="120" t="s">
        <v>189</v>
      </c>
      <c r="B1313" s="50" t="s">
        <v>454</v>
      </c>
      <c r="C1313" s="54" t="s">
        <v>114</v>
      </c>
      <c r="D1313" s="100">
        <v>1</v>
      </c>
      <c r="E1313" s="121"/>
      <c r="F1313" s="43"/>
      <c r="G1313" s="44">
        <f t="shared" si="227"/>
        <v>0</v>
      </c>
    </row>
    <row r="1314" spans="1:7" x14ac:dyDescent="0.2">
      <c r="A1314" s="120" t="s">
        <v>202</v>
      </c>
      <c r="B1314" s="50" t="s">
        <v>452</v>
      </c>
      <c r="C1314" s="54" t="s">
        <v>114</v>
      </c>
      <c r="D1314" s="100">
        <v>3</v>
      </c>
      <c r="E1314" s="121"/>
      <c r="F1314" s="43"/>
      <c r="G1314" s="44">
        <f t="shared" si="227"/>
        <v>0</v>
      </c>
    </row>
    <row r="1315" spans="1:7" ht="24" x14ac:dyDescent="0.2">
      <c r="A1315" s="120" t="s">
        <v>203</v>
      </c>
      <c r="B1315" s="50" t="s">
        <v>455</v>
      </c>
      <c r="C1315" s="54" t="s">
        <v>114</v>
      </c>
      <c r="D1315" s="100">
        <v>1</v>
      </c>
      <c r="E1315" s="121"/>
      <c r="F1315" s="43"/>
      <c r="G1315" s="44">
        <f t="shared" si="227"/>
        <v>0</v>
      </c>
    </row>
    <row r="1316" spans="1:7" x14ac:dyDescent="0.2">
      <c r="A1316" s="120" t="s">
        <v>204</v>
      </c>
      <c r="B1316" s="50" t="s">
        <v>456</v>
      </c>
      <c r="C1316" s="54" t="s">
        <v>114</v>
      </c>
      <c r="D1316" s="100">
        <v>1</v>
      </c>
      <c r="E1316" s="121"/>
      <c r="F1316" s="43"/>
      <c r="G1316" s="44">
        <f t="shared" si="227"/>
        <v>0</v>
      </c>
    </row>
    <row r="1317" spans="1:7" x14ac:dyDescent="0.2">
      <c r="A1317" s="120" t="s">
        <v>205</v>
      </c>
      <c r="B1317" s="50" t="s">
        <v>457</v>
      </c>
      <c r="C1317" s="54" t="s">
        <v>114</v>
      </c>
      <c r="D1317" s="100">
        <v>9</v>
      </c>
      <c r="E1317" s="121"/>
      <c r="F1317" s="43"/>
      <c r="G1317" s="44">
        <f t="shared" si="227"/>
        <v>0</v>
      </c>
    </row>
    <row r="1318" spans="1:7" x14ac:dyDescent="0.2">
      <c r="A1318" s="120" t="s">
        <v>206</v>
      </c>
      <c r="B1318" s="50" t="s">
        <v>520</v>
      </c>
      <c r="C1318" s="54" t="s">
        <v>114</v>
      </c>
      <c r="D1318" s="100">
        <v>2</v>
      </c>
      <c r="E1318" s="121"/>
      <c r="F1318" s="43"/>
      <c r="G1318" s="44">
        <f t="shared" si="227"/>
        <v>0</v>
      </c>
    </row>
    <row r="1319" spans="1:7" x14ac:dyDescent="0.2">
      <c r="A1319" s="120" t="s">
        <v>207</v>
      </c>
      <c r="B1319" s="50" t="s">
        <v>458</v>
      </c>
      <c r="C1319" s="54" t="s">
        <v>114</v>
      </c>
      <c r="D1319" s="100">
        <v>2</v>
      </c>
      <c r="E1319" s="121"/>
      <c r="F1319" s="43"/>
      <c r="G1319" s="44">
        <f t="shared" si="227"/>
        <v>0</v>
      </c>
    </row>
    <row r="1320" spans="1:7" x14ac:dyDescent="0.2">
      <c r="A1320" s="120" t="s">
        <v>208</v>
      </c>
      <c r="B1320" s="50" t="s">
        <v>459</v>
      </c>
      <c r="C1320" s="54" t="s">
        <v>114</v>
      </c>
      <c r="D1320" s="100">
        <v>2</v>
      </c>
      <c r="E1320" s="121"/>
      <c r="F1320" s="43"/>
      <c r="G1320" s="44">
        <f t="shared" si="227"/>
        <v>0</v>
      </c>
    </row>
    <row r="1321" spans="1:7" x14ac:dyDescent="0.2">
      <c r="A1321" s="120" t="s">
        <v>497</v>
      </c>
      <c r="B1321" s="50" t="s">
        <v>521</v>
      </c>
      <c r="C1321" s="54" t="s">
        <v>114</v>
      </c>
      <c r="D1321" s="100">
        <v>1</v>
      </c>
      <c r="E1321" s="121"/>
      <c r="F1321" s="43"/>
      <c r="G1321" s="44">
        <f t="shared" si="227"/>
        <v>0</v>
      </c>
    </row>
    <row r="1322" spans="1:7" x14ac:dyDescent="0.2">
      <c r="A1322" s="128">
        <v>2</v>
      </c>
      <c r="B1322" s="129" t="s">
        <v>68</v>
      </c>
      <c r="C1322" s="130"/>
      <c r="D1322" s="106"/>
      <c r="E1322" s="131"/>
      <c r="F1322" s="132"/>
      <c r="G1322" s="133"/>
    </row>
    <row r="1323" spans="1:7" x14ac:dyDescent="0.2">
      <c r="A1323" s="134" t="s">
        <v>224</v>
      </c>
      <c r="B1323" s="135" t="s">
        <v>439</v>
      </c>
      <c r="C1323" s="126"/>
      <c r="D1323" s="98"/>
      <c r="E1323" s="127"/>
      <c r="F1323" s="136"/>
      <c r="G1323" s="44">
        <f t="shared" ref="G1323:G1329" si="228">(D1323*E1323)+(D1323*F1323)</f>
        <v>0</v>
      </c>
    </row>
    <row r="1324" spans="1:7" x14ac:dyDescent="0.2">
      <c r="A1324" s="120" t="s">
        <v>188</v>
      </c>
      <c r="B1324" s="50" t="s">
        <v>624</v>
      </c>
      <c r="C1324" s="54" t="s">
        <v>114</v>
      </c>
      <c r="D1324" s="100">
        <v>7</v>
      </c>
      <c r="E1324" s="121"/>
      <c r="F1324" s="43"/>
      <c r="G1324" s="44">
        <f t="shared" si="228"/>
        <v>0</v>
      </c>
    </row>
    <row r="1325" spans="1:7" ht="24" x14ac:dyDescent="0.2">
      <c r="A1325" s="120" t="s">
        <v>189</v>
      </c>
      <c r="B1325" s="50" t="s">
        <v>455</v>
      </c>
      <c r="C1325" s="54" t="s">
        <v>114</v>
      </c>
      <c r="D1325" s="100">
        <v>1</v>
      </c>
      <c r="E1325" s="121"/>
      <c r="F1325" s="43"/>
      <c r="G1325" s="44">
        <f t="shared" si="228"/>
        <v>0</v>
      </c>
    </row>
    <row r="1326" spans="1:7" x14ac:dyDescent="0.2">
      <c r="A1326" s="120" t="s">
        <v>202</v>
      </c>
      <c r="B1326" s="50" t="s">
        <v>456</v>
      </c>
      <c r="C1326" s="54" t="s">
        <v>114</v>
      </c>
      <c r="D1326" s="100">
        <v>1</v>
      </c>
      <c r="E1326" s="121"/>
      <c r="F1326" s="43"/>
      <c r="G1326" s="44">
        <f t="shared" si="228"/>
        <v>0</v>
      </c>
    </row>
    <row r="1327" spans="1:7" x14ac:dyDescent="0.2">
      <c r="A1327" s="120" t="s">
        <v>203</v>
      </c>
      <c r="B1327" s="50" t="s">
        <v>457</v>
      </c>
      <c r="C1327" s="54" t="s">
        <v>114</v>
      </c>
      <c r="D1327" s="100">
        <v>10</v>
      </c>
      <c r="E1327" s="121"/>
      <c r="F1327" s="43"/>
      <c r="G1327" s="44">
        <f t="shared" si="228"/>
        <v>0</v>
      </c>
    </row>
    <row r="1328" spans="1:7" x14ac:dyDescent="0.2">
      <c r="A1328" s="120" t="s">
        <v>204</v>
      </c>
      <c r="B1328" s="50" t="s">
        <v>458</v>
      </c>
      <c r="C1328" s="54" t="s">
        <v>114</v>
      </c>
      <c r="D1328" s="100">
        <v>1</v>
      </c>
      <c r="E1328" s="121"/>
      <c r="F1328" s="43"/>
      <c r="G1328" s="44">
        <f t="shared" si="228"/>
        <v>0</v>
      </c>
    </row>
    <row r="1329" spans="1:7" x14ac:dyDescent="0.2">
      <c r="A1329" s="120" t="s">
        <v>205</v>
      </c>
      <c r="B1329" s="50" t="s">
        <v>459</v>
      </c>
      <c r="C1329" s="54" t="s">
        <v>114</v>
      </c>
      <c r="D1329" s="100">
        <v>1</v>
      </c>
      <c r="E1329" s="121"/>
      <c r="F1329" s="43"/>
      <c r="G1329" s="44">
        <f t="shared" si="228"/>
        <v>0</v>
      </c>
    </row>
    <row r="1330" spans="1:7" x14ac:dyDescent="0.2">
      <c r="A1330" s="128">
        <v>3</v>
      </c>
      <c r="B1330" s="129" t="s">
        <v>69</v>
      </c>
      <c r="C1330" s="130"/>
      <c r="D1330" s="106"/>
      <c r="E1330" s="131"/>
      <c r="F1330" s="132"/>
      <c r="G1330" s="133"/>
    </row>
    <row r="1331" spans="1:7" x14ac:dyDescent="0.2">
      <c r="A1331" s="134" t="s">
        <v>224</v>
      </c>
      <c r="B1331" s="135" t="s">
        <v>439</v>
      </c>
      <c r="C1331" s="126"/>
      <c r="D1331" s="98"/>
      <c r="E1331" s="127"/>
      <c r="F1331" s="136"/>
      <c r="G1331" s="44">
        <f t="shared" ref="G1331:G1337" si="229">(D1331*E1331)+(D1331*F1331)</f>
        <v>0</v>
      </c>
    </row>
    <row r="1332" spans="1:7" x14ac:dyDescent="0.2">
      <c r="A1332" s="120" t="s">
        <v>188</v>
      </c>
      <c r="B1332" s="50" t="s">
        <v>452</v>
      </c>
      <c r="C1332" s="54" t="s">
        <v>114</v>
      </c>
      <c r="D1332" s="100">
        <v>7</v>
      </c>
      <c r="E1332" s="121"/>
      <c r="F1332" s="43"/>
      <c r="G1332" s="44">
        <f t="shared" si="229"/>
        <v>0</v>
      </c>
    </row>
    <row r="1333" spans="1:7" ht="24" x14ac:dyDescent="0.2">
      <c r="A1333" s="120" t="s">
        <v>189</v>
      </c>
      <c r="B1333" s="50" t="s">
        <v>455</v>
      </c>
      <c r="C1333" s="54" t="s">
        <v>114</v>
      </c>
      <c r="D1333" s="100">
        <v>1</v>
      </c>
      <c r="E1333" s="121"/>
      <c r="F1333" s="43"/>
      <c r="G1333" s="44">
        <f t="shared" si="229"/>
        <v>0</v>
      </c>
    </row>
    <row r="1334" spans="1:7" x14ac:dyDescent="0.2">
      <c r="A1334" s="120" t="s">
        <v>202</v>
      </c>
      <c r="B1334" s="50" t="s">
        <v>456</v>
      </c>
      <c r="C1334" s="54" t="s">
        <v>114</v>
      </c>
      <c r="D1334" s="100">
        <v>1</v>
      </c>
      <c r="E1334" s="121"/>
      <c r="F1334" s="43"/>
      <c r="G1334" s="44">
        <f t="shared" si="229"/>
        <v>0</v>
      </c>
    </row>
    <row r="1335" spans="1:7" x14ac:dyDescent="0.2">
      <c r="A1335" s="120" t="s">
        <v>203</v>
      </c>
      <c r="B1335" s="50" t="s">
        <v>457</v>
      </c>
      <c r="C1335" s="54" t="s">
        <v>114</v>
      </c>
      <c r="D1335" s="100">
        <v>10</v>
      </c>
      <c r="E1335" s="121"/>
      <c r="F1335" s="43"/>
      <c r="G1335" s="44">
        <f t="shared" si="229"/>
        <v>0</v>
      </c>
    </row>
    <row r="1336" spans="1:7" x14ac:dyDescent="0.2">
      <c r="A1336" s="120" t="s">
        <v>204</v>
      </c>
      <c r="B1336" s="50" t="s">
        <v>458</v>
      </c>
      <c r="C1336" s="54" t="s">
        <v>114</v>
      </c>
      <c r="D1336" s="100">
        <v>1</v>
      </c>
      <c r="E1336" s="121"/>
      <c r="F1336" s="43"/>
      <c r="G1336" s="44">
        <f t="shared" si="229"/>
        <v>0</v>
      </c>
    </row>
    <row r="1337" spans="1:7" x14ac:dyDescent="0.2">
      <c r="A1337" s="120" t="s">
        <v>205</v>
      </c>
      <c r="B1337" s="50" t="s">
        <v>459</v>
      </c>
      <c r="C1337" s="54" t="s">
        <v>114</v>
      </c>
      <c r="D1337" s="100">
        <v>1</v>
      </c>
      <c r="E1337" s="121"/>
      <c r="F1337" s="43"/>
      <c r="G1337" s="44">
        <f t="shared" si="229"/>
        <v>0</v>
      </c>
    </row>
    <row r="1338" spans="1:7" x14ac:dyDescent="0.2">
      <c r="A1338" s="128">
        <v>4</v>
      </c>
      <c r="B1338" s="129" t="s">
        <v>382</v>
      </c>
      <c r="C1338" s="130"/>
      <c r="D1338" s="106"/>
      <c r="E1338" s="131"/>
      <c r="F1338" s="132"/>
      <c r="G1338" s="133"/>
    </row>
    <row r="1339" spans="1:7" x14ac:dyDescent="0.2">
      <c r="A1339" s="134" t="s">
        <v>224</v>
      </c>
      <c r="B1339" s="135" t="s">
        <v>439</v>
      </c>
      <c r="C1339" s="126"/>
      <c r="D1339" s="98"/>
      <c r="E1339" s="127"/>
      <c r="F1339" s="136"/>
      <c r="G1339" s="44">
        <f t="shared" ref="G1339:G1343" si="230">(D1339*E1339)+(D1339*F1339)</f>
        <v>0</v>
      </c>
    </row>
    <row r="1340" spans="1:7" x14ac:dyDescent="0.2">
      <c r="A1340" s="120" t="s">
        <v>188</v>
      </c>
      <c r="B1340" s="50" t="s">
        <v>452</v>
      </c>
      <c r="C1340" s="54" t="s">
        <v>114</v>
      </c>
      <c r="D1340" s="100">
        <v>1</v>
      </c>
      <c r="E1340" s="121"/>
      <c r="F1340" s="43"/>
      <c r="G1340" s="44">
        <f t="shared" si="230"/>
        <v>0</v>
      </c>
    </row>
    <row r="1341" spans="1:7" x14ac:dyDescent="0.2">
      <c r="A1341" s="120" t="s">
        <v>189</v>
      </c>
      <c r="B1341" s="50" t="s">
        <v>457</v>
      </c>
      <c r="C1341" s="54" t="s">
        <v>114</v>
      </c>
      <c r="D1341" s="100">
        <v>1</v>
      </c>
      <c r="E1341" s="121"/>
      <c r="F1341" s="43"/>
      <c r="G1341" s="44">
        <f t="shared" si="230"/>
        <v>0</v>
      </c>
    </row>
    <row r="1342" spans="1:7" x14ac:dyDescent="0.2">
      <c r="A1342" s="120" t="s">
        <v>202</v>
      </c>
      <c r="B1342" s="50" t="s">
        <v>458</v>
      </c>
      <c r="C1342" s="54" t="s">
        <v>114</v>
      </c>
      <c r="D1342" s="100">
        <v>1</v>
      </c>
      <c r="E1342" s="121"/>
      <c r="F1342" s="43"/>
      <c r="G1342" s="44">
        <f t="shared" si="230"/>
        <v>0</v>
      </c>
    </row>
    <row r="1343" spans="1:7" x14ac:dyDescent="0.2">
      <c r="A1343" s="120" t="s">
        <v>203</v>
      </c>
      <c r="B1343" s="50" t="s">
        <v>459</v>
      </c>
      <c r="C1343" s="54" t="s">
        <v>114</v>
      </c>
      <c r="D1343" s="100">
        <v>1</v>
      </c>
      <c r="E1343" s="121"/>
      <c r="F1343" s="43"/>
      <c r="G1343" s="44">
        <f t="shared" si="230"/>
        <v>0</v>
      </c>
    </row>
    <row r="1344" spans="1:7" x14ac:dyDescent="0.2">
      <c r="A1344" s="149"/>
      <c r="B1344" s="110"/>
      <c r="C1344" s="111"/>
      <c r="D1344" s="148"/>
      <c r="E1344" s="150"/>
      <c r="F1344" s="61"/>
      <c r="G1344" s="62"/>
    </row>
    <row r="1345" spans="1:7" x14ac:dyDescent="0.2">
      <c r="A1345" s="149"/>
      <c r="B1345" s="110"/>
      <c r="C1345" s="111"/>
      <c r="D1345" s="148"/>
      <c r="E1345" s="150"/>
      <c r="F1345" s="61"/>
      <c r="G1345" s="62"/>
    </row>
    <row r="1346" spans="1:7" x14ac:dyDescent="0.2">
      <c r="A1346" s="149"/>
      <c r="B1346" s="110"/>
      <c r="C1346" s="111"/>
      <c r="D1346" s="148"/>
      <c r="E1346" s="150"/>
      <c r="F1346" s="61"/>
      <c r="G1346" s="62"/>
    </row>
    <row r="1347" spans="1:7" x14ac:dyDescent="0.2">
      <c r="A1347" s="149"/>
      <c r="B1347" s="110"/>
      <c r="C1347" s="111"/>
      <c r="D1347" s="148"/>
      <c r="E1347" s="150"/>
      <c r="F1347" s="61"/>
      <c r="G1347" s="62"/>
    </row>
    <row r="1348" spans="1:7" x14ac:dyDescent="0.2">
      <c r="A1348" s="137"/>
      <c r="B1348" s="28" t="s">
        <v>441</v>
      </c>
      <c r="C1348" s="138"/>
      <c r="D1348" s="47"/>
      <c r="E1348" s="139"/>
      <c r="F1348" s="47"/>
      <c r="G1348" s="48"/>
    </row>
    <row r="1349" spans="1:7" ht="12.75" thickBot="1" x14ac:dyDescent="0.25">
      <c r="A1349" s="140"/>
      <c r="B1349" s="141" t="s">
        <v>442</v>
      </c>
      <c r="C1349" s="142"/>
      <c r="D1349" s="143"/>
      <c r="E1349" s="144"/>
      <c r="F1349" s="143"/>
      <c r="G1349" s="145">
        <f>SUM(G1304:G1348)</f>
        <v>0</v>
      </c>
    </row>
    <row r="1350" spans="1:7" x14ac:dyDescent="0.2">
      <c r="A1350" s="113"/>
      <c r="B1350" s="114" t="s">
        <v>506</v>
      </c>
      <c r="C1350" s="115"/>
      <c r="D1350" s="116"/>
      <c r="E1350" s="117"/>
      <c r="F1350" s="118"/>
      <c r="G1350" s="119"/>
    </row>
    <row r="1351" spans="1:7" x14ac:dyDescent="0.2">
      <c r="A1351" s="120"/>
      <c r="B1351" s="24" t="s">
        <v>445</v>
      </c>
      <c r="C1351" s="25"/>
      <c r="D1351" s="100"/>
      <c r="E1351" s="121"/>
      <c r="F1351" s="43"/>
      <c r="G1351" s="44"/>
    </row>
    <row r="1352" spans="1:7" x14ac:dyDescent="0.2">
      <c r="A1352" s="122">
        <v>14.1</v>
      </c>
      <c r="B1352" s="51" t="s">
        <v>44</v>
      </c>
      <c r="C1352" s="78"/>
      <c r="D1352" s="101"/>
      <c r="E1352" s="123"/>
      <c r="F1352" s="63"/>
      <c r="G1352" s="64"/>
    </row>
    <row r="1353" spans="1:7" x14ac:dyDescent="0.2">
      <c r="A1353" s="151"/>
      <c r="B1353" s="51" t="s">
        <v>450</v>
      </c>
      <c r="C1353" s="78"/>
      <c r="D1353" s="101"/>
      <c r="E1353" s="123"/>
      <c r="F1353" s="63"/>
      <c r="G1353" s="64"/>
    </row>
    <row r="1354" spans="1:7" x14ac:dyDescent="0.2">
      <c r="A1354" s="120"/>
      <c r="B1354" s="50"/>
      <c r="C1354" s="54"/>
      <c r="D1354" s="100"/>
      <c r="E1354" s="121"/>
      <c r="F1354" s="43"/>
      <c r="G1354" s="44"/>
    </row>
    <row r="1355" spans="1:7" x14ac:dyDescent="0.2">
      <c r="A1355" s="120"/>
      <c r="B1355" s="50"/>
      <c r="C1355" s="54"/>
      <c r="D1355" s="100"/>
      <c r="E1355" s="121"/>
      <c r="F1355" s="43"/>
      <c r="G1355" s="44"/>
    </row>
    <row r="1356" spans="1:7" x14ac:dyDescent="0.2">
      <c r="A1356" s="120"/>
      <c r="B1356" s="50"/>
      <c r="C1356" s="54"/>
      <c r="D1356" s="100"/>
      <c r="E1356" s="121"/>
      <c r="F1356" s="43"/>
      <c r="G1356" s="44"/>
    </row>
    <row r="1357" spans="1:7" x14ac:dyDescent="0.2">
      <c r="A1357" s="120"/>
      <c r="B1357" s="50"/>
      <c r="C1357" s="54"/>
      <c r="D1357" s="100"/>
      <c r="E1357" s="121"/>
      <c r="F1357" s="43"/>
      <c r="G1357" s="44"/>
    </row>
    <row r="1358" spans="1:7" x14ac:dyDescent="0.2">
      <c r="A1358" s="120"/>
      <c r="B1358" s="50"/>
      <c r="C1358" s="54"/>
      <c r="D1358" s="100"/>
      <c r="E1358" s="121"/>
      <c r="F1358" s="43"/>
      <c r="G1358" s="44"/>
    </row>
    <row r="1359" spans="1:7" x14ac:dyDescent="0.2">
      <c r="A1359" s="120"/>
      <c r="B1359" s="50"/>
      <c r="C1359" s="54"/>
      <c r="D1359" s="100"/>
      <c r="E1359" s="121"/>
      <c r="F1359" s="43"/>
      <c r="G1359" s="44"/>
    </row>
    <row r="1360" spans="1:7" x14ac:dyDescent="0.2">
      <c r="A1360" s="120"/>
      <c r="B1360" s="50"/>
      <c r="C1360" s="54"/>
      <c r="D1360" s="100"/>
      <c r="E1360" s="121"/>
      <c r="F1360" s="43"/>
      <c r="G1360" s="44"/>
    </row>
    <row r="1361" spans="1:7" x14ac:dyDescent="0.2">
      <c r="A1361" s="120"/>
      <c r="B1361" s="50"/>
      <c r="C1361" s="54"/>
      <c r="D1361" s="100"/>
      <c r="E1361" s="121"/>
      <c r="F1361" s="43"/>
      <c r="G1361" s="44"/>
    </row>
    <row r="1362" spans="1:7" x14ac:dyDescent="0.2">
      <c r="A1362" s="120"/>
      <c r="B1362" s="50"/>
      <c r="C1362" s="54"/>
      <c r="D1362" s="100"/>
      <c r="E1362" s="121"/>
      <c r="F1362" s="43"/>
      <c r="G1362" s="44"/>
    </row>
    <row r="1363" spans="1:7" x14ac:dyDescent="0.2">
      <c r="A1363" s="120"/>
      <c r="B1363" s="50"/>
      <c r="C1363" s="54"/>
      <c r="D1363" s="100"/>
      <c r="E1363" s="121"/>
      <c r="F1363" s="43"/>
      <c r="G1363" s="44"/>
    </row>
    <row r="1364" spans="1:7" x14ac:dyDescent="0.2">
      <c r="A1364" s="120"/>
      <c r="B1364" s="50"/>
      <c r="C1364" s="54"/>
      <c r="D1364" s="100"/>
      <c r="E1364" s="121"/>
      <c r="F1364" s="43"/>
      <c r="G1364" s="44"/>
    </row>
    <row r="1365" spans="1:7" x14ac:dyDescent="0.2">
      <c r="A1365" s="120"/>
      <c r="B1365" s="50"/>
      <c r="C1365" s="54"/>
      <c r="D1365" s="100"/>
      <c r="E1365" s="121"/>
      <c r="F1365" s="43"/>
      <c r="G1365" s="44"/>
    </row>
    <row r="1366" spans="1:7" x14ac:dyDescent="0.2">
      <c r="A1366" s="120"/>
      <c r="B1366" s="50"/>
      <c r="C1366" s="54"/>
      <c r="D1366" s="100"/>
      <c r="E1366" s="121"/>
      <c r="F1366" s="43"/>
      <c r="G1366" s="44"/>
    </row>
    <row r="1367" spans="1:7" x14ac:dyDescent="0.2">
      <c r="A1367" s="120"/>
      <c r="B1367" s="50"/>
      <c r="C1367" s="54"/>
      <c r="D1367" s="100"/>
      <c r="E1367" s="121"/>
      <c r="F1367" s="43"/>
      <c r="G1367" s="44"/>
    </row>
    <row r="1368" spans="1:7" x14ac:dyDescent="0.2">
      <c r="A1368" s="120"/>
      <c r="B1368" s="50"/>
      <c r="C1368" s="54"/>
      <c r="D1368" s="100"/>
      <c r="E1368" s="121"/>
      <c r="F1368" s="43"/>
      <c r="G1368" s="44"/>
    </row>
    <row r="1369" spans="1:7" x14ac:dyDescent="0.2">
      <c r="A1369" s="120"/>
      <c r="B1369" s="50"/>
      <c r="C1369" s="54"/>
      <c r="D1369" s="100"/>
      <c r="E1369" s="121"/>
      <c r="F1369" s="43"/>
      <c r="G1369" s="44"/>
    </row>
    <row r="1370" spans="1:7" x14ac:dyDescent="0.2">
      <c r="A1370" s="120"/>
      <c r="B1370" s="50"/>
      <c r="C1370" s="54"/>
      <c r="D1370" s="100"/>
      <c r="E1370" s="121"/>
      <c r="F1370" s="43"/>
      <c r="G1370" s="44"/>
    </row>
    <row r="1371" spans="1:7" x14ac:dyDescent="0.2">
      <c r="A1371" s="120"/>
      <c r="B1371" s="50"/>
      <c r="C1371" s="54"/>
      <c r="D1371" s="100"/>
      <c r="E1371" s="121"/>
      <c r="F1371" s="43"/>
      <c r="G1371" s="44"/>
    </row>
    <row r="1372" spans="1:7" x14ac:dyDescent="0.2">
      <c r="A1372" s="120"/>
      <c r="B1372" s="50"/>
      <c r="C1372" s="54"/>
      <c r="D1372" s="100"/>
      <c r="E1372" s="121"/>
      <c r="F1372" s="43"/>
      <c r="G1372" s="44"/>
    </row>
    <row r="1373" spans="1:7" x14ac:dyDescent="0.2">
      <c r="A1373" s="120"/>
      <c r="B1373" s="50"/>
      <c r="C1373" s="54"/>
      <c r="D1373" s="100"/>
      <c r="E1373" s="121"/>
      <c r="F1373" s="43"/>
      <c r="G1373" s="44"/>
    </row>
    <row r="1374" spans="1:7" x14ac:dyDescent="0.2">
      <c r="A1374" s="120"/>
      <c r="B1374" s="50"/>
      <c r="C1374" s="54"/>
      <c r="D1374" s="100"/>
      <c r="E1374" s="121"/>
      <c r="F1374" s="43"/>
      <c r="G1374" s="44"/>
    </row>
    <row r="1375" spans="1:7" x14ac:dyDescent="0.2">
      <c r="A1375" s="120"/>
      <c r="B1375" s="50"/>
      <c r="C1375" s="54"/>
      <c r="D1375" s="100"/>
      <c r="E1375" s="121"/>
      <c r="F1375" s="43"/>
      <c r="G1375" s="44"/>
    </row>
    <row r="1376" spans="1:7" x14ac:dyDescent="0.2">
      <c r="A1376" s="120"/>
      <c r="B1376" s="50"/>
      <c r="C1376" s="54"/>
      <c r="D1376" s="100"/>
      <c r="E1376" s="121"/>
      <c r="F1376" s="43"/>
      <c r="G1376" s="44"/>
    </row>
    <row r="1377" spans="1:7" x14ac:dyDescent="0.2">
      <c r="A1377" s="120"/>
      <c r="B1377" s="50"/>
      <c r="C1377" s="54"/>
      <c r="D1377" s="100"/>
      <c r="E1377" s="121"/>
      <c r="F1377" s="43"/>
      <c r="G1377" s="44"/>
    </row>
    <row r="1378" spans="1:7" x14ac:dyDescent="0.2">
      <c r="A1378" s="120"/>
      <c r="B1378" s="50"/>
      <c r="C1378" s="54"/>
      <c r="D1378" s="100"/>
      <c r="E1378" s="121"/>
      <c r="F1378" s="43"/>
      <c r="G1378" s="44"/>
    </row>
    <row r="1379" spans="1:7" x14ac:dyDescent="0.2">
      <c r="A1379" s="120"/>
      <c r="B1379" s="50"/>
      <c r="C1379" s="54"/>
      <c r="D1379" s="100"/>
      <c r="E1379" s="121"/>
      <c r="F1379" s="43"/>
      <c r="G1379" s="44"/>
    </row>
    <row r="1380" spans="1:7" x14ac:dyDescent="0.2">
      <c r="A1380" s="120"/>
      <c r="B1380" s="50"/>
      <c r="C1380" s="54"/>
      <c r="D1380" s="100"/>
      <c r="E1380" s="121"/>
      <c r="F1380" s="43"/>
      <c r="G1380" s="44"/>
    </row>
    <row r="1381" spans="1:7" x14ac:dyDescent="0.2">
      <c r="A1381" s="120"/>
      <c r="B1381" s="50"/>
      <c r="C1381" s="54"/>
      <c r="D1381" s="100"/>
      <c r="E1381" s="121"/>
      <c r="F1381" s="43"/>
      <c r="G1381" s="44"/>
    </row>
    <row r="1382" spans="1:7" x14ac:dyDescent="0.2">
      <c r="A1382" s="120"/>
      <c r="B1382" s="50"/>
      <c r="C1382" s="54"/>
      <c r="D1382" s="100"/>
      <c r="E1382" s="121"/>
      <c r="F1382" s="43"/>
      <c r="G1382" s="44"/>
    </row>
    <row r="1383" spans="1:7" x14ac:dyDescent="0.2">
      <c r="A1383" s="120"/>
      <c r="B1383" s="50"/>
      <c r="C1383" s="54"/>
      <c r="D1383" s="100"/>
      <c r="E1383" s="121"/>
      <c r="F1383" s="43"/>
      <c r="G1383" s="44"/>
    </row>
    <row r="1384" spans="1:7" x14ac:dyDescent="0.2">
      <c r="A1384" s="120"/>
      <c r="B1384" s="50"/>
      <c r="C1384" s="54"/>
      <c r="D1384" s="100"/>
      <c r="E1384" s="121"/>
      <c r="F1384" s="43"/>
      <c r="G1384" s="44"/>
    </row>
    <row r="1385" spans="1:7" x14ac:dyDescent="0.2">
      <c r="A1385" s="120"/>
      <c r="B1385" s="50"/>
      <c r="C1385" s="54"/>
      <c r="D1385" s="100"/>
      <c r="E1385" s="121"/>
      <c r="F1385" s="43"/>
      <c r="G1385" s="44"/>
    </row>
    <row r="1386" spans="1:7" x14ac:dyDescent="0.2">
      <c r="A1386" s="120"/>
      <c r="B1386" s="50"/>
      <c r="C1386" s="54"/>
      <c r="D1386" s="100"/>
      <c r="E1386" s="121"/>
      <c r="F1386" s="43"/>
      <c r="G1386" s="44"/>
    </row>
    <row r="1387" spans="1:7" x14ac:dyDescent="0.2">
      <c r="A1387" s="120"/>
      <c r="B1387" s="50"/>
      <c r="C1387" s="54"/>
      <c r="D1387" s="100"/>
      <c r="E1387" s="121"/>
      <c r="F1387" s="43"/>
      <c r="G1387" s="44"/>
    </row>
    <row r="1388" spans="1:7" x14ac:dyDescent="0.2">
      <c r="A1388" s="120"/>
      <c r="B1388" s="50"/>
      <c r="C1388" s="54"/>
      <c r="D1388" s="100"/>
      <c r="E1388" s="121"/>
      <c r="F1388" s="43"/>
      <c r="G1388" s="44"/>
    </row>
    <row r="1389" spans="1:7" x14ac:dyDescent="0.2">
      <c r="A1389" s="120"/>
      <c r="B1389" s="50"/>
      <c r="C1389" s="54"/>
      <c r="D1389" s="100"/>
      <c r="E1389" s="121"/>
      <c r="F1389" s="43"/>
      <c r="G1389" s="44"/>
    </row>
    <row r="1390" spans="1:7" x14ac:dyDescent="0.2">
      <c r="A1390" s="120"/>
      <c r="B1390" s="50"/>
      <c r="C1390" s="54"/>
      <c r="D1390" s="100"/>
      <c r="E1390" s="121"/>
      <c r="F1390" s="43"/>
      <c r="G1390" s="44"/>
    </row>
    <row r="1391" spans="1:7" x14ac:dyDescent="0.2">
      <c r="A1391" s="120"/>
      <c r="B1391" s="50"/>
      <c r="C1391" s="54"/>
      <c r="D1391" s="100"/>
      <c r="E1391" s="121"/>
      <c r="F1391" s="43"/>
      <c r="G1391" s="44"/>
    </row>
    <row r="1392" spans="1:7" x14ac:dyDescent="0.2">
      <c r="A1392" s="120"/>
      <c r="B1392" s="50"/>
      <c r="C1392" s="54"/>
      <c r="D1392" s="100"/>
      <c r="E1392" s="121"/>
      <c r="F1392" s="43"/>
      <c r="G1392" s="44"/>
    </row>
    <row r="1393" spans="1:7" x14ac:dyDescent="0.2">
      <c r="A1393" s="120"/>
      <c r="B1393" s="50"/>
      <c r="C1393" s="54"/>
      <c r="D1393" s="100"/>
      <c r="E1393" s="121"/>
      <c r="F1393" s="43"/>
      <c r="G1393" s="44"/>
    </row>
    <row r="1394" spans="1:7" x14ac:dyDescent="0.2">
      <c r="A1394" s="120"/>
      <c r="B1394" s="50"/>
      <c r="C1394" s="54"/>
      <c r="D1394" s="100"/>
      <c r="E1394" s="121"/>
      <c r="F1394" s="43"/>
      <c r="G1394" s="44"/>
    </row>
    <row r="1395" spans="1:7" x14ac:dyDescent="0.2">
      <c r="A1395" s="120"/>
      <c r="B1395" s="50"/>
      <c r="C1395" s="54"/>
      <c r="D1395" s="100"/>
      <c r="E1395" s="121"/>
      <c r="F1395" s="43"/>
      <c r="G1395" s="44"/>
    </row>
    <row r="1396" spans="1:7" x14ac:dyDescent="0.2">
      <c r="A1396" s="120"/>
      <c r="B1396" s="50"/>
      <c r="C1396" s="54"/>
      <c r="D1396" s="100"/>
      <c r="E1396" s="121"/>
      <c r="F1396" s="43"/>
      <c r="G1396" s="44"/>
    </row>
    <row r="1397" spans="1:7" x14ac:dyDescent="0.2">
      <c r="A1397" s="120"/>
      <c r="B1397" s="50"/>
      <c r="C1397" s="54"/>
      <c r="D1397" s="100"/>
      <c r="E1397" s="121"/>
      <c r="F1397" s="43"/>
      <c r="G1397" s="44"/>
    </row>
    <row r="1398" spans="1:7" x14ac:dyDescent="0.2">
      <c r="A1398" s="120"/>
      <c r="B1398" s="50"/>
      <c r="C1398" s="54"/>
      <c r="D1398" s="100"/>
      <c r="E1398" s="121"/>
      <c r="F1398" s="43"/>
      <c r="G1398" s="44"/>
    </row>
    <row r="1399" spans="1:7" x14ac:dyDescent="0.2">
      <c r="A1399" s="120"/>
      <c r="B1399" s="50"/>
      <c r="C1399" s="54"/>
      <c r="D1399" s="100"/>
      <c r="E1399" s="121"/>
      <c r="F1399" s="43"/>
      <c r="G1399" s="44"/>
    </row>
    <row r="1400" spans="1:7" x14ac:dyDescent="0.2">
      <c r="A1400" s="120"/>
      <c r="B1400" s="50"/>
      <c r="C1400" s="54"/>
      <c r="D1400" s="100"/>
      <c r="E1400" s="121"/>
      <c r="F1400" s="43"/>
      <c r="G1400" s="44"/>
    </row>
    <row r="1401" spans="1:7" x14ac:dyDescent="0.2">
      <c r="A1401" s="120"/>
      <c r="B1401" s="50"/>
      <c r="C1401" s="54"/>
      <c r="D1401" s="100"/>
      <c r="E1401" s="121"/>
      <c r="F1401" s="43"/>
      <c r="G1401" s="44"/>
    </row>
    <row r="1402" spans="1:7" x14ac:dyDescent="0.2">
      <c r="A1402" s="120"/>
      <c r="B1402" s="50"/>
      <c r="C1402" s="54"/>
      <c r="D1402" s="100"/>
      <c r="E1402" s="121"/>
      <c r="F1402" s="43"/>
      <c r="G1402" s="44"/>
    </row>
    <row r="1403" spans="1:7" x14ac:dyDescent="0.2">
      <c r="A1403" s="120"/>
      <c r="B1403" s="50"/>
      <c r="C1403" s="54"/>
      <c r="D1403" s="100"/>
      <c r="E1403" s="121"/>
      <c r="F1403" s="43"/>
      <c r="G1403" s="44"/>
    </row>
    <row r="1404" spans="1:7" x14ac:dyDescent="0.2">
      <c r="A1404" s="120"/>
      <c r="B1404" s="50"/>
      <c r="C1404" s="54"/>
      <c r="D1404" s="100"/>
      <c r="E1404" s="121"/>
      <c r="F1404" s="43"/>
      <c r="G1404" s="44"/>
    </row>
    <row r="1405" spans="1:7" x14ac:dyDescent="0.2">
      <c r="A1405" s="120"/>
      <c r="B1405" s="50"/>
      <c r="C1405" s="54"/>
      <c r="D1405" s="100"/>
      <c r="E1405" s="121"/>
      <c r="F1405" s="43"/>
      <c r="G1405" s="44"/>
    </row>
    <row r="1406" spans="1:7" x14ac:dyDescent="0.2">
      <c r="A1406" s="137"/>
      <c r="B1406" s="28" t="s">
        <v>507</v>
      </c>
      <c r="C1406" s="138"/>
      <c r="D1406" s="47"/>
      <c r="E1406" s="139"/>
      <c r="F1406" s="47"/>
      <c r="G1406" s="48"/>
    </row>
    <row r="1407" spans="1:7" ht="12.75" thickBot="1" x14ac:dyDescent="0.25">
      <c r="A1407" s="140"/>
      <c r="B1407" s="141" t="s">
        <v>443</v>
      </c>
      <c r="C1407" s="142"/>
      <c r="D1407" s="143"/>
      <c r="E1407" s="144"/>
      <c r="F1407" s="143"/>
      <c r="G1407" s="145">
        <f>SUM(G1196:G1406)</f>
        <v>0</v>
      </c>
    </row>
    <row r="1408" spans="1:7" x14ac:dyDescent="0.2">
      <c r="A1408" s="113"/>
      <c r="B1408" s="114" t="s">
        <v>444</v>
      </c>
      <c r="C1408" s="115"/>
      <c r="D1408" s="116"/>
      <c r="E1408" s="117"/>
      <c r="F1408" s="118"/>
      <c r="G1408" s="119"/>
    </row>
    <row r="1409" spans="1:7" x14ac:dyDescent="0.2">
      <c r="A1409" s="120"/>
      <c r="B1409" s="24" t="s">
        <v>446</v>
      </c>
      <c r="C1409" s="25"/>
      <c r="D1409" s="100"/>
      <c r="E1409" s="121"/>
      <c r="F1409" s="43"/>
      <c r="G1409" s="44"/>
    </row>
    <row r="1410" spans="1:7" x14ac:dyDescent="0.2">
      <c r="A1410" s="122">
        <v>15.1</v>
      </c>
      <c r="B1410" s="51" t="s">
        <v>44</v>
      </c>
      <c r="C1410" s="78"/>
      <c r="D1410" s="101"/>
      <c r="E1410" s="123"/>
      <c r="F1410" s="63"/>
      <c r="G1410" s="64"/>
    </row>
    <row r="1411" spans="1:7" x14ac:dyDescent="0.2">
      <c r="A1411" s="146"/>
      <c r="B1411" s="99" t="s">
        <v>451</v>
      </c>
      <c r="C1411" s="52"/>
      <c r="D1411" s="100"/>
      <c r="E1411" s="147"/>
      <c r="F1411" s="58"/>
      <c r="G1411" s="59"/>
    </row>
    <row r="1412" spans="1:7" x14ac:dyDescent="0.2">
      <c r="A1412" s="120"/>
      <c r="B1412" s="50"/>
      <c r="C1412" s="54"/>
      <c r="D1412" s="100"/>
      <c r="E1412" s="121"/>
      <c r="F1412" s="43"/>
      <c r="G1412" s="44"/>
    </row>
    <row r="1413" spans="1:7" x14ac:dyDescent="0.2">
      <c r="A1413" s="120"/>
      <c r="B1413" s="50"/>
      <c r="C1413" s="54"/>
      <c r="D1413" s="100"/>
      <c r="E1413" s="121"/>
      <c r="F1413" s="43"/>
      <c r="G1413" s="44"/>
    </row>
    <row r="1414" spans="1:7" x14ac:dyDescent="0.2">
      <c r="A1414" s="120"/>
      <c r="B1414" s="50"/>
      <c r="C1414" s="54"/>
      <c r="D1414" s="100"/>
      <c r="E1414" s="121"/>
      <c r="F1414" s="43"/>
      <c r="G1414" s="44"/>
    </row>
    <row r="1415" spans="1:7" x14ac:dyDescent="0.2">
      <c r="A1415" s="120"/>
      <c r="B1415" s="50"/>
      <c r="C1415" s="54"/>
      <c r="D1415" s="100"/>
      <c r="E1415" s="121"/>
      <c r="F1415" s="43"/>
      <c r="G1415" s="44"/>
    </row>
    <row r="1416" spans="1:7" x14ac:dyDescent="0.2">
      <c r="A1416" s="120"/>
      <c r="B1416" s="50"/>
      <c r="C1416" s="54"/>
      <c r="D1416" s="100"/>
      <c r="E1416" s="121"/>
      <c r="F1416" s="43"/>
      <c r="G1416" s="44"/>
    </row>
    <row r="1417" spans="1:7" x14ac:dyDescent="0.2">
      <c r="A1417" s="120"/>
      <c r="B1417" s="50"/>
      <c r="C1417" s="54"/>
      <c r="D1417" s="100"/>
      <c r="E1417" s="121"/>
      <c r="F1417" s="43"/>
      <c r="G1417" s="44"/>
    </row>
    <row r="1418" spans="1:7" x14ac:dyDescent="0.2">
      <c r="A1418" s="120"/>
      <c r="B1418" s="50"/>
      <c r="C1418" s="54"/>
      <c r="D1418" s="100"/>
      <c r="E1418" s="121"/>
      <c r="F1418" s="43"/>
      <c r="G1418" s="44"/>
    </row>
    <row r="1419" spans="1:7" x14ac:dyDescent="0.2">
      <c r="A1419" s="120"/>
      <c r="B1419" s="50"/>
      <c r="C1419" s="54"/>
      <c r="D1419" s="100"/>
      <c r="E1419" s="121"/>
      <c r="F1419" s="43"/>
      <c r="G1419" s="44"/>
    </row>
    <row r="1420" spans="1:7" x14ac:dyDescent="0.2">
      <c r="A1420" s="120"/>
      <c r="B1420" s="50"/>
      <c r="C1420" s="54"/>
      <c r="D1420" s="100"/>
      <c r="E1420" s="121"/>
      <c r="F1420" s="43"/>
      <c r="G1420" s="44"/>
    </row>
    <row r="1421" spans="1:7" x14ac:dyDescent="0.2">
      <c r="A1421" s="120"/>
      <c r="B1421" s="50"/>
      <c r="C1421" s="54"/>
      <c r="D1421" s="100"/>
      <c r="E1421" s="121"/>
      <c r="F1421" s="43"/>
      <c r="G1421" s="44"/>
    </row>
    <row r="1422" spans="1:7" x14ac:dyDescent="0.2">
      <c r="A1422" s="120"/>
      <c r="B1422" s="50"/>
      <c r="C1422" s="54"/>
      <c r="D1422" s="100"/>
      <c r="E1422" s="121"/>
      <c r="F1422" s="43"/>
      <c r="G1422" s="44"/>
    </row>
    <row r="1423" spans="1:7" x14ac:dyDescent="0.2">
      <c r="A1423" s="120"/>
      <c r="B1423" s="50"/>
      <c r="C1423" s="54"/>
      <c r="D1423" s="100"/>
      <c r="E1423" s="121"/>
      <c r="F1423" s="43"/>
      <c r="G1423" s="44"/>
    </row>
    <row r="1424" spans="1:7" x14ac:dyDescent="0.2">
      <c r="A1424" s="120"/>
      <c r="B1424" s="50"/>
      <c r="C1424" s="54"/>
      <c r="D1424" s="100"/>
      <c r="E1424" s="121"/>
      <c r="F1424" s="43"/>
      <c r="G1424" s="44"/>
    </row>
    <row r="1425" spans="1:7" x14ac:dyDescent="0.2">
      <c r="A1425" s="120"/>
      <c r="B1425" s="50"/>
      <c r="C1425" s="54"/>
      <c r="D1425" s="100"/>
      <c r="E1425" s="121"/>
      <c r="F1425" s="43"/>
      <c r="G1425" s="44"/>
    </row>
    <row r="1426" spans="1:7" x14ac:dyDescent="0.2">
      <c r="A1426" s="120"/>
      <c r="B1426" s="50"/>
      <c r="C1426" s="54"/>
      <c r="D1426" s="100"/>
      <c r="E1426" s="121"/>
      <c r="F1426" s="43"/>
      <c r="G1426" s="44"/>
    </row>
    <row r="1427" spans="1:7" x14ac:dyDescent="0.2">
      <c r="A1427" s="120"/>
      <c r="B1427" s="50"/>
      <c r="C1427" s="54"/>
      <c r="D1427" s="100"/>
      <c r="E1427" s="121"/>
      <c r="F1427" s="43"/>
      <c r="G1427" s="44"/>
    </row>
    <row r="1428" spans="1:7" x14ac:dyDescent="0.2">
      <c r="A1428" s="120"/>
      <c r="B1428" s="50"/>
      <c r="C1428" s="54"/>
      <c r="D1428" s="100"/>
      <c r="E1428" s="121"/>
      <c r="F1428" s="43"/>
      <c r="G1428" s="44"/>
    </row>
    <row r="1429" spans="1:7" x14ac:dyDescent="0.2">
      <c r="A1429" s="120"/>
      <c r="B1429" s="50"/>
      <c r="C1429" s="54"/>
      <c r="D1429" s="100"/>
      <c r="E1429" s="121"/>
      <c r="F1429" s="43"/>
      <c r="G1429" s="44"/>
    </row>
    <row r="1430" spans="1:7" x14ac:dyDescent="0.2">
      <c r="A1430" s="120"/>
      <c r="B1430" s="50"/>
      <c r="C1430" s="54"/>
      <c r="D1430" s="100"/>
      <c r="E1430" s="121"/>
      <c r="F1430" s="43"/>
      <c r="G1430" s="44"/>
    </row>
    <row r="1431" spans="1:7" x14ac:dyDescent="0.2">
      <c r="A1431" s="120"/>
      <c r="B1431" s="50"/>
      <c r="C1431" s="54"/>
      <c r="D1431" s="100"/>
      <c r="E1431" s="121"/>
      <c r="F1431" s="43"/>
      <c r="G1431" s="44"/>
    </row>
    <row r="1432" spans="1:7" x14ac:dyDescent="0.2">
      <c r="A1432" s="120"/>
      <c r="B1432" s="50"/>
      <c r="C1432" s="54"/>
      <c r="D1432" s="100"/>
      <c r="E1432" s="121"/>
      <c r="F1432" s="43"/>
      <c r="G1432" s="44"/>
    </row>
    <row r="1433" spans="1:7" x14ac:dyDescent="0.2">
      <c r="A1433" s="120"/>
      <c r="B1433" s="50"/>
      <c r="C1433" s="54"/>
      <c r="D1433" s="100"/>
      <c r="E1433" s="121"/>
      <c r="F1433" s="43"/>
      <c r="G1433" s="44"/>
    </row>
    <row r="1434" spans="1:7" x14ac:dyDescent="0.2">
      <c r="A1434" s="120"/>
      <c r="B1434" s="50"/>
      <c r="C1434" s="54"/>
      <c r="D1434" s="100"/>
      <c r="E1434" s="121"/>
      <c r="F1434" s="43"/>
      <c r="G1434" s="44"/>
    </row>
    <row r="1435" spans="1:7" x14ac:dyDescent="0.2">
      <c r="A1435" s="120"/>
      <c r="B1435" s="50"/>
      <c r="C1435" s="54"/>
      <c r="D1435" s="100"/>
      <c r="E1435" s="121"/>
      <c r="F1435" s="43"/>
      <c r="G1435" s="44"/>
    </row>
    <row r="1436" spans="1:7" x14ac:dyDescent="0.2">
      <c r="A1436" s="120"/>
      <c r="B1436" s="50"/>
      <c r="C1436" s="54"/>
      <c r="D1436" s="100"/>
      <c r="E1436" s="121"/>
      <c r="F1436" s="43"/>
      <c r="G1436" s="44"/>
    </row>
    <row r="1437" spans="1:7" x14ac:dyDescent="0.2">
      <c r="A1437" s="120"/>
      <c r="B1437" s="50"/>
      <c r="C1437" s="54"/>
      <c r="D1437" s="100"/>
      <c r="E1437" s="121"/>
      <c r="F1437" s="43"/>
      <c r="G1437" s="44"/>
    </row>
    <row r="1438" spans="1:7" x14ac:dyDescent="0.2">
      <c r="A1438" s="120"/>
      <c r="B1438" s="50"/>
      <c r="C1438" s="54"/>
      <c r="D1438" s="100"/>
      <c r="E1438" s="121"/>
      <c r="F1438" s="43"/>
      <c r="G1438" s="44"/>
    </row>
    <row r="1439" spans="1:7" x14ac:dyDescent="0.2">
      <c r="A1439" s="120"/>
      <c r="B1439" s="50"/>
      <c r="C1439" s="54"/>
      <c r="D1439" s="100"/>
      <c r="E1439" s="121"/>
      <c r="F1439" s="43"/>
      <c r="G1439" s="44"/>
    </row>
    <row r="1440" spans="1:7" x14ac:dyDescent="0.2">
      <c r="A1440" s="120"/>
      <c r="B1440" s="50"/>
      <c r="C1440" s="54"/>
      <c r="D1440" s="100"/>
      <c r="E1440" s="121"/>
      <c r="F1440" s="43"/>
      <c r="G1440" s="44"/>
    </row>
    <row r="1441" spans="1:7" x14ac:dyDescent="0.2">
      <c r="A1441" s="120"/>
      <c r="B1441" s="50"/>
      <c r="C1441" s="54"/>
      <c r="D1441" s="100"/>
      <c r="E1441" s="121"/>
      <c r="F1441" s="43"/>
      <c r="G1441" s="44"/>
    </row>
    <row r="1442" spans="1:7" x14ac:dyDescent="0.2">
      <c r="A1442" s="120"/>
      <c r="B1442" s="50"/>
      <c r="C1442" s="54"/>
      <c r="D1442" s="100"/>
      <c r="E1442" s="121"/>
      <c r="F1442" s="43"/>
      <c r="G1442" s="44"/>
    </row>
    <row r="1443" spans="1:7" x14ac:dyDescent="0.2">
      <c r="A1443" s="120"/>
      <c r="B1443" s="50"/>
      <c r="C1443" s="54"/>
      <c r="D1443" s="100"/>
      <c r="E1443" s="121"/>
      <c r="F1443" s="43"/>
      <c r="G1443" s="44"/>
    </row>
    <row r="1444" spans="1:7" x14ac:dyDescent="0.2">
      <c r="A1444" s="120"/>
      <c r="B1444" s="50"/>
      <c r="C1444" s="54"/>
      <c r="D1444" s="100"/>
      <c r="E1444" s="121"/>
      <c r="F1444" s="43"/>
      <c r="G1444" s="44"/>
    </row>
    <row r="1445" spans="1:7" x14ac:dyDescent="0.2">
      <c r="A1445" s="120"/>
      <c r="B1445" s="50"/>
      <c r="C1445" s="54"/>
      <c r="D1445" s="100"/>
      <c r="E1445" s="121"/>
      <c r="F1445" s="43"/>
      <c r="G1445" s="44"/>
    </row>
    <row r="1446" spans="1:7" x14ac:dyDescent="0.2">
      <c r="A1446" s="120"/>
      <c r="B1446" s="50"/>
      <c r="C1446" s="54"/>
      <c r="D1446" s="100"/>
      <c r="E1446" s="121"/>
      <c r="F1446" s="43"/>
      <c r="G1446" s="44"/>
    </row>
    <row r="1447" spans="1:7" x14ac:dyDescent="0.2">
      <c r="A1447" s="120"/>
      <c r="B1447" s="50"/>
      <c r="C1447" s="54"/>
      <c r="D1447" s="100"/>
      <c r="E1447" s="121"/>
      <c r="F1447" s="43"/>
      <c r="G1447" s="44"/>
    </row>
    <row r="1448" spans="1:7" x14ac:dyDescent="0.2">
      <c r="A1448" s="120"/>
      <c r="B1448" s="50"/>
      <c r="C1448" s="54"/>
      <c r="D1448" s="100"/>
      <c r="E1448" s="121"/>
      <c r="F1448" s="43"/>
      <c r="G1448" s="44"/>
    </row>
    <row r="1449" spans="1:7" x14ac:dyDescent="0.2">
      <c r="A1449" s="120"/>
      <c r="B1449" s="50"/>
      <c r="C1449" s="54"/>
      <c r="D1449" s="100"/>
      <c r="E1449" s="121"/>
      <c r="F1449" s="43"/>
      <c r="G1449" s="44"/>
    </row>
    <row r="1450" spans="1:7" x14ac:dyDescent="0.2">
      <c r="A1450" s="120"/>
      <c r="B1450" s="50"/>
      <c r="C1450" s="54"/>
      <c r="D1450" s="100"/>
      <c r="E1450" s="121"/>
      <c r="F1450" s="43"/>
      <c r="G1450" s="44"/>
    </row>
    <row r="1451" spans="1:7" x14ac:dyDescent="0.2">
      <c r="A1451" s="120"/>
      <c r="B1451" s="50"/>
      <c r="C1451" s="54"/>
      <c r="D1451" s="100"/>
      <c r="E1451" s="121"/>
      <c r="F1451" s="43"/>
      <c r="G1451" s="44"/>
    </row>
    <row r="1452" spans="1:7" x14ac:dyDescent="0.2">
      <c r="A1452" s="120"/>
      <c r="B1452" s="50"/>
      <c r="C1452" s="54"/>
      <c r="D1452" s="100"/>
      <c r="E1452" s="121"/>
      <c r="F1452" s="43"/>
      <c r="G1452" s="44"/>
    </row>
    <row r="1453" spans="1:7" x14ac:dyDescent="0.2">
      <c r="A1453" s="120"/>
      <c r="B1453" s="50"/>
      <c r="C1453" s="54"/>
      <c r="D1453" s="100"/>
      <c r="E1453" s="121"/>
      <c r="F1453" s="43"/>
      <c r="G1453" s="44"/>
    </row>
    <row r="1454" spans="1:7" x14ac:dyDescent="0.2">
      <c r="A1454" s="120"/>
      <c r="B1454" s="50"/>
      <c r="C1454" s="54"/>
      <c r="D1454" s="100"/>
      <c r="E1454" s="121"/>
      <c r="F1454" s="43"/>
      <c r="G1454" s="44"/>
    </row>
    <row r="1455" spans="1:7" x14ac:dyDescent="0.2">
      <c r="A1455" s="120"/>
      <c r="B1455" s="50"/>
      <c r="C1455" s="54"/>
      <c r="D1455" s="100"/>
      <c r="E1455" s="121"/>
      <c r="F1455" s="43"/>
      <c r="G1455" s="44"/>
    </row>
    <row r="1456" spans="1:7" x14ac:dyDescent="0.2">
      <c r="A1456" s="120"/>
      <c r="B1456" s="50"/>
      <c r="C1456" s="54"/>
      <c r="D1456" s="100"/>
      <c r="E1456" s="121"/>
      <c r="F1456" s="43"/>
      <c r="G1456" s="44"/>
    </row>
    <row r="1457" spans="1:7" x14ac:dyDescent="0.2">
      <c r="A1457" s="120"/>
      <c r="B1457" s="50"/>
      <c r="C1457" s="54"/>
      <c r="D1457" s="100"/>
      <c r="E1457" s="121"/>
      <c r="F1457" s="43"/>
      <c r="G1457" s="44"/>
    </row>
    <row r="1458" spans="1:7" x14ac:dyDescent="0.2">
      <c r="A1458" s="120"/>
      <c r="B1458" s="50"/>
      <c r="C1458" s="54"/>
      <c r="D1458" s="100"/>
      <c r="E1458" s="121"/>
      <c r="F1458" s="43"/>
      <c r="G1458" s="44"/>
    </row>
    <row r="1459" spans="1:7" x14ac:dyDescent="0.2">
      <c r="A1459" s="120"/>
      <c r="B1459" s="50"/>
      <c r="C1459" s="54"/>
      <c r="D1459" s="100"/>
      <c r="E1459" s="121"/>
      <c r="F1459" s="43"/>
      <c r="G1459" s="44"/>
    </row>
    <row r="1460" spans="1:7" x14ac:dyDescent="0.2">
      <c r="A1460" s="120"/>
      <c r="B1460" s="50"/>
      <c r="C1460" s="54"/>
      <c r="D1460" s="100"/>
      <c r="E1460" s="121"/>
      <c r="F1460" s="43"/>
      <c r="G1460" s="44"/>
    </row>
    <row r="1461" spans="1:7" x14ac:dyDescent="0.2">
      <c r="A1461" s="120"/>
      <c r="B1461" s="50"/>
      <c r="C1461" s="54"/>
      <c r="D1461" s="100"/>
      <c r="E1461" s="121"/>
      <c r="F1461" s="43"/>
      <c r="G1461" s="44"/>
    </row>
    <row r="1462" spans="1:7" x14ac:dyDescent="0.2">
      <c r="A1462" s="120"/>
      <c r="B1462" s="50"/>
      <c r="C1462" s="54"/>
      <c r="D1462" s="100"/>
      <c r="E1462" s="121"/>
      <c r="F1462" s="43"/>
      <c r="G1462" s="44"/>
    </row>
    <row r="1463" spans="1:7" x14ac:dyDescent="0.2">
      <c r="A1463" s="120"/>
      <c r="B1463" s="50"/>
      <c r="C1463" s="54"/>
      <c r="D1463" s="100"/>
      <c r="E1463" s="121"/>
      <c r="F1463" s="43"/>
      <c r="G1463" s="44"/>
    </row>
    <row r="1464" spans="1:7" x14ac:dyDescent="0.2">
      <c r="A1464" s="137"/>
      <c r="B1464" s="28" t="s">
        <v>447</v>
      </c>
      <c r="C1464" s="138"/>
      <c r="D1464" s="47"/>
      <c r="E1464" s="139"/>
      <c r="F1464" s="47"/>
      <c r="G1464" s="48"/>
    </row>
    <row r="1465" spans="1:7" ht="12.75" thickBot="1" x14ac:dyDescent="0.25">
      <c r="A1465" s="140"/>
      <c r="B1465" s="141" t="s">
        <v>448</v>
      </c>
      <c r="C1465" s="142"/>
      <c r="D1465" s="143"/>
      <c r="E1465" s="144"/>
      <c r="F1465" s="143"/>
      <c r="G1465" s="145">
        <f>SUM(G1353:G1464)</f>
        <v>0</v>
      </c>
    </row>
  </sheetData>
  <mergeCells count="51">
    <mergeCell ref="B704:E704"/>
    <mergeCell ref="B705:E705"/>
    <mergeCell ref="B706:E706"/>
    <mergeCell ref="B217:E217"/>
    <mergeCell ref="B218:E218"/>
    <mergeCell ref="B219:E219"/>
    <mergeCell ref="B220:E220"/>
    <mergeCell ref="B324:E324"/>
    <mergeCell ref="B325:E325"/>
    <mergeCell ref="B326:E326"/>
    <mergeCell ref="B616:E616"/>
    <mergeCell ref="B617:E617"/>
    <mergeCell ref="B663:E663"/>
    <mergeCell ref="B664:E664"/>
    <mergeCell ref="B665:E665"/>
    <mergeCell ref="B618:E618"/>
    <mergeCell ref="B1304:E1304"/>
    <mergeCell ref="B1305:E1305"/>
    <mergeCell ref="B1306:E1306"/>
    <mergeCell ref="B1307:E1307"/>
    <mergeCell ref="B1134:E1134"/>
    <mergeCell ref="B1135:E1135"/>
    <mergeCell ref="B1136:E1136"/>
    <mergeCell ref="B1137:E1137"/>
    <mergeCell ref="B1138:E1138"/>
    <mergeCell ref="B1060:E1060"/>
    <mergeCell ref="B982:E982"/>
    <mergeCell ref="B944:E944"/>
    <mergeCell ref="B945:E945"/>
    <mergeCell ref="B946:E946"/>
    <mergeCell ref="B947:E947"/>
    <mergeCell ref="B801:E801"/>
    <mergeCell ref="B802:E802"/>
    <mergeCell ref="B804:E804"/>
    <mergeCell ref="B803:E803"/>
    <mergeCell ref="B1059:E1059"/>
    <mergeCell ref="B1056:E1056"/>
    <mergeCell ref="B1057:E1057"/>
    <mergeCell ref="B879:E879"/>
    <mergeCell ref="B880:E880"/>
    <mergeCell ref="B881:E881"/>
    <mergeCell ref="A1:G1"/>
    <mergeCell ref="B57:G57"/>
    <mergeCell ref="B63:E63"/>
    <mergeCell ref="B74:E74"/>
    <mergeCell ref="B75:E75"/>
    <mergeCell ref="B113:E113"/>
    <mergeCell ref="B100:E100"/>
    <mergeCell ref="B101:E101"/>
    <mergeCell ref="B102:E102"/>
    <mergeCell ref="B619:E619"/>
  </mergeCells>
  <pageMargins left="0.62992125984251968" right="0.62992125984251968" top="0.70866141732283472" bottom="0.59055118110236227" header="0.31496062992125984" footer="0.23622047244094491"/>
  <pageSetup scale="95" orientation="portrait" horizontalDpi="4294967293" verticalDpi="300" r:id="rId1"/>
  <headerFooter>
    <oddHeader>&amp;L&amp;9 03STOREY SCHOOL BUILDING AT HDH. KUHUDHUFUSHI&amp;R&amp;9bill of quantities</oddHeader>
    <oddFooter>&amp;L&amp;8MAY, 2015&amp;C&amp;8&amp;P&amp;R&amp;8ArchEng Studio Pvt. Ltd</oddFooter>
  </headerFooter>
  <rowBreaks count="29" manualBreakCount="29">
    <brk id="52" max="6" man="1"/>
    <brk id="96" max="6" man="1"/>
    <brk id="147" max="6" man="1"/>
    <brk id="243" max="6" man="1"/>
    <brk id="293" max="6" man="1"/>
    <brk id="342" max="6" man="1"/>
    <brk id="398" max="6" man="1"/>
    <brk id="456" max="6" man="1"/>
    <brk id="513" max="6" man="1"/>
    <brk id="572" max="6" man="1"/>
    <brk id="612" max="6" man="1"/>
    <brk id="661" max="6" man="1"/>
    <brk id="699" max="6" man="1"/>
    <brk id="747" max="6" man="1"/>
    <brk id="796" max="6" man="1"/>
    <brk id="821" max="6" man="1"/>
    <brk id="875" max="6" man="1"/>
    <brk id="906" max="6" man="1"/>
    <brk id="939" max="6" man="1"/>
    <brk id="977" max="6" man="1"/>
    <brk id="1003" max="6" man="1"/>
    <brk id="1051" max="6" man="1"/>
    <brk id="1088" max="6" man="1"/>
    <brk id="1129" max="6" man="1"/>
    <brk id="1219" max="6" man="1"/>
    <brk id="1272" max="6" man="1"/>
    <brk id="1300" max="6" man="1"/>
    <brk id="1349" max="6" man="1"/>
    <brk id="140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opLeftCell="A13" workbookViewId="0">
      <selection activeCell="C24" sqref="C24"/>
    </sheetView>
  </sheetViews>
  <sheetFormatPr defaultRowHeight="15" x14ac:dyDescent="0.25"/>
  <cols>
    <col min="2" max="2" width="47.5703125" customWidth="1"/>
    <col min="3" max="3" width="28.5703125" customWidth="1"/>
    <col min="6" max="6" width="44.5703125" customWidth="1"/>
  </cols>
  <sheetData>
    <row r="1" spans="1:3" ht="18.75" x14ac:dyDescent="0.3">
      <c r="A1" s="636" t="s">
        <v>626</v>
      </c>
      <c r="B1" s="636"/>
      <c r="C1" s="636"/>
    </row>
    <row r="2" spans="1:3" ht="18.75" x14ac:dyDescent="0.3">
      <c r="A2" s="108"/>
      <c r="B2" s="108"/>
      <c r="C2" s="108"/>
    </row>
    <row r="3" spans="1:3" ht="15.75" x14ac:dyDescent="0.25">
      <c r="A3" s="637" t="s">
        <v>74</v>
      </c>
      <c r="B3" s="637"/>
      <c r="C3" s="637"/>
    </row>
    <row r="4" spans="1:3" ht="15.75" thickBot="1" x14ac:dyDescent="0.3">
      <c r="A4" s="1"/>
      <c r="B4" s="2"/>
      <c r="C4" s="3"/>
    </row>
    <row r="5" spans="1:3" ht="20.100000000000001" customHeight="1" thickTop="1" thickBot="1" x14ac:dyDescent="0.35">
      <c r="A5" s="4" t="s">
        <v>75</v>
      </c>
      <c r="B5" s="5" t="s">
        <v>76</v>
      </c>
      <c r="C5" s="6" t="s">
        <v>77</v>
      </c>
    </row>
    <row r="6" spans="1:3" ht="20.100000000000001" customHeight="1" thickTop="1" x14ac:dyDescent="0.25">
      <c r="A6" s="7" t="s">
        <v>78</v>
      </c>
      <c r="B6" s="8" t="s">
        <v>20</v>
      </c>
      <c r="C6" s="9">
        <f>Boq!G52</f>
        <v>0</v>
      </c>
    </row>
    <row r="7" spans="1:3" ht="20.100000000000001" customHeight="1" x14ac:dyDescent="0.25">
      <c r="A7" s="10" t="s">
        <v>79</v>
      </c>
      <c r="B7" s="11" t="s">
        <v>80</v>
      </c>
      <c r="C7" s="12">
        <f>Boq!G96</f>
        <v>0</v>
      </c>
    </row>
    <row r="8" spans="1:3" ht="20.100000000000001" customHeight="1" x14ac:dyDescent="0.25">
      <c r="A8" s="10" t="s">
        <v>81</v>
      </c>
      <c r="B8" s="11" t="s">
        <v>82</v>
      </c>
      <c r="C8" s="12">
        <f>Boq!G612</f>
        <v>0</v>
      </c>
    </row>
    <row r="9" spans="1:3" ht="20.100000000000001" customHeight="1" x14ac:dyDescent="0.25">
      <c r="A9" s="10" t="s">
        <v>83</v>
      </c>
      <c r="B9" s="11" t="s">
        <v>84</v>
      </c>
      <c r="C9" s="12">
        <f>Boq!G699</f>
        <v>0</v>
      </c>
    </row>
    <row r="10" spans="1:3" ht="20.100000000000001" customHeight="1" x14ac:dyDescent="0.25">
      <c r="A10" s="10" t="s">
        <v>85</v>
      </c>
      <c r="B10" s="11" t="s">
        <v>86</v>
      </c>
      <c r="C10" s="12">
        <f>Boq!G796</f>
        <v>0</v>
      </c>
    </row>
    <row r="11" spans="1:3" ht="20.100000000000001" customHeight="1" x14ac:dyDescent="0.25">
      <c r="A11" s="10" t="s">
        <v>87</v>
      </c>
      <c r="B11" s="11" t="s">
        <v>89</v>
      </c>
      <c r="C11" s="12">
        <f>Boq!G875</f>
        <v>0</v>
      </c>
    </row>
    <row r="12" spans="1:3" ht="20.100000000000001" customHeight="1" x14ac:dyDescent="0.25">
      <c r="A12" s="10" t="s">
        <v>88</v>
      </c>
      <c r="B12" s="11" t="s">
        <v>91</v>
      </c>
      <c r="C12" s="12">
        <f>Boq!G906</f>
        <v>0</v>
      </c>
    </row>
    <row r="13" spans="1:3" ht="20.100000000000001" customHeight="1" x14ac:dyDescent="0.25">
      <c r="A13" s="10" t="s">
        <v>90</v>
      </c>
      <c r="B13" s="11" t="s">
        <v>266</v>
      </c>
      <c r="C13" s="12">
        <f>Boq!G939</f>
        <v>0</v>
      </c>
    </row>
    <row r="14" spans="1:3" ht="20.100000000000001" customHeight="1" x14ac:dyDescent="0.25">
      <c r="A14" s="10" t="s">
        <v>92</v>
      </c>
      <c r="B14" s="11" t="s">
        <v>93</v>
      </c>
      <c r="C14" s="12">
        <f>Boq!G977</f>
        <v>0</v>
      </c>
    </row>
    <row r="15" spans="1:3" ht="20.100000000000001" customHeight="1" x14ac:dyDescent="0.25">
      <c r="A15" s="10" t="s">
        <v>94</v>
      </c>
      <c r="B15" s="11" t="s">
        <v>95</v>
      </c>
      <c r="C15" s="12">
        <f>Boq!G1051</f>
        <v>0</v>
      </c>
    </row>
    <row r="16" spans="1:3" ht="20.100000000000001" customHeight="1" x14ac:dyDescent="0.25">
      <c r="A16" s="10" t="s">
        <v>96</v>
      </c>
      <c r="B16" s="11" t="s">
        <v>97</v>
      </c>
      <c r="C16" s="12">
        <f>Boq!G1129</f>
        <v>0</v>
      </c>
    </row>
    <row r="17" spans="1:6" ht="20.100000000000001" customHeight="1" x14ac:dyDescent="0.25">
      <c r="A17" s="10" t="s">
        <v>241</v>
      </c>
      <c r="B17" s="11" t="s">
        <v>98</v>
      </c>
      <c r="C17" s="12">
        <f>Boq!G1300</f>
        <v>0</v>
      </c>
    </row>
    <row r="18" spans="1:6" ht="20.100000000000001" customHeight="1" x14ac:dyDescent="0.25">
      <c r="A18" s="10" t="s">
        <v>460</v>
      </c>
      <c r="B18" s="11" t="s">
        <v>433</v>
      </c>
      <c r="C18" s="12"/>
      <c r="F18" s="86"/>
    </row>
    <row r="19" spans="1:6" ht="20.100000000000001" customHeight="1" x14ac:dyDescent="0.25">
      <c r="A19" s="10" t="s">
        <v>461</v>
      </c>
      <c r="B19" s="11" t="s">
        <v>445</v>
      </c>
      <c r="C19" s="12"/>
    </row>
    <row r="20" spans="1:6" ht="20.100000000000001" customHeight="1" x14ac:dyDescent="0.25">
      <c r="A20" s="10" t="s">
        <v>462</v>
      </c>
      <c r="B20" s="11" t="s">
        <v>463</v>
      </c>
      <c r="C20" s="12"/>
    </row>
    <row r="21" spans="1:6" ht="20.100000000000001" customHeight="1" x14ac:dyDescent="0.25">
      <c r="A21" s="13"/>
      <c r="B21" s="14"/>
      <c r="C21" s="15"/>
    </row>
    <row r="22" spans="1:6" ht="20.100000000000001" customHeight="1" thickBot="1" x14ac:dyDescent="0.3">
      <c r="A22" s="16"/>
      <c r="B22" s="17"/>
      <c r="C22" s="18"/>
      <c r="F22" s="86">
        <f>C23*3%</f>
        <v>0</v>
      </c>
    </row>
    <row r="23" spans="1:6" ht="20.100000000000001" customHeight="1" thickTop="1" x14ac:dyDescent="0.25">
      <c r="A23" s="666"/>
      <c r="B23" s="667" t="s">
        <v>628</v>
      </c>
      <c r="C23" s="663">
        <f>SUM(C6:C22)</f>
        <v>0</v>
      </c>
      <c r="F23">
        <f>C23*5%</f>
        <v>0</v>
      </c>
    </row>
    <row r="24" spans="1:6" ht="15.75" x14ac:dyDescent="0.25">
      <c r="A24" s="668"/>
      <c r="B24" s="669" t="s">
        <v>629</v>
      </c>
      <c r="C24" s="664">
        <f>C23*6%</f>
        <v>0</v>
      </c>
    </row>
    <row r="25" spans="1:6" ht="16.5" thickBot="1" x14ac:dyDescent="0.3">
      <c r="A25" s="670"/>
      <c r="B25" s="671" t="s">
        <v>630</v>
      </c>
      <c r="C25" s="665">
        <f>C23+C24</f>
        <v>0</v>
      </c>
    </row>
    <row r="26" spans="1:6" ht="15.75" thickTop="1" x14ac:dyDescent="0.25"/>
  </sheetData>
  <mergeCells count="2">
    <mergeCell ref="A1:C1"/>
    <mergeCell ref="A3:C3"/>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3:A41"/>
  <sheetViews>
    <sheetView workbookViewId="0">
      <selection activeCell="A33" sqref="A33"/>
    </sheetView>
  </sheetViews>
  <sheetFormatPr defaultRowHeight="15" x14ac:dyDescent="0.25"/>
  <cols>
    <col min="1" max="1" width="100.85546875" customWidth="1"/>
  </cols>
  <sheetData>
    <row r="13" spans="1:1" ht="28.5" x14ac:dyDescent="0.45">
      <c r="A13" s="80" t="s">
        <v>289</v>
      </c>
    </row>
    <row r="17" spans="1:1" ht="20.25" x14ac:dyDescent="0.3">
      <c r="A17" s="81" t="s">
        <v>183</v>
      </c>
    </row>
    <row r="20" spans="1:1" s="69" customFormat="1" ht="81.75" customHeight="1" x14ac:dyDescent="0.25">
      <c r="A20" s="112" t="s">
        <v>631</v>
      </c>
    </row>
    <row r="40" spans="1:1" x14ac:dyDescent="0.25">
      <c r="A40" s="71" t="s">
        <v>190</v>
      </c>
    </row>
    <row r="41" spans="1:1" x14ac:dyDescent="0.25">
      <c r="A41" s="70" t="s">
        <v>627</v>
      </c>
    </row>
  </sheetData>
  <pageMargins left="0.7" right="0.7" top="0.75" bottom="0.75" header="0.3" footer="0.3"/>
  <pageSetup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Boq</vt:lpstr>
      <vt:lpstr>Summary</vt:lpstr>
      <vt:lpstr>Cover</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sham</cp:lastModifiedBy>
  <cp:lastPrinted>2015-06-01T06:25:29Z</cp:lastPrinted>
  <dcterms:created xsi:type="dcterms:W3CDTF">2011-03-24T06:48:27Z</dcterms:created>
  <dcterms:modified xsi:type="dcterms:W3CDTF">2015-06-01T06:51:50Z</dcterms:modified>
</cp:coreProperties>
</file>