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255" windowWidth="15135" windowHeight="7755"/>
  </bookViews>
  <sheets>
    <sheet name="Cover" sheetId="3" r:id="rId1"/>
    <sheet name="Summary" sheetId="2" r:id="rId2"/>
    <sheet name="Boq" sheetId="1" r:id="rId3"/>
  </sheets>
  <definedNames>
    <definedName name="_xlnm.Print_Area" localSheetId="2">Boq!$A$1:$G$1180</definedName>
    <definedName name="_xlnm.Print_Area" localSheetId="0">Cover!$A$1:$A$33</definedName>
    <definedName name="_xlnm.Print_Area" localSheetId="1">Summary!$A$1:$C$21</definedName>
    <definedName name="_xlnm.Print_Titles" localSheetId="2">Boq!$3:$3</definedName>
  </definedNames>
  <calcPr calcId="152511"/>
</workbook>
</file>

<file path=xl/calcChain.xml><?xml version="1.0" encoding="utf-8"?>
<calcChain xmlns="http://schemas.openxmlformats.org/spreadsheetml/2006/main">
  <c r="D70" i="1" l="1"/>
  <c r="D380" i="1"/>
  <c r="D1042" i="1"/>
  <c r="I1029" i="1"/>
  <c r="I1027" i="1"/>
  <c r="J1027" i="1" s="1"/>
  <c r="I374" i="1"/>
  <c r="J374" i="1" s="1"/>
  <c r="I533" i="1"/>
  <c r="J533" i="1" s="1"/>
  <c r="G374" i="1"/>
  <c r="G373" i="1"/>
  <c r="L368" i="1"/>
  <c r="J368" i="1"/>
  <c r="I368" i="1"/>
  <c r="O368" i="1"/>
  <c r="G533" i="1"/>
  <c r="I333" i="1"/>
  <c r="G333" i="1"/>
  <c r="I293" i="1"/>
  <c r="G293" i="1"/>
  <c r="I254" i="1"/>
  <c r="K266" i="1"/>
  <c r="I302" i="1"/>
  <c r="G302" i="1"/>
  <c r="I301" i="1"/>
  <c r="G301" i="1"/>
  <c r="I262" i="1"/>
  <c r="I263" i="1"/>
  <c r="G263" i="1"/>
  <c r="K195" i="1"/>
  <c r="J195" i="1"/>
  <c r="I195" i="1"/>
  <c r="L178" i="1"/>
  <c r="L179" i="1"/>
  <c r="K179" i="1"/>
  <c r="I179" i="1"/>
  <c r="J179" i="1" s="1"/>
  <c r="K178" i="1"/>
  <c r="J178" i="1"/>
  <c r="I178" i="1"/>
  <c r="G179" i="1"/>
  <c r="K109" i="1"/>
  <c r="J109" i="1"/>
  <c r="I109" i="1"/>
  <c r="L110" i="1"/>
  <c r="K110" i="1"/>
  <c r="I110" i="1"/>
  <c r="J110" i="1" s="1"/>
  <c r="I721" i="1"/>
  <c r="I722" i="1"/>
  <c r="J722" i="1" s="1"/>
  <c r="G722" i="1"/>
  <c r="I719" i="1"/>
  <c r="K719" i="1" s="1"/>
  <c r="G721" i="1"/>
  <c r="G731" i="1"/>
  <c r="G732" i="1"/>
  <c r="G733" i="1"/>
  <c r="G734" i="1"/>
  <c r="G735" i="1"/>
  <c r="G730" i="1"/>
  <c r="G729" i="1"/>
  <c r="I730" i="1"/>
  <c r="J730" i="1" s="1"/>
  <c r="D727" i="1"/>
  <c r="G727" i="1" s="1"/>
  <c r="D1014" i="1"/>
  <c r="G1014" i="1" s="1"/>
  <c r="D1007" i="1"/>
  <c r="G1007" i="1" s="1"/>
  <c r="D946" i="1"/>
  <c r="D1013" i="1"/>
  <c r="G1013" i="1" s="1"/>
  <c r="D1012" i="1"/>
  <c r="G1012" i="1" s="1"/>
  <c r="D1011" i="1"/>
  <c r="G1011" i="1" s="1"/>
  <c r="D1010" i="1"/>
  <c r="G1010" i="1" s="1"/>
  <c r="G1009" i="1"/>
  <c r="D1008" i="1"/>
  <c r="G1008" i="1" s="1"/>
  <c r="G1006" i="1"/>
  <c r="G1003" i="1"/>
  <c r="G1002" i="1"/>
  <c r="G1001" i="1"/>
  <c r="G1000" i="1"/>
  <c r="G999" i="1"/>
  <c r="G998" i="1"/>
  <c r="G997" i="1"/>
  <c r="G996" i="1"/>
  <c r="G995" i="1"/>
  <c r="G994" i="1"/>
  <c r="G993" i="1"/>
  <c r="G992" i="1"/>
  <c r="G991" i="1"/>
  <c r="G990" i="1"/>
  <c r="G989" i="1"/>
  <c r="G988" i="1"/>
  <c r="G987" i="1"/>
  <c r="D976" i="1"/>
  <c r="G976" i="1" s="1"/>
  <c r="D983" i="1"/>
  <c r="G983" i="1" s="1"/>
  <c r="D982" i="1"/>
  <c r="G982" i="1" s="1"/>
  <c r="D981" i="1"/>
  <c r="G981" i="1" s="1"/>
  <c r="D980" i="1"/>
  <c r="G980" i="1" s="1"/>
  <c r="D979" i="1"/>
  <c r="G979" i="1" s="1"/>
  <c r="G978" i="1"/>
  <c r="D977" i="1"/>
  <c r="G977" i="1" s="1"/>
  <c r="G975" i="1"/>
  <c r="G974" i="1"/>
  <c r="G973" i="1"/>
  <c r="G972" i="1"/>
  <c r="G971" i="1"/>
  <c r="G970" i="1"/>
  <c r="G969" i="1"/>
  <c r="G968" i="1"/>
  <c r="G967" i="1"/>
  <c r="G966" i="1"/>
  <c r="G965" i="1"/>
  <c r="G964" i="1"/>
  <c r="G963" i="1"/>
  <c r="G962" i="1"/>
  <c r="G961" i="1"/>
  <c r="G960" i="1"/>
  <c r="G959" i="1"/>
  <c r="G958" i="1"/>
  <c r="G957" i="1"/>
  <c r="G956" i="1"/>
  <c r="G955" i="1"/>
  <c r="G954" i="1"/>
  <c r="G953" i="1"/>
  <c r="D940" i="1"/>
  <c r="D939" i="1"/>
  <c r="G935" i="1"/>
  <c r="G921" i="1"/>
  <c r="G918" i="1"/>
  <c r="G873" i="1"/>
  <c r="I716" i="1"/>
  <c r="I725" i="1" s="1"/>
  <c r="G774" i="1"/>
  <c r="J769" i="1"/>
  <c r="I769" i="1"/>
  <c r="G769" i="1"/>
  <c r="I813" i="1"/>
  <c r="G805" i="1"/>
  <c r="G806" i="1"/>
  <c r="G804" i="1"/>
  <c r="G803" i="1"/>
  <c r="G802" i="1"/>
  <c r="G801" i="1"/>
  <c r="M463" i="1"/>
  <c r="N463" i="1" s="1"/>
  <c r="J486" i="1"/>
  <c r="K486" i="1" s="1"/>
  <c r="I570" i="1"/>
  <c r="I568" i="1"/>
  <c r="G579" i="1"/>
  <c r="G578" i="1"/>
  <c r="G577" i="1"/>
  <c r="J563" i="1"/>
  <c r="I563" i="1"/>
  <c r="M563" i="1" s="1"/>
  <c r="G561" i="1"/>
  <c r="G559" i="1"/>
  <c r="G558" i="1"/>
  <c r="I487" i="1"/>
  <c r="I485" i="1"/>
  <c r="I484" i="1"/>
  <c r="I482" i="1"/>
  <c r="I483" i="1"/>
  <c r="G483" i="1"/>
  <c r="G563" i="1"/>
  <c r="J552" i="1"/>
  <c r="I552" i="1"/>
  <c r="K550" i="1"/>
  <c r="I550" i="1"/>
  <c r="J550" i="1" s="1"/>
  <c r="G543" i="1"/>
  <c r="I476" i="1"/>
  <c r="G552" i="1"/>
  <c r="G550" i="1"/>
  <c r="G547" i="1"/>
  <c r="J545" i="1"/>
  <c r="I545" i="1"/>
  <c r="G545" i="1"/>
  <c r="G542" i="1"/>
  <c r="G540" i="1"/>
  <c r="I479" i="1"/>
  <c r="I477" i="1"/>
  <c r="I475" i="1"/>
  <c r="I474" i="1"/>
  <c r="G475" i="1"/>
  <c r="G474" i="1"/>
  <c r="J535" i="1"/>
  <c r="I535" i="1"/>
  <c r="K531" i="1"/>
  <c r="I531" i="1"/>
  <c r="J531" i="1" s="1"/>
  <c r="I532" i="1"/>
  <c r="G526" i="1"/>
  <c r="G525" i="1"/>
  <c r="G524" i="1"/>
  <c r="G522" i="1"/>
  <c r="G519" i="1"/>
  <c r="G518" i="1"/>
  <c r="G517" i="1"/>
  <c r="G516" i="1"/>
  <c r="G468" i="1"/>
  <c r="I467" i="1"/>
  <c r="I471" i="1"/>
  <c r="J471" i="1" s="1"/>
  <c r="J466" i="1"/>
  <c r="I466" i="1"/>
  <c r="I465" i="1"/>
  <c r="I464" i="1"/>
  <c r="I463" i="1"/>
  <c r="G465" i="1"/>
  <c r="G464" i="1"/>
  <c r="G463" i="1"/>
  <c r="I462" i="1"/>
  <c r="J469" i="1"/>
  <c r="I469" i="1"/>
  <c r="G470" i="1"/>
  <c r="I440" i="1"/>
  <c r="K339" i="1"/>
  <c r="Q437" i="1" s="1"/>
  <c r="I437" i="1"/>
  <c r="J437" i="1" s="1"/>
  <c r="L437" i="1" s="1"/>
  <c r="M437" i="1" s="1"/>
  <c r="M436" i="1"/>
  <c r="I435" i="1"/>
  <c r="J435" i="1" s="1"/>
  <c r="M411" i="1"/>
  <c r="I412" i="1"/>
  <c r="J412" i="1" s="1"/>
  <c r="L412" i="1" s="1"/>
  <c r="M412" i="1" s="1"/>
  <c r="I654" i="1"/>
  <c r="I410" i="1"/>
  <c r="J410" i="1" s="1"/>
  <c r="L410" i="1" s="1"/>
  <c r="M410" i="1" s="1"/>
  <c r="M179" i="1" l="1"/>
  <c r="L109" i="1"/>
  <c r="I264" i="1"/>
  <c r="M178" i="1"/>
  <c r="M110" i="1"/>
  <c r="I303" i="1"/>
  <c r="D300" i="1" s="1"/>
  <c r="G300" i="1" s="1"/>
  <c r="D303" i="1"/>
  <c r="G303" i="1" s="1"/>
  <c r="M195" i="1"/>
  <c r="K769" i="1"/>
  <c r="K563" i="1"/>
  <c r="K545" i="1"/>
  <c r="K552" i="1"/>
  <c r="M552" i="1"/>
  <c r="L550" i="1"/>
  <c r="L531" i="1"/>
  <c r="K466" i="1"/>
  <c r="L339" i="1"/>
  <c r="M339" i="1" s="1"/>
  <c r="O339" i="1" s="1"/>
  <c r="N437" i="1"/>
  <c r="O437" i="1" s="1"/>
  <c r="P437" i="1" s="1"/>
  <c r="R437" i="1" s="1"/>
  <c r="S437" i="1" s="1"/>
  <c r="L435" i="1"/>
  <c r="M435" i="1" s="1"/>
  <c r="N430" i="1"/>
  <c r="I370" i="1"/>
  <c r="J370" i="1" s="1"/>
  <c r="I142" i="1"/>
  <c r="J142" i="1" s="1"/>
  <c r="G142" i="1"/>
  <c r="G141" i="1"/>
  <c r="I209" i="1"/>
  <c r="J209" i="1" s="1"/>
  <c r="I339" i="1"/>
  <c r="I340" i="1" s="1"/>
  <c r="D338" i="1" s="1"/>
  <c r="G339" i="1"/>
  <c r="L364" i="1"/>
  <c r="M364" i="1" s="1"/>
  <c r="N364" i="1" s="1"/>
  <c r="P364" i="1" s="1"/>
  <c r="I220" i="1"/>
  <c r="J220" i="1" s="1"/>
  <c r="G337" i="1"/>
  <c r="M430" i="1"/>
  <c r="I432" i="1"/>
  <c r="J432" i="1" s="1"/>
  <c r="I430" i="1"/>
  <c r="J430" i="1" s="1"/>
  <c r="I407" i="1"/>
  <c r="J407" i="1" s="1"/>
  <c r="M405" i="1"/>
  <c r="M400" i="1"/>
  <c r="I405" i="1"/>
  <c r="J405" i="1" s="1"/>
  <c r="L405" i="1" s="1"/>
  <c r="I427" i="1"/>
  <c r="J427" i="1" s="1"/>
  <c r="L427" i="1" s="1"/>
  <c r="M427" i="1" s="1"/>
  <c r="I402" i="1"/>
  <c r="J402" i="1" s="1"/>
  <c r="L402" i="1" s="1"/>
  <c r="M402" i="1" s="1"/>
  <c r="I400" i="1"/>
  <c r="J400" i="1" s="1"/>
  <c r="L400" i="1" s="1"/>
  <c r="I425" i="1"/>
  <c r="P424" i="1"/>
  <c r="Q424" i="1" s="1"/>
  <c r="M424" i="1"/>
  <c r="I424" i="1"/>
  <c r="J424" i="1" s="1"/>
  <c r="L424" i="1" s="1"/>
  <c r="J397" i="1"/>
  <c r="M159" i="1"/>
  <c r="I656" i="1"/>
  <c r="J656" i="1" s="1"/>
  <c r="G656" i="1"/>
  <c r="I655" i="1"/>
  <c r="J655" i="1" s="1"/>
  <c r="G655" i="1"/>
  <c r="J654" i="1"/>
  <c r="G654" i="1"/>
  <c r="I653" i="1"/>
  <c r="J653" i="1" s="1"/>
  <c r="G653" i="1"/>
  <c r="I651" i="1"/>
  <c r="J651" i="1" s="1"/>
  <c r="G651" i="1"/>
  <c r="I650" i="1"/>
  <c r="J650" i="1" s="1"/>
  <c r="G650" i="1"/>
  <c r="I644" i="1"/>
  <c r="J644" i="1" s="1"/>
  <c r="G644" i="1"/>
  <c r="I643" i="1"/>
  <c r="J643" i="1" s="1"/>
  <c r="G643" i="1"/>
  <c r="I642" i="1"/>
  <c r="J642" i="1" s="1"/>
  <c r="G642" i="1"/>
  <c r="I641" i="1"/>
  <c r="J641" i="1" s="1"/>
  <c r="G641" i="1"/>
  <c r="I639" i="1"/>
  <c r="J639" i="1" s="1"/>
  <c r="G639" i="1"/>
  <c r="I638" i="1"/>
  <c r="J638" i="1" s="1"/>
  <c r="G638" i="1"/>
  <c r="I637" i="1"/>
  <c r="J637" i="1" s="1"/>
  <c r="G637" i="1"/>
  <c r="I636" i="1"/>
  <c r="J636" i="1" s="1"/>
  <c r="G636" i="1"/>
  <c r="I635" i="1"/>
  <c r="J635" i="1" s="1"/>
  <c r="G635" i="1"/>
  <c r="I629" i="1"/>
  <c r="J629" i="1" s="1"/>
  <c r="I628" i="1"/>
  <c r="J628" i="1" s="1"/>
  <c r="I627" i="1"/>
  <c r="J627" i="1" s="1"/>
  <c r="I626" i="1"/>
  <c r="J626" i="1" s="1"/>
  <c r="I625" i="1"/>
  <c r="J625" i="1" s="1"/>
  <c r="I623" i="1"/>
  <c r="J623" i="1" s="1"/>
  <c r="I622" i="1"/>
  <c r="I621" i="1"/>
  <c r="I620" i="1"/>
  <c r="G629" i="1"/>
  <c r="G628" i="1"/>
  <c r="G627" i="1"/>
  <c r="G626" i="1"/>
  <c r="G625" i="1"/>
  <c r="G623" i="1"/>
  <c r="I364" i="1"/>
  <c r="I365" i="1" s="1"/>
  <c r="D363" i="1" s="1"/>
  <c r="G364" i="1"/>
  <c r="G362" i="1"/>
  <c r="G220" i="1"/>
  <c r="G219" i="1"/>
  <c r="I152" i="1"/>
  <c r="J152" i="1" s="1"/>
  <c r="G152" i="1"/>
  <c r="G151" i="1"/>
  <c r="I216" i="1"/>
  <c r="J216" i="1" s="1"/>
  <c r="I214" i="1"/>
  <c r="J214" i="1" s="1"/>
  <c r="K657" i="1" l="1"/>
  <c r="K432" i="1"/>
  <c r="L432" i="1" s="1"/>
  <c r="M432" i="1" s="1"/>
  <c r="N432" i="1" s="1"/>
  <c r="N400" i="1"/>
  <c r="O400" i="1" s="1"/>
  <c r="N424" i="1"/>
  <c r="O424" i="1" s="1"/>
  <c r="J425" i="1" s="1"/>
  <c r="K425" i="1" s="1"/>
  <c r="J645" i="1"/>
  <c r="N405" i="1"/>
  <c r="O405" i="1" s="1"/>
  <c r="D365" i="1"/>
  <c r="G365" i="1" s="1"/>
  <c r="G363" i="1"/>
  <c r="N427" i="1"/>
  <c r="O427" i="1" s="1"/>
  <c r="P427" i="1" s="1"/>
  <c r="Q427" i="1" s="1"/>
  <c r="L430" i="1"/>
  <c r="O430" i="1" s="1"/>
  <c r="G338" i="1"/>
  <c r="D340" i="1"/>
  <c r="G340" i="1" s="1"/>
  <c r="J657" i="1"/>
  <c r="I357" i="1"/>
  <c r="G357" i="1"/>
  <c r="I356" i="1"/>
  <c r="G356" i="1"/>
  <c r="J353" i="1"/>
  <c r="K353" i="1" s="1"/>
  <c r="L353" i="1" s="1"/>
  <c r="I353" i="1"/>
  <c r="G353" i="1"/>
  <c r="J352" i="1"/>
  <c r="K352" i="1" s="1"/>
  <c r="L352" i="1" s="1"/>
  <c r="I352" i="1"/>
  <c r="G352" i="1"/>
  <c r="J349" i="1"/>
  <c r="K349" i="1" s="1"/>
  <c r="L349" i="1" s="1"/>
  <c r="I349" i="1"/>
  <c r="G349" i="1"/>
  <c r="J348" i="1"/>
  <c r="K348" i="1" s="1"/>
  <c r="L348" i="1" s="1"/>
  <c r="I348" i="1"/>
  <c r="G348" i="1"/>
  <c r="J345" i="1"/>
  <c r="I345" i="1"/>
  <c r="G345" i="1"/>
  <c r="J344" i="1"/>
  <c r="I344" i="1"/>
  <c r="G344" i="1"/>
  <c r="I334" i="1"/>
  <c r="G334" i="1"/>
  <c r="I330" i="1"/>
  <c r="G330" i="1"/>
  <c r="I329" i="1"/>
  <c r="G329" i="1"/>
  <c r="K323" i="1"/>
  <c r="L323" i="1" s="1"/>
  <c r="I321" i="1"/>
  <c r="G321" i="1"/>
  <c r="J320" i="1"/>
  <c r="K320" i="1" s="1"/>
  <c r="L320" i="1" s="1"/>
  <c r="I320" i="1"/>
  <c r="G320" i="1"/>
  <c r="J307" i="1"/>
  <c r="K307" i="1" s="1"/>
  <c r="L657" i="1" l="1"/>
  <c r="I354" i="1"/>
  <c r="D351" i="1" s="1"/>
  <c r="D354" i="1" s="1"/>
  <c r="G354" i="1" s="1"/>
  <c r="I358" i="1"/>
  <c r="D355" i="1" s="1"/>
  <c r="D358" i="1" s="1"/>
  <c r="G358" i="1" s="1"/>
  <c r="I350" i="1"/>
  <c r="D347" i="1" s="1"/>
  <c r="D350" i="1" s="1"/>
  <c r="G350" i="1" s="1"/>
  <c r="I346" i="1"/>
  <c r="I335" i="1"/>
  <c r="D332" i="1" s="1"/>
  <c r="D335" i="1" s="1"/>
  <c r="G335" i="1" s="1"/>
  <c r="I331" i="1"/>
  <c r="D328" i="1" s="1"/>
  <c r="D331" i="1" s="1"/>
  <c r="G331" i="1" s="1"/>
  <c r="I322" i="1"/>
  <c r="I317" i="1"/>
  <c r="G317" i="1"/>
  <c r="J316" i="1"/>
  <c r="K316" i="1" s="1"/>
  <c r="L316" i="1" s="1"/>
  <c r="I316" i="1"/>
  <c r="G316" i="1"/>
  <c r="J313" i="1"/>
  <c r="K313" i="1" s="1"/>
  <c r="L313" i="1" s="1"/>
  <c r="I313" i="1"/>
  <c r="G313" i="1"/>
  <c r="J312" i="1"/>
  <c r="K312" i="1" s="1"/>
  <c r="L312" i="1" s="1"/>
  <c r="I312" i="1"/>
  <c r="G312" i="1"/>
  <c r="J309" i="1"/>
  <c r="K309" i="1" s="1"/>
  <c r="L309" i="1" s="1"/>
  <c r="I309" i="1"/>
  <c r="G309" i="1"/>
  <c r="I308" i="1"/>
  <c r="G308" i="1"/>
  <c r="L307" i="1"/>
  <c r="I307" i="1"/>
  <c r="G307" i="1"/>
  <c r="I298" i="1"/>
  <c r="G298" i="1"/>
  <c r="I297" i="1"/>
  <c r="G297" i="1"/>
  <c r="I294" i="1"/>
  <c r="G294" i="1"/>
  <c r="I290" i="1"/>
  <c r="G290" i="1"/>
  <c r="I289" i="1"/>
  <c r="G289" i="1"/>
  <c r="K285" i="1"/>
  <c r="L285" i="1" s="1"/>
  <c r="J189" i="1"/>
  <c r="K189" i="1" s="1"/>
  <c r="J278" i="1"/>
  <c r="K278" i="1" s="1"/>
  <c r="L278" i="1" s="1"/>
  <c r="I278" i="1"/>
  <c r="G278" i="1"/>
  <c r="I272" i="1"/>
  <c r="G272" i="1"/>
  <c r="J271" i="1"/>
  <c r="K271" i="1" s="1"/>
  <c r="L271" i="1" s="1"/>
  <c r="I271" i="1"/>
  <c r="G271" i="1"/>
  <c r="I218" i="1"/>
  <c r="K360" i="1" s="1"/>
  <c r="L360" i="1" s="1"/>
  <c r="I150" i="1"/>
  <c r="K134" i="1"/>
  <c r="I134" i="1"/>
  <c r="J134" i="1" s="1"/>
  <c r="I117" i="1"/>
  <c r="J117" i="1" s="1"/>
  <c r="I135" i="1"/>
  <c r="J135" i="1" s="1"/>
  <c r="I123" i="1"/>
  <c r="I122" i="1"/>
  <c r="I121" i="1"/>
  <c r="I140" i="1"/>
  <c r="I139" i="1"/>
  <c r="I193" i="1"/>
  <c r="I192" i="1"/>
  <c r="I191" i="1"/>
  <c r="I213" i="1"/>
  <c r="J213" i="1" s="1"/>
  <c r="G216" i="1"/>
  <c r="I215" i="1"/>
  <c r="J215" i="1" s="1"/>
  <c r="G215" i="1"/>
  <c r="G214" i="1"/>
  <c r="G213" i="1"/>
  <c r="J203" i="1"/>
  <c r="I203" i="1"/>
  <c r="J137" i="1"/>
  <c r="I137" i="1"/>
  <c r="I201" i="1"/>
  <c r="J201" i="1" s="1"/>
  <c r="K200" i="1"/>
  <c r="K199" i="1"/>
  <c r="L199" i="1" s="1"/>
  <c r="I199" i="1"/>
  <c r="J199" i="1" s="1"/>
  <c r="I198" i="1"/>
  <c r="J198" i="1" s="1"/>
  <c r="G201" i="1"/>
  <c r="I200" i="1"/>
  <c r="J200" i="1" s="1"/>
  <c r="G200" i="1"/>
  <c r="G199" i="1"/>
  <c r="G198" i="1"/>
  <c r="I185" i="1"/>
  <c r="J185" i="1" s="1"/>
  <c r="G189" i="1"/>
  <c r="I187" i="1"/>
  <c r="J187" i="1" s="1"/>
  <c r="G187" i="1"/>
  <c r="I186" i="1"/>
  <c r="J186" i="1" s="1"/>
  <c r="G186" i="1"/>
  <c r="G185" i="1"/>
  <c r="K150" i="1"/>
  <c r="J150" i="1"/>
  <c r="G149" i="1"/>
  <c r="G150" i="1"/>
  <c r="I148" i="1"/>
  <c r="J148" i="1" s="1"/>
  <c r="I147" i="1"/>
  <c r="J147" i="1" s="1"/>
  <c r="I146" i="1"/>
  <c r="J146" i="1" s="1"/>
  <c r="I145" i="1"/>
  <c r="J145" i="1" s="1"/>
  <c r="G148" i="1"/>
  <c r="G147" i="1"/>
  <c r="G140" i="1"/>
  <c r="G139" i="1"/>
  <c r="I133" i="1"/>
  <c r="J133" i="1" s="1"/>
  <c r="I132" i="1"/>
  <c r="J132" i="1" s="1"/>
  <c r="K133" i="1"/>
  <c r="L133" i="1" s="1"/>
  <c r="G135" i="1"/>
  <c r="G134" i="1"/>
  <c r="G133" i="1"/>
  <c r="G132" i="1"/>
  <c r="J119" i="1"/>
  <c r="K119" i="1" s="1"/>
  <c r="L119" i="1" s="1"/>
  <c r="G123" i="1"/>
  <c r="G122" i="1"/>
  <c r="G121" i="1"/>
  <c r="I106" i="1"/>
  <c r="I107" i="1"/>
  <c r="I105" i="1"/>
  <c r="I116" i="1"/>
  <c r="J116" i="1" s="1"/>
  <c r="I115" i="1"/>
  <c r="J115" i="1" s="1"/>
  <c r="I258" i="1"/>
  <c r="G258" i="1"/>
  <c r="I259" i="1"/>
  <c r="G259" i="1"/>
  <c r="I251" i="1"/>
  <c r="I250" i="1"/>
  <c r="I207" i="1"/>
  <c r="G207" i="1"/>
  <c r="I206" i="1"/>
  <c r="G206" i="1"/>
  <c r="I205" i="1"/>
  <c r="G205" i="1"/>
  <c r="G193" i="1"/>
  <c r="G192" i="1"/>
  <c r="G191" i="1"/>
  <c r="I174" i="1"/>
  <c r="I295" i="1" l="1"/>
  <c r="D292" i="1" s="1"/>
  <c r="G292" i="1" s="1"/>
  <c r="G351" i="1"/>
  <c r="G355" i="1"/>
  <c r="G347" i="1"/>
  <c r="G332" i="1"/>
  <c r="G328" i="1"/>
  <c r="I318" i="1"/>
  <c r="D315" i="1" s="1"/>
  <c r="G315" i="1" s="1"/>
  <c r="I299" i="1"/>
  <c r="D296" i="1" s="1"/>
  <c r="D299" i="1" s="1"/>
  <c r="G299" i="1" s="1"/>
  <c r="I310" i="1"/>
  <c r="D306" i="1" s="1"/>
  <c r="D310" i="1" s="1"/>
  <c r="G310" i="1" s="1"/>
  <c r="I314" i="1"/>
  <c r="D311" i="1" s="1"/>
  <c r="D314" i="1" s="1"/>
  <c r="G314" i="1" s="1"/>
  <c r="M199" i="1"/>
  <c r="I291" i="1"/>
  <c r="D288" i="1" s="1"/>
  <c r="D291" i="1" s="1"/>
  <c r="G291" i="1" s="1"/>
  <c r="M285" i="1"/>
  <c r="N285" i="1" s="1"/>
  <c r="L150" i="1"/>
  <c r="M150" i="1" s="1"/>
  <c r="K137" i="1"/>
  <c r="K203" i="1"/>
  <c r="L200" i="1"/>
  <c r="L134" i="1"/>
  <c r="M133" i="1"/>
  <c r="I260" i="1"/>
  <c r="K245" i="1"/>
  <c r="L245" i="1" s="1"/>
  <c r="N245" i="1" s="1"/>
  <c r="K244" i="1"/>
  <c r="I244" i="1"/>
  <c r="J241" i="1"/>
  <c r="J240" i="1"/>
  <c r="I175" i="1"/>
  <c r="I176" i="1"/>
  <c r="I163" i="1"/>
  <c r="I164" i="1"/>
  <c r="I170" i="1"/>
  <c r="K170" i="1" s="1"/>
  <c r="I169" i="1"/>
  <c r="I168" i="1"/>
  <c r="I167" i="1"/>
  <c r="I166" i="1"/>
  <c r="I165" i="1"/>
  <c r="I162" i="1"/>
  <c r="I161" i="1"/>
  <c r="J160" i="1"/>
  <c r="I160" i="1"/>
  <c r="J159" i="1"/>
  <c r="I159" i="1"/>
  <c r="G170" i="1"/>
  <c r="G169" i="1"/>
  <c r="G168" i="1"/>
  <c r="G167" i="1"/>
  <c r="G166" i="1"/>
  <c r="G165" i="1"/>
  <c r="G164" i="1"/>
  <c r="G163" i="1"/>
  <c r="G162" i="1"/>
  <c r="G161" i="1"/>
  <c r="G160" i="1"/>
  <c r="G159" i="1"/>
  <c r="G110" i="1"/>
  <c r="K105" i="1"/>
  <c r="I102" i="1"/>
  <c r="K102" i="1" s="1"/>
  <c r="I65" i="1"/>
  <c r="D67" i="1"/>
  <c r="G66" i="1"/>
  <c r="N60" i="1"/>
  <c r="M60" i="1"/>
  <c r="J60" i="1"/>
  <c r="I60" i="1"/>
  <c r="P59" i="1"/>
  <c r="O59" i="1"/>
  <c r="N59" i="1"/>
  <c r="M59" i="1"/>
  <c r="L59" i="1"/>
  <c r="K59" i="1"/>
  <c r="J59" i="1"/>
  <c r="I59" i="1"/>
  <c r="I92" i="1"/>
  <c r="J92" i="1"/>
  <c r="J91" i="1"/>
  <c r="I100" i="1"/>
  <c r="I99" i="1"/>
  <c r="I101" i="1"/>
  <c r="I98" i="1"/>
  <c r="I97" i="1"/>
  <c r="I96" i="1"/>
  <c r="I95" i="1"/>
  <c r="I94" i="1"/>
  <c r="I93" i="1"/>
  <c r="I91" i="1"/>
  <c r="G92" i="1"/>
  <c r="G101" i="1"/>
  <c r="G100" i="1"/>
  <c r="G99" i="1"/>
  <c r="G98" i="1"/>
  <c r="G97" i="1"/>
  <c r="G96" i="1"/>
  <c r="G95" i="1"/>
  <c r="D295" i="1" l="1"/>
  <c r="G295" i="1" s="1"/>
  <c r="G296" i="1"/>
  <c r="G288" i="1"/>
  <c r="D318" i="1"/>
  <c r="G318" i="1" s="1"/>
  <c r="G306" i="1"/>
  <c r="G311" i="1"/>
  <c r="K160" i="1"/>
  <c r="K159" i="1"/>
  <c r="K91" i="1"/>
  <c r="O60" i="1"/>
  <c r="P60" i="1" s="1"/>
  <c r="J61" i="1" s="1"/>
  <c r="Q59" i="1"/>
  <c r="K60" i="1"/>
  <c r="K92" i="1"/>
  <c r="I576" i="1"/>
  <c r="I796" i="1"/>
  <c r="G794" i="1"/>
  <c r="G793" i="1"/>
  <c r="L60" i="1" l="1"/>
  <c r="I1038" i="1"/>
  <c r="G1041" i="1"/>
  <c r="G1038" i="1"/>
  <c r="G1037" i="1"/>
  <c r="D1035" i="1"/>
  <c r="G1029" i="1"/>
  <c r="G917" i="1"/>
  <c r="G870" i="1"/>
  <c r="G800" i="1"/>
  <c r="G570" i="1"/>
  <c r="G568" i="1"/>
  <c r="G487" i="1"/>
  <c r="G486" i="1"/>
  <c r="G485" i="1"/>
  <c r="G484" i="1"/>
  <c r="G482" i="1"/>
  <c r="G471" i="1"/>
  <c r="G467" i="1"/>
  <c r="G659" i="1"/>
  <c r="G658" i="1"/>
  <c r="G412" i="1"/>
  <c r="G411" i="1"/>
  <c r="G410" i="1"/>
  <c r="G409" i="1"/>
  <c r="G407" i="1"/>
  <c r="G406" i="1"/>
  <c r="G405" i="1"/>
  <c r="G404" i="1"/>
  <c r="J620" i="1"/>
  <c r="J621" i="1"/>
  <c r="K630" i="1" s="1"/>
  <c r="G620" i="1"/>
  <c r="G621" i="1"/>
  <c r="I360" i="1"/>
  <c r="I325" i="1"/>
  <c r="G325" i="1"/>
  <c r="M360" i="1"/>
  <c r="N360" i="1" s="1"/>
  <c r="O360" i="1" s="1"/>
  <c r="M323" i="1"/>
  <c r="N323" i="1" s="1"/>
  <c r="J182" i="1"/>
  <c r="G182" i="1"/>
  <c r="G181" i="1"/>
  <c r="L137" i="1"/>
  <c r="G360" i="1"/>
  <c r="J277" i="1"/>
  <c r="K277" i="1" s="1"/>
  <c r="L277" i="1" s="1"/>
  <c r="I61" i="1" l="1"/>
  <c r="K61" i="1" s="1"/>
  <c r="J88" i="1"/>
  <c r="I361" i="1"/>
  <c r="D359" i="1" s="1"/>
  <c r="G359" i="1" s="1"/>
  <c r="D343" i="1"/>
  <c r="D319" i="1"/>
  <c r="D322" i="1" s="1"/>
  <c r="G322" i="1" s="1"/>
  <c r="I281" i="1"/>
  <c r="G281" i="1"/>
  <c r="J281" i="1"/>
  <c r="K281" i="1" s="1"/>
  <c r="L281" i="1" s="1"/>
  <c r="J273" i="1"/>
  <c r="K273" i="1" s="1"/>
  <c r="L273" i="1" s="1"/>
  <c r="I277" i="1"/>
  <c r="G277" i="1"/>
  <c r="G343" i="1" l="1"/>
  <c r="D346" i="1"/>
  <c r="G346" i="1" s="1"/>
  <c r="D361" i="1"/>
  <c r="G361" i="1" s="1"/>
  <c r="G319" i="1"/>
  <c r="L333" i="1"/>
  <c r="N333" i="1" s="1"/>
  <c r="L329" i="1"/>
  <c r="M329" i="1" s="1"/>
  <c r="N329" i="1" s="1"/>
  <c r="J329" i="1"/>
  <c r="L293" i="1"/>
  <c r="M293" i="1" s="1"/>
  <c r="L289" i="1"/>
  <c r="M289" i="1" s="1"/>
  <c r="N289" i="1" s="1"/>
  <c r="I245" i="1"/>
  <c r="G245" i="1"/>
  <c r="G244" i="1"/>
  <c r="I241" i="1"/>
  <c r="G241" i="1"/>
  <c r="I240" i="1"/>
  <c r="G240" i="1"/>
  <c r="I237" i="1"/>
  <c r="G237" i="1"/>
  <c r="I236" i="1"/>
  <c r="G236" i="1"/>
  <c r="I233" i="1"/>
  <c r="I232" i="1"/>
  <c r="G232" i="1"/>
  <c r="K213" i="1"/>
  <c r="L213" i="1" s="1"/>
  <c r="G209" i="1"/>
  <c r="G208" i="1"/>
  <c r="G218" i="1"/>
  <c r="G217" i="1"/>
  <c r="G176" i="1"/>
  <c r="G175" i="1"/>
  <c r="G174" i="1"/>
  <c r="N293" i="1" l="1"/>
  <c r="O293" i="1" s="1"/>
  <c r="P293" i="1" s="1"/>
  <c r="Q293" i="1" s="1"/>
  <c r="M333" i="1"/>
  <c r="O333" i="1" s="1"/>
  <c r="P333" i="1" s="1"/>
  <c r="Q333" i="1" s="1"/>
  <c r="D257" i="1"/>
  <c r="D260" i="1" s="1"/>
  <c r="G260" i="1" s="1"/>
  <c r="I246" i="1"/>
  <c r="D243" i="1" s="1"/>
  <c r="G243" i="1" s="1"/>
  <c r="I242" i="1"/>
  <c r="D239" i="1" s="1"/>
  <c r="D242" i="1" s="1"/>
  <c r="G242" i="1" s="1"/>
  <c r="I238" i="1"/>
  <c r="D235" i="1" s="1"/>
  <c r="D238" i="1" s="1"/>
  <c r="G238" i="1" s="1"/>
  <c r="M213" i="1"/>
  <c r="G146" i="1"/>
  <c r="G145" i="1"/>
  <c r="G257" i="1" l="1"/>
  <c r="D246" i="1"/>
  <c r="G246" i="1" s="1"/>
  <c r="G239" i="1"/>
  <c r="G235" i="1"/>
  <c r="G107" i="1" l="1"/>
  <c r="G93" i="1" l="1"/>
  <c r="G94" i="1"/>
  <c r="G102" i="1"/>
  <c r="G1180" i="1" l="1"/>
  <c r="C18" i="2" s="1"/>
  <c r="G1121" i="1"/>
  <c r="C17" i="2" s="1"/>
  <c r="G1035" i="1"/>
  <c r="G1034" i="1"/>
  <c r="G1032" i="1"/>
  <c r="G1030" i="1"/>
  <c r="G1028" i="1"/>
  <c r="G1027" i="1"/>
  <c r="G1024" i="1"/>
  <c r="F27" i="1" l="1"/>
  <c r="G1062" i="1" l="1"/>
  <c r="C16" i="2" s="1"/>
  <c r="G34" i="1"/>
  <c r="G33" i="1"/>
  <c r="G986" i="1"/>
  <c r="G985" i="1"/>
  <c r="I809" i="1"/>
  <c r="I773" i="1"/>
  <c r="I768" i="1"/>
  <c r="I763" i="1"/>
  <c r="J773" i="1" l="1"/>
  <c r="G532" i="1"/>
  <c r="G531" i="1"/>
  <c r="J478" i="1"/>
  <c r="I478" i="1"/>
  <c r="K535" i="1"/>
  <c r="J622" i="1"/>
  <c r="G646" i="1"/>
  <c r="I324" i="1"/>
  <c r="G324" i="1"/>
  <c r="J630" i="1" l="1"/>
  <c r="L630" i="1" s="1"/>
  <c r="I326" i="1"/>
  <c r="D323" i="1" s="1"/>
  <c r="L469" i="1"/>
  <c r="R323" i="1"/>
  <c r="M368" i="1"/>
  <c r="G203" i="1"/>
  <c r="G202" i="1"/>
  <c r="G137" i="1"/>
  <c r="G136" i="1"/>
  <c r="G323" i="1" l="1"/>
  <c r="D326" i="1"/>
  <c r="G326" i="1" s="1"/>
  <c r="G835" i="1" l="1"/>
  <c r="K112" i="1" l="1"/>
  <c r="L112" i="1" l="1"/>
  <c r="G573" i="1" l="1"/>
  <c r="G443" i="1"/>
  <c r="G927" i="1" l="1"/>
  <c r="G923" i="1"/>
  <c r="G865" i="1"/>
  <c r="D864" i="1"/>
  <c r="G864" i="1" s="1"/>
  <c r="G863" i="1"/>
  <c r="D862" i="1"/>
  <c r="G862" i="1" s="1"/>
  <c r="G861" i="1"/>
  <c r="D860" i="1"/>
  <c r="G860" i="1" s="1"/>
  <c r="D859" i="1"/>
  <c r="G859" i="1" s="1"/>
  <c r="G858" i="1"/>
  <c r="G857" i="1"/>
  <c r="D838" i="1"/>
  <c r="G838" i="1" s="1"/>
  <c r="D836" i="1"/>
  <c r="G836" i="1" s="1"/>
  <c r="D834" i="1"/>
  <c r="G834" i="1" s="1"/>
  <c r="D833" i="1"/>
  <c r="G833" i="1" s="1"/>
  <c r="G842" i="1"/>
  <c r="G837" i="1"/>
  <c r="G477" i="1"/>
  <c r="G725" i="1" l="1"/>
  <c r="G846" i="1" l="1"/>
  <c r="G372" i="1"/>
  <c r="G371" i="1"/>
  <c r="G631" i="1" l="1"/>
  <c r="I266" i="1" l="1"/>
  <c r="G790" i="1"/>
  <c r="D945" i="1"/>
  <c r="G945" i="1" s="1"/>
  <c r="G946" i="1"/>
  <c r="D944" i="1"/>
  <c r="D943" i="1"/>
  <c r="D942" i="1"/>
  <c r="G937" i="1"/>
  <c r="G936" i="1"/>
  <c r="G919" i="1"/>
  <c r="G920" i="1"/>
  <c r="G855" i="1"/>
  <c r="G854" i="1"/>
  <c r="G832" i="1"/>
  <c r="G831" i="1"/>
  <c r="G830" i="1"/>
  <c r="D811" i="1" l="1"/>
  <c r="G811" i="1" s="1"/>
  <c r="G813" i="1"/>
  <c r="G812" i="1"/>
  <c r="D810" i="1"/>
  <c r="G810" i="1" s="1"/>
  <c r="G809" i="1"/>
  <c r="J808" i="1"/>
  <c r="G808" i="1"/>
  <c r="G807" i="1"/>
  <c r="G799" i="1"/>
  <c r="G798" i="1"/>
  <c r="J768" i="1"/>
  <c r="G768" i="1"/>
  <c r="G796" i="1"/>
  <c r="G719" i="1"/>
  <c r="G718" i="1"/>
  <c r="G528" i="1"/>
  <c r="G479" i="1"/>
  <c r="G478" i="1"/>
  <c r="G476" i="1"/>
  <c r="G437" i="1"/>
  <c r="G436" i="1"/>
  <c r="G435" i="1"/>
  <c r="G434" i="1"/>
  <c r="D422" i="1"/>
  <c r="G402" i="1"/>
  <c r="G370" i="1"/>
  <c r="G369" i="1"/>
  <c r="G366" i="1"/>
  <c r="G367" i="1"/>
  <c r="G368" i="1"/>
  <c r="G379" i="1"/>
  <c r="G381" i="1"/>
  <c r="I282" i="1"/>
  <c r="I273" i="1"/>
  <c r="I274" i="1" s="1"/>
  <c r="G282" i="1"/>
  <c r="G751" i="1" l="1"/>
  <c r="G380" i="1"/>
  <c r="K478" i="1"/>
  <c r="I283" i="1"/>
  <c r="D280" i="1" s="1"/>
  <c r="I285" i="1"/>
  <c r="I286" i="1" s="1"/>
  <c r="D284" i="1" s="1"/>
  <c r="G285" i="1"/>
  <c r="D270" i="1"/>
  <c r="G273" i="1"/>
  <c r="G254" i="1"/>
  <c r="J233" i="1"/>
  <c r="G233" i="1"/>
  <c r="G195" i="1"/>
  <c r="G194" i="1"/>
  <c r="G188" i="1"/>
  <c r="G178" i="1"/>
  <c r="G177" i="1"/>
  <c r="G119" i="1"/>
  <c r="G118" i="1"/>
  <c r="G117" i="1"/>
  <c r="G116" i="1"/>
  <c r="G115" i="1"/>
  <c r="G125" i="1"/>
  <c r="G124" i="1"/>
  <c r="G112" i="1"/>
  <c r="G111" i="1"/>
  <c r="I125" i="1"/>
  <c r="J125" i="1" s="1"/>
  <c r="K125" i="1" s="1"/>
  <c r="D274" i="1" l="1"/>
  <c r="G274" i="1" s="1"/>
  <c r="I234" i="1"/>
  <c r="G280" i="1"/>
  <c r="D283" i="1"/>
  <c r="G283" i="1" s="1"/>
  <c r="I279" i="1"/>
  <c r="D276" i="1" s="1"/>
  <c r="D286" i="1"/>
  <c r="G286" i="1" s="1"/>
  <c r="G284" i="1"/>
  <c r="G270" i="1"/>
  <c r="L454" i="1"/>
  <c r="K454" i="1"/>
  <c r="K455" i="1"/>
  <c r="G276" i="1" l="1"/>
  <c r="D279" i="1"/>
  <c r="G279" i="1" s="1"/>
  <c r="M454" i="1"/>
  <c r="N455" i="1" s="1"/>
  <c r="O455" i="1" s="1"/>
  <c r="K456" i="1"/>
  <c r="L456" i="1" s="1"/>
  <c r="M456" i="1" s="1"/>
  <c r="G929" i="1" l="1"/>
  <c r="G930" i="1"/>
  <c r="G871" i="1"/>
  <c r="G872" i="1"/>
  <c r="G776" i="1"/>
  <c r="G440" i="1"/>
  <c r="G432" i="1"/>
  <c r="G431" i="1"/>
  <c r="G430" i="1"/>
  <c r="G439" i="1"/>
  <c r="L476" i="1" l="1"/>
  <c r="I255" i="1" l="1"/>
  <c r="G255" i="1"/>
  <c r="G251" i="1"/>
  <c r="G250" i="1"/>
  <c r="I252" i="1" l="1"/>
  <c r="I256" i="1"/>
  <c r="D231" i="1"/>
  <c r="G773" i="1" l="1"/>
  <c r="G772" i="1"/>
  <c r="G771" i="1"/>
  <c r="G481" i="1"/>
  <c r="G952" i="1" l="1"/>
  <c r="G789" i="1"/>
  <c r="G815" i="1" s="1"/>
  <c r="G469" i="1"/>
  <c r="G466" i="1"/>
  <c r="G462" i="1"/>
  <c r="D931" i="1"/>
  <c r="J524" i="1"/>
  <c r="I524" i="1"/>
  <c r="K524" i="1" l="1"/>
  <c r="D253" i="1" l="1"/>
  <c r="D249" i="1"/>
  <c r="G253" i="1" l="1"/>
  <c r="D256" i="1"/>
  <c r="G256" i="1" s="1"/>
  <c r="G249" i="1"/>
  <c r="D252" i="1"/>
  <c r="G252" i="1" s="1"/>
  <c r="G32" i="1" l="1"/>
  <c r="L266" i="1" l="1"/>
  <c r="G867" i="1" l="1"/>
  <c r="G866" i="1"/>
  <c r="G951" i="1" l="1"/>
  <c r="G944" i="1"/>
  <c r="G932" i="1" l="1"/>
  <c r="G422" i="1" l="1"/>
  <c r="G427" i="1" l="1"/>
  <c r="G426" i="1"/>
  <c r="G425" i="1"/>
  <c r="G424" i="1"/>
  <c r="G429" i="1"/>
  <c r="M535" i="1" l="1"/>
  <c r="G622" i="1" l="1"/>
  <c r="G706" i="1" l="1"/>
  <c r="G106" i="1"/>
  <c r="G105" i="1"/>
  <c r="G925" i="1" l="1"/>
  <c r="G934" i="1"/>
  <c r="G928" i="1"/>
  <c r="G924" i="1"/>
  <c r="G926" i="1"/>
  <c r="G535" i="1" l="1"/>
  <c r="G266" i="1" l="1"/>
  <c r="D234" i="1"/>
  <c r="G234" i="1" s="1"/>
  <c r="I267" i="1" l="1"/>
  <c r="G938" i="1" l="1"/>
  <c r="G941" i="1"/>
  <c r="G942" i="1"/>
  <c r="G943" i="1"/>
  <c r="G915" i="1"/>
  <c r="G914" i="1"/>
  <c r="G916" i="1"/>
  <c r="G922" i="1"/>
  <c r="G931" i="1"/>
  <c r="G933" i="1"/>
  <c r="G262" i="1"/>
  <c r="D265" i="1"/>
  <c r="G939" i="1" l="1"/>
  <c r="G940" i="1"/>
  <c r="D261" i="1"/>
  <c r="D267" i="1"/>
  <c r="G267" i="1" s="1"/>
  <c r="G265" i="1"/>
  <c r="G1019" i="1" l="1"/>
  <c r="C15" i="2" s="1"/>
  <c r="D264" i="1"/>
  <c r="G264" i="1" s="1"/>
  <c r="G261" i="1"/>
  <c r="G23" i="1" l="1"/>
  <c r="G845" i="1" l="1"/>
  <c r="G844" i="1"/>
  <c r="G843" i="1"/>
  <c r="G829" i="1"/>
  <c r="G828" i="1"/>
  <c r="G827" i="1"/>
  <c r="G825" i="1"/>
  <c r="G900" i="1" l="1"/>
  <c r="C13" i="2"/>
  <c r="G763" i="1" l="1"/>
  <c r="G473" i="1" l="1"/>
  <c r="G461" i="1"/>
  <c r="G608" i="1" l="1"/>
  <c r="G401" i="1"/>
  <c r="G399" i="1"/>
  <c r="G247" i="1" l="1"/>
  <c r="G109" i="1"/>
  <c r="G108" i="1"/>
  <c r="G91" i="1"/>
  <c r="G88" i="1"/>
  <c r="G71" i="1"/>
  <c r="G70" i="1"/>
  <c r="G69" i="1"/>
  <c r="G68" i="1"/>
  <c r="G67" i="1"/>
  <c r="G65" i="1"/>
  <c r="G61" i="1"/>
  <c r="G60" i="1"/>
  <c r="G59" i="1"/>
  <c r="G58" i="1"/>
  <c r="G57" i="1"/>
  <c r="G56" i="1"/>
  <c r="G55" i="1"/>
  <c r="G54" i="1"/>
  <c r="G53" i="1"/>
  <c r="G52" i="1"/>
  <c r="G51" i="1"/>
  <c r="G24" i="1"/>
  <c r="G25" i="1"/>
  <c r="G26" i="1"/>
  <c r="G27" i="1"/>
  <c r="G767" i="1" l="1"/>
  <c r="G766" i="1"/>
  <c r="G762" i="1"/>
  <c r="G761" i="1"/>
  <c r="G22" i="1"/>
  <c r="G781" i="1" l="1"/>
  <c r="G31" i="1"/>
  <c r="G30" i="1"/>
  <c r="G28" i="1"/>
  <c r="G44" i="1" l="1"/>
  <c r="C5" i="2" s="1"/>
  <c r="C14" i="2"/>
  <c r="C10" i="2"/>
  <c r="G400" i="1" l="1"/>
  <c r="G397" i="1" l="1"/>
  <c r="G453" i="1" s="1"/>
  <c r="C11" i="2" l="1"/>
  <c r="G913" i="1" l="1"/>
  <c r="G79" i="1" l="1"/>
  <c r="C6" i="2" l="1"/>
  <c r="G231" i="1" l="1"/>
  <c r="C12" i="2" l="1"/>
  <c r="C9" i="2" l="1"/>
  <c r="C8" i="2" l="1"/>
  <c r="G386" i="1"/>
  <c r="C7" i="2" s="1"/>
  <c r="C19" i="2" l="1"/>
  <c r="C20" i="2" s="1"/>
  <c r="C21" i="2" s="1"/>
  <c r="F16" i="2" l="1"/>
  <c r="F19" i="2"/>
  <c r="F18" i="2"/>
</calcChain>
</file>

<file path=xl/sharedStrings.xml><?xml version="1.0" encoding="utf-8"?>
<sst xmlns="http://schemas.openxmlformats.org/spreadsheetml/2006/main" count="1670" uniqueCount="573">
  <si>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</si>
  <si>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</si>
  <si>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</si>
  <si>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</si>
  <si>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</si>
  <si>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</si>
  <si>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</si>
  <si>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</si>
  <si>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</si>
  <si>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</si>
  <si>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</si>
  <si>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</si>
  <si>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</si>
  <si>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</si>
  <si>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</si>
  <si>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</si>
  <si>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</si>
  <si>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</si>
  <si>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</si>
  <si>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</si>
  <si>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</si>
  <si>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</si>
  <si>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</si>
  <si>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</si>
  <si>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</si>
  <si>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</si>
  <si>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</si>
  <si>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</si>
  <si>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</si>
  <si>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</si>
  <si>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</si>
  <si>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</si>
  <si>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</si>
  <si>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</si>
  <si>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</si>
  <si>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</si>
  <si>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</si>
  <si>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</si>
  <si>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</si>
  <si>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</si>
  <si>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</si>
  <si>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</si>
  <si>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</si>
  <si>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</si>
  <si>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</si>
  <si>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</si>
  <si>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 xml:space="preserve">(a) Excavation quantities are measured to the faces of concrete members. Rates shall include for all additional excavation required to place the formwork , back fill , dewatering and others </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</si>
  <si>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</si>
  <si>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</si>
  <si>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</si>
  <si>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</si>
  <si>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</si>
  <si>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</si>
  <si>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</si>
  <si>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</si>
  <si>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</si>
  <si>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</si>
  <si>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</si>
  <si>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</si>
  <si>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</si>
  <si>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</si>
  <si>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</si>
  <si>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</si>
  <si>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</si>
  <si>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</si>
  <si>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</si>
  <si>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</si>
  <si>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</si>
  <si>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</si>
  <si>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</si>
  <si>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</si>
  <si>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</si>
  <si>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</si>
  <si>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</si>
  <si>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</si>
  <si>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</si>
  <si>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</si>
  <si>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</si>
  <si>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</si>
  <si>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</si>
  <si>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</si>
  <si>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</si>
  <si>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</si>
  <si>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</si>
  <si>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</si>
  <si>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</si>
  <si>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</si>
  <si>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</si>
  <si>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</si>
  <si>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</si>
  <si>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</si>
  <si>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</si>
  <si>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</si>
  <si>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</si>
  <si>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</si>
  <si>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</si>
  <si>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</si>
  <si>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</si>
  <si>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</si>
  <si>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</si>
  <si>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</si>
  <si>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</si>
  <si>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</si>
  <si>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</si>
  <si>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</si>
  <si>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</si>
  <si>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</si>
  <si>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</si>
  <si>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</si>
  <si>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</si>
  <si>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</si>
  <si>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</si>
  <si>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</si>
  <si>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</si>
  <si>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</si>
  <si>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</si>
  <si>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</si>
  <si>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</si>
  <si>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</si>
  <si>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</si>
  <si>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</si>
  <si>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</si>
  <si>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</si>
  <si>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</si>
  <si>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</si>
  <si>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</si>
  <si>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</si>
  <si>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</si>
  <si>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</si>
  <si>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</si>
  <si>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</si>
  <si>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</si>
  <si>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</si>
  <si>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</si>
  <si>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</si>
  <si>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</si>
  <si>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</si>
  <si>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</si>
  <si>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</si>
  <si>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</si>
  <si>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</si>
  <si>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</si>
  <si>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</si>
  <si>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</si>
  <si>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</si>
  <si>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</si>
  <si>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</si>
  <si>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</si>
  <si>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</si>
  <si>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</si>
  <si>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</si>
  <si>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</si>
  <si>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</si>
  <si>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</si>
  <si>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</si>
  <si>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</si>
  <si>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</si>
  <si>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</si>
  <si>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</si>
  <si>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</si>
  <si>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</si>
  <si>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</si>
  <si>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</si>
  <si>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</si>
  <si>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</si>
  <si>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</si>
  <si>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PREPARED BY</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</si>
  <si>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</si>
  <si>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</si>
  <si>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</si>
  <si>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</si>
  <si>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</si>
  <si>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</si>
  <si>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</si>
  <si>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</si>
  <si>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</si>
  <si>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</si>
  <si>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</si>
  <si>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</si>
  <si>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</si>
  <si>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</si>
  <si>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</si>
  <si>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</si>
  <si>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</si>
  <si>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</si>
  <si>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</si>
  <si>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</si>
  <si>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</si>
  <si>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</si>
  <si>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</si>
  <si>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</si>
  <si>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</si>
  <si>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</si>
  <si>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</si>
  <si>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</si>
  <si>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</si>
  <si>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</si>
  <si>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</si>
  <si>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</si>
  <si>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</si>
  <si>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</si>
  <si>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Charges for Piping for  fresh water Pipe work</t>
  </si>
  <si>
    <t>Charges for Piping for Ground water supply pipe work.</t>
  </si>
  <si>
    <t>DRAINAGE</t>
  </si>
  <si>
    <t>GROUND FLOOR SLAB</t>
  </si>
  <si>
    <t>Foundations</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</si>
  <si>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</si>
  <si>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</si>
  <si>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</si>
  <si>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</si>
  <si>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</si>
  <si>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</si>
  <si>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</si>
  <si>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</si>
  <si>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</si>
  <si>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</si>
  <si>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</si>
  <si>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</si>
  <si>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</si>
  <si>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</si>
  <si>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</si>
  <si>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</si>
  <si>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</si>
  <si>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</si>
  <si>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</si>
  <si>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</si>
  <si>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</si>
  <si>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</si>
  <si>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</si>
  <si>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</si>
  <si>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</si>
  <si>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</si>
  <si>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</si>
  <si>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</si>
  <si>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</si>
  <si>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</si>
  <si>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</si>
  <si>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</si>
  <si>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</si>
  <si>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</si>
  <si>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</si>
  <si>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</si>
  <si>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Homogeneous/Porcelain Step Tiles</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</si>
  <si>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</si>
  <si>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</si>
  <si>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</si>
  <si>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</si>
  <si>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</si>
  <si>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</si>
  <si>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</si>
  <si>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</si>
  <si>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</si>
  <si>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</si>
  <si>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</si>
  <si>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</si>
  <si>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</si>
  <si>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</si>
  <si>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</si>
  <si>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</si>
  <si>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</si>
  <si>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</si>
  <si>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</si>
  <si>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</si>
  <si>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</si>
  <si>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Ceiling Light - L15</t>
  </si>
  <si>
    <t>Cabling to Data Network points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</si>
  <si>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</si>
  <si>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</si>
  <si>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</si>
  <si>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</si>
  <si>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</si>
  <si>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</si>
  <si>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</si>
  <si>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</si>
  <si>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4.4</t>
  </si>
  <si>
    <t>SLAB BEAM</t>
  </si>
  <si>
    <t>20mm dia deformed bars - 6m</t>
  </si>
  <si>
    <t>25mm dia deformed bars - 6m</t>
  </si>
  <si>
    <t>4.5</t>
  </si>
  <si>
    <t>WINDOW SILL &amp; LINTELS</t>
  </si>
  <si>
    <t xml:space="preserve">Charges for construction of R.c.c. Sills and Lintels for the windows and doors as per details. Rate shall include for shuttering and Reinforcement works complete. </t>
  </si>
  <si>
    <t>PARAPET WALL</t>
  </si>
  <si>
    <t>Interior walls</t>
  </si>
  <si>
    <t>External walls</t>
  </si>
  <si>
    <t>Class rooms</t>
  </si>
  <si>
    <t>Store</t>
  </si>
  <si>
    <t>Staircase</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</si>
  <si>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</si>
  <si>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</si>
  <si>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</si>
  <si>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ROOFING</t>
  </si>
  <si>
    <t>Mtr</t>
  </si>
  <si>
    <t>50mm thick double side Aluminium Foiled Rock wool Insulation laid as heat resistant below roofing sheet.</t>
  </si>
  <si>
    <t>25mm grid G.I. mesh laid as support to under the Rock wool insulation</t>
  </si>
  <si>
    <t>Capping -  Supply and Fixing 600mm wide Lysaght Ridge Capping</t>
  </si>
  <si>
    <t>mtr</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</si>
  <si>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</si>
  <si>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</si>
  <si>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</si>
  <si>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</si>
  <si>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</si>
  <si>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Ceiling Light - L 07</t>
  </si>
  <si>
    <t>Ceiling Light - L10</t>
  </si>
  <si>
    <t>1 x 15A Power Socket - P15 &amp; P16</t>
  </si>
  <si>
    <t>2 Gang 1 way Switch - P20</t>
  </si>
  <si>
    <t>3 Gang 1 way Switch - P21</t>
  </si>
  <si>
    <t>4 Gang 1 way Switch - P22</t>
  </si>
  <si>
    <t>Fan Dimmer Switch - P23</t>
  </si>
  <si>
    <t>Telephone Socket outlet - T01</t>
  </si>
  <si>
    <t>TV  Socket outlet - T10</t>
  </si>
  <si>
    <t>VGA Sockets - VGA 01 &amp; VGA 02</t>
  </si>
  <si>
    <t>Cabling to Multi media Projectors</t>
  </si>
  <si>
    <t>Cabling to Speaker System</t>
  </si>
  <si>
    <t xml:space="preserve"> TOTAL           Mrf</t>
  </si>
  <si>
    <t>6% GST           Mrf</t>
  </si>
  <si>
    <t>GRAND TOTAL          Mrf</t>
  </si>
  <si>
    <t>10mm dia MS Round bars - 6m</t>
  </si>
  <si>
    <t>12</t>
  </si>
  <si>
    <t>TOTAL OF BILL No: 12 - Carried over to summary</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</si>
  <si>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</si>
  <si>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</si>
  <si>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</si>
  <si>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</si>
  <si>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</si>
  <si>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</si>
  <si>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</si>
  <si>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</si>
  <si>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</si>
  <si>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</si>
  <si>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</si>
  <si>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</si>
  <si>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</si>
  <si>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</si>
  <si>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</si>
  <si>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</si>
  <si>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14</t>
  </si>
  <si>
    <t>TOTAL OF BILL No: 14 - Carried over to summary</t>
  </si>
  <si>
    <t>Exhaust Fan (Mechanical Ventiator)</t>
  </si>
  <si>
    <t>1 Gang 1 way Switch - P19</t>
  </si>
  <si>
    <t>MINISTRY OF EDUCATION</t>
  </si>
  <si>
    <t>REPUBLIC OF MALDIVES</t>
  </si>
  <si>
    <t>CLIENT</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</si>
  <si>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</si>
  <si>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</si>
  <si>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</si>
  <si>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</si>
  <si>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</si>
  <si>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</si>
  <si>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</si>
  <si>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</si>
  <si>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</si>
  <si>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</si>
  <si>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</si>
  <si>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</si>
  <si>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</si>
  <si>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</si>
  <si>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</si>
  <si>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</si>
  <si>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</si>
  <si>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</si>
  <si>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</si>
  <si>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</si>
  <si>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</si>
  <si>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</si>
  <si>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</si>
  <si>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</si>
  <si>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</si>
  <si>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</si>
  <si>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</si>
  <si>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</si>
  <si>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</si>
  <si>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</si>
  <si>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</si>
  <si>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</si>
  <si>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</si>
  <si>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Toilet -  W/C</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</si>
  <si>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</si>
  <si>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</si>
  <si>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</si>
  <si>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</si>
  <si>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</si>
  <si>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</si>
  <si>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</si>
  <si>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6mm dia Round bars - 6m</t>
  </si>
  <si>
    <t>13.3.1</t>
  </si>
  <si>
    <t>MASONRY - BLOCK WORK</t>
  </si>
  <si>
    <t xml:space="preserve">a ) </t>
  </si>
  <si>
    <t>300 x 150 x 150mm Solid Block work</t>
  </si>
  <si>
    <t>DOORS &amp; WINDOWS</t>
  </si>
  <si>
    <t>Below ground floor - Bitumen paint</t>
  </si>
  <si>
    <t>ST1</t>
  </si>
  <si>
    <t>ST2</t>
  </si>
  <si>
    <t>CB1, 250 x 500mm</t>
  </si>
  <si>
    <t>150mm thick Block wall with 300 x 150 x 150mm thick Solid blocks.</t>
  </si>
  <si>
    <t>Corridor</t>
  </si>
  <si>
    <t>Balcony</t>
  </si>
  <si>
    <t>Roof Terrace / Gutter</t>
  </si>
  <si>
    <t>Toilet -  W/C &amp; wash</t>
  </si>
  <si>
    <t>Vanity Counter</t>
  </si>
  <si>
    <t>600 x 600mm Non Slip Ceramic tiles</t>
  </si>
  <si>
    <t>Toilet  @ 2.4M height</t>
  </si>
  <si>
    <t>600 x 600mm Non slip Ceramic tiles</t>
  </si>
  <si>
    <t>Terrace /  Gutter slab</t>
  </si>
  <si>
    <t xml:space="preserve">WALL TILING </t>
  </si>
  <si>
    <t>300mm high Wall tiling on inside surface of Gutter wall &amp; Parapet wall</t>
  </si>
  <si>
    <t>1)</t>
  </si>
  <si>
    <t>Ground floor - Toilet</t>
  </si>
  <si>
    <r>
      <t xml:space="preserve">Painting, </t>
    </r>
    <r>
      <rPr>
        <b/>
        <sz val="9"/>
        <rFont val="Arial"/>
        <family val="2"/>
      </rPr>
      <t>Nippon brand Emulsion paint</t>
    </r>
    <r>
      <rPr>
        <sz val="9"/>
        <rFont val="Arial"/>
        <family val="2"/>
      </rPr>
      <t>,  Soffit of Slab / Ceiling.</t>
    </r>
  </si>
  <si>
    <t>Roof Truss - Supply, Fabrication and Fixing Roof Trusses complete with  Base plates, Bolts, nuts, Washers etc including  Paint Finishes. Refer drawing detail    S 18</t>
  </si>
  <si>
    <t>Mirror set (1.2mtr L x 600mm H)</t>
  </si>
  <si>
    <t xml:space="preserve">Supply and Installation of STELCO approved Main Panel board with 5nos KWH meters. </t>
  </si>
  <si>
    <t xml:space="preserve">1 x 13A Power Socket - P01 </t>
  </si>
  <si>
    <t>2 x 13A Power Socket - P03</t>
  </si>
  <si>
    <t>Sound system - Speaker - T03</t>
  </si>
  <si>
    <t>Data Socket outlet - T02</t>
  </si>
  <si>
    <t>STAGE</t>
  </si>
  <si>
    <t>13.1.1</t>
  </si>
  <si>
    <t xml:space="preserve">Below Stage </t>
  </si>
  <si>
    <t>Both sides of the wall below stage</t>
  </si>
  <si>
    <t>Timber Joists -  75 x 150mm @ 400mm c/c</t>
  </si>
  <si>
    <t>FLOOR FINISHES</t>
  </si>
  <si>
    <t>25mm thick Plywood Decking</t>
  </si>
  <si>
    <t xml:space="preserve">Supply, Fabrication and Fixing RAILING G.I.PIPE complete including paint finishes - Fixed at Middle of the Staircase as per details </t>
  </si>
  <si>
    <t xml:space="preserve">Supply, Fabrication and Fixing RAILING G.I.PIPE complete including paint finishes Fixed at both Sides of the Staircase as per details </t>
  </si>
  <si>
    <t>G.I. PIPE Railing  - BALCONY</t>
  </si>
  <si>
    <t xml:space="preserve">Supply, Fabrication and Fixing RAILING G.I.PIPE complete including paint finishes </t>
  </si>
  <si>
    <t>5.6</t>
  </si>
  <si>
    <t>PROJECT: NILANDHOO SCHOOL</t>
  </si>
  <si>
    <t>NILANDHOO SCHOOL</t>
  </si>
  <si>
    <t>PROJECT : NILANDHOO SCHOOL</t>
  </si>
  <si>
    <t>F9, 1150 x 1150 x 350mm x 10nos.</t>
  </si>
  <si>
    <t>ST1 &amp; FB1, 2650 x1650 x 350mm x 2 nos.</t>
  </si>
  <si>
    <t>F1, 1300 x 1300 x 350mm x 7 nos.</t>
  </si>
  <si>
    <t>F2, 1200 x 1200 x 350mm x 5 nos.</t>
  </si>
  <si>
    <t>F3, 1500 x 1500 x 350mm x 8 nos.</t>
  </si>
  <si>
    <t>F4, 2000 x 2000 x 350mm x 6 nos.</t>
  </si>
  <si>
    <t>F5, 2100 x 2100 x 350mm x 2 nos.</t>
  </si>
  <si>
    <t>F6, 1800 x 1800 x 350mm x 7 nos.</t>
  </si>
  <si>
    <t>F7, 1700 x 1700 x 350mm x 3 nos.</t>
  </si>
  <si>
    <t>F8, 1900 x 1900 x 350mm x 4 nos.</t>
  </si>
  <si>
    <t>ST2 &amp; FB2, 2875 x 1450 x 350mm x 3 nos.</t>
  </si>
  <si>
    <t>Tie beam TB, 250 x 400mm</t>
  </si>
  <si>
    <t>Highly compacted hard core backfilling at excavated area for foundations up to Ground level.</t>
  </si>
  <si>
    <t>200mm thick highly compacted hard core from Ground floor to below ground floor slab</t>
  </si>
  <si>
    <t>C1 ,  450 x 250mm x 40nos: (4400mm H)</t>
  </si>
  <si>
    <t>C2 , 500 x 250mm x 14nos:(4400mm H)</t>
  </si>
  <si>
    <t>C3 ,  250 x 250mm x 9nos: (4400mm H)</t>
  </si>
  <si>
    <t>R.c.c. Staircase (Main Staircase)</t>
  </si>
  <si>
    <t>R.c.c. Staircase up to First floor level</t>
  </si>
  <si>
    <t>F1 to F9</t>
  </si>
  <si>
    <t>TB, 250 x 400mm</t>
  </si>
  <si>
    <t>C1 , 450 x 250mm x 40nos:</t>
  </si>
  <si>
    <t>C3, 250 x 250mm x 9nos</t>
  </si>
  <si>
    <t>C1 ,  450 x 250mm x 40nos:(3500mm H)</t>
  </si>
  <si>
    <t>C2 , 500 x 250mm x 14nos:(3500mm H)</t>
  </si>
  <si>
    <t>C3 ,  250 x 250mm x 9nos: (3500mm H)</t>
  </si>
  <si>
    <t>C2, 500 x 250mm x 14nos</t>
  </si>
  <si>
    <t>C1 ,  450 x 250mm x 40nos: (4250mm H)</t>
  </si>
  <si>
    <t>C2 , 500 x 250mm x 14nos:(4250mm H)</t>
  </si>
  <si>
    <t>C3 ,  250 x 250mm x 9nos: (4250mm H)</t>
  </si>
  <si>
    <t>B1 , 250 x 650mm</t>
  </si>
  <si>
    <t>B3 ,250 x 650mm</t>
  </si>
  <si>
    <t>B2 , 200 x 450mm</t>
  </si>
  <si>
    <t>CB1 ,250 x 650mm</t>
  </si>
  <si>
    <t>C1 ,  450 x 250mm x 40nos: (3550mm H)</t>
  </si>
  <si>
    <t>C2 , 500 x 250mm x 14nos: (3550mm H)</t>
  </si>
  <si>
    <t>C1 ,  450 x 250mm x 40nos:(3550mm H)</t>
  </si>
  <si>
    <t>RB5, 200 x 500mm</t>
  </si>
  <si>
    <t>RB4, 200 x 450mm</t>
  </si>
  <si>
    <t>RB3, 200 x 500mm</t>
  </si>
  <si>
    <t>RB1, 250 x 750mm</t>
  </si>
  <si>
    <t>ROOF SLAB</t>
  </si>
  <si>
    <t>C2 , 500 x 250mm x 14nos:(3550mm H)</t>
  </si>
  <si>
    <t>C3 ,  250 x 250mm x 9nos: (3550mm H)</t>
  </si>
  <si>
    <t>C2 , 500 x 250mm x 14nos: (3500mm H)</t>
  </si>
  <si>
    <t>C3 ,  250 x 250mm x 9nos:  (3550mm H)</t>
  </si>
  <si>
    <t>B2, 200 x 450mm</t>
  </si>
  <si>
    <t>B3, 250 x 650mm</t>
  </si>
  <si>
    <t>RB1 , 250 x 750mm</t>
  </si>
  <si>
    <t>RB3 , 200 x 500mm</t>
  </si>
  <si>
    <t>RB5 , 200 x 500mm</t>
  </si>
  <si>
    <t>RB4 , 200 x 450mm</t>
  </si>
  <si>
    <t>200mm thick x 600mm high R.c.c. Parapet wall around roof top slab.</t>
  </si>
  <si>
    <t>D2 - Solid Timber framed door with Soild Timber door panel, 950 x 2000mm.</t>
  </si>
  <si>
    <t>W1 - 80micron White Powder Coated Aluminium framed Window with Sliding glass panels and Fixed Louvered &amp; glass panels at top , 2440 x  1665mm</t>
  </si>
  <si>
    <t>W2 - 80micron White Powder Coated Aluminium framed Window with Sliding glass panels and Fixed glass panels at top , 1550 x  1000mm</t>
  </si>
  <si>
    <t>W3 - 80micron White Powder Coated Aluminium framed Window with Sliding glass panels and Fixed glass panels at top , 1850 x  1665mm</t>
  </si>
  <si>
    <t>W4 - 80micron White Powder Coated Aluminium framed Window with fixed aluminium panels , 1850 x  670mm</t>
  </si>
  <si>
    <t>W5 - 80micron White Powder Coated Aluminium framed Window with fixed aluminium panels , 750 x  700mm</t>
  </si>
  <si>
    <t>D1 -80 micron White Powder coated Aluminium framed door with 6mm thick Laminated Blue glass panels, 1850 x 2620mm.</t>
  </si>
  <si>
    <t>D4 - 80micron White powder coated aluminium framed  door with Aluminium door panel including aluminium louvers, 950 x 2000mm.</t>
  </si>
  <si>
    <t>D3 - 80micron White powder coated aluminium framed  door with Aluminium door panel, 950 x 2000mm.</t>
  </si>
  <si>
    <t>D5 - 80micron White powder coated aluminium framed  door with Aluminium door panel including aluminium louvers, 700 x 2000mm.</t>
  </si>
  <si>
    <t>100mm thick x 1050mm high R.c.c. Parapet wall at Catwalk</t>
  </si>
  <si>
    <t>100mm thick x 1050mm high r.c.c. parapet wall at Catwalk.</t>
  </si>
  <si>
    <t>100mm thick x 1050mm high R.c.c. Parapet at Catwalk</t>
  </si>
  <si>
    <t>Staircase (Main)</t>
  </si>
  <si>
    <t>Staircase (Grid AB 4)</t>
  </si>
  <si>
    <t>Laboratories</t>
  </si>
  <si>
    <t>Stores</t>
  </si>
  <si>
    <t xml:space="preserve">Preparatory </t>
  </si>
  <si>
    <t>Toilets</t>
  </si>
  <si>
    <t>Entrance Steps</t>
  </si>
  <si>
    <t>Mop</t>
  </si>
  <si>
    <t>Skirting - 600 x 100mm Ceramic Tiles</t>
  </si>
  <si>
    <t>Multipurpose hall</t>
  </si>
  <si>
    <t>450 x 450mm Polished Ceramic tiles</t>
  </si>
  <si>
    <r>
      <t xml:space="preserve">(c) Tiles for all general areas shall be </t>
    </r>
    <r>
      <rPr>
        <b/>
        <sz val="9"/>
        <rFont val="Arial"/>
        <family val="2"/>
      </rPr>
      <t>450 x 150mm Polished Ceramic tiles &amp; Corridor and balconies 600 x 600mm non slip ceramic tiles.</t>
    </r>
  </si>
  <si>
    <t>Walkway</t>
  </si>
  <si>
    <t>Catwalkway</t>
  </si>
  <si>
    <t>WATER PROOFING</t>
  </si>
  <si>
    <t>Charges for Apply 2 coats of water proofing compound Conmix WS2 as per specifications</t>
  </si>
  <si>
    <t>Ground floor - Toilets</t>
  </si>
  <si>
    <t>First floor - Toilets</t>
  </si>
  <si>
    <t>Roof - Terrace / R.c.c. Gutter</t>
  </si>
  <si>
    <t>Second floor</t>
  </si>
  <si>
    <t>G.I. PIPE Railing  - Staircase 1 &amp; 2</t>
  </si>
  <si>
    <t>TR1 - 12.6mtr length</t>
  </si>
  <si>
    <t>TR2 -  8.9mtr length</t>
  </si>
  <si>
    <t>TR3 - 4.9mtr length</t>
  </si>
  <si>
    <t>TR4 - 5.1mtr length</t>
  </si>
  <si>
    <t>TR5 - 4.1mtr length</t>
  </si>
  <si>
    <t>TR6 - 6.95mtr length</t>
  </si>
  <si>
    <t>BB1 - 4.3mtr length</t>
  </si>
  <si>
    <t>BB2 - 2.9mtr length</t>
  </si>
  <si>
    <t>Supply and Fixing C - Purlins 100 10 (GI) @ 900mm spacing</t>
  </si>
  <si>
    <r>
      <t>Floor Paint - Apply 2 coats of Epoxy floor paint finishes including one coat primer in</t>
    </r>
    <r>
      <rPr>
        <b/>
        <sz val="9"/>
        <rFont val="Arial"/>
        <family val="2"/>
      </rPr>
      <t xml:space="preserve"> Multi purpose hall floor.</t>
    </r>
  </si>
  <si>
    <r>
      <rPr>
        <b/>
        <sz val="9"/>
        <rFont val="Arial"/>
        <family val="2"/>
      </rPr>
      <t>Floor Paint</t>
    </r>
    <r>
      <rPr>
        <sz val="9"/>
        <rFont val="Arial"/>
        <family val="2"/>
      </rPr>
      <t xml:space="preserve"> - Apply 2 coats of Epoxy floor paint finishes including one coat primer on</t>
    </r>
    <r>
      <rPr>
        <b/>
        <sz val="9"/>
        <rFont val="Arial"/>
        <family val="2"/>
      </rPr>
      <t xml:space="preserve"> Catwalkway floor.</t>
    </r>
  </si>
  <si>
    <t>6MM THICK CEMENT BOARD CEILING ON 50 X 35MM THICK TIMBER FRAME</t>
  </si>
  <si>
    <t>Roof Level - Eave Ceiling</t>
  </si>
  <si>
    <r>
      <rPr>
        <b/>
        <u/>
        <sz val="9"/>
        <rFont val="Arial"/>
        <family val="2"/>
      </rPr>
      <t>CONNECTION RAIN WATER PIPE NETWORK</t>
    </r>
    <r>
      <rPr>
        <sz val="9"/>
        <rFont val="Arial"/>
        <family val="2"/>
      </rPr>
      <t>: Charges for Laying pipes at ground floor and connecting all the Rainwater pipe from the roof to the collecting tank.</t>
    </r>
  </si>
  <si>
    <r>
      <rPr>
        <b/>
        <u/>
        <sz val="9"/>
        <rFont val="Arial"/>
        <family val="2"/>
      </rPr>
      <t>RAINWATER DOWN PIPES</t>
    </r>
    <r>
      <rPr>
        <sz val="9"/>
        <rFont val="Arial"/>
        <family val="2"/>
      </rPr>
      <t>: Charges for piping for all Rain water discharge pipes and Drainage pipes including fittings and fixtures from the Roof Gutter to Ground floor.</t>
    </r>
  </si>
  <si>
    <t>Wall mount Light - L 09</t>
  </si>
  <si>
    <t>Weather proof wall Light - L17</t>
  </si>
  <si>
    <t>Sound system - Speaker - T11</t>
  </si>
  <si>
    <t>Fan Dimmer Switch - P23 (including hall)</t>
  </si>
  <si>
    <t>2 Gang 1 way Switch - P20 (incl. Hall lights)</t>
  </si>
  <si>
    <t>3 Gang 1 way Switch - P21 (incl. Hall lights)</t>
  </si>
  <si>
    <t>10 )</t>
  </si>
  <si>
    <t xml:space="preserve">Laboratory sink (300mm deep Ceramic) </t>
  </si>
  <si>
    <t>11 )</t>
  </si>
  <si>
    <t>Wasting trap &amp; plug</t>
  </si>
  <si>
    <t>12 )</t>
  </si>
  <si>
    <t>Laboratory Sink taps</t>
  </si>
  <si>
    <t>7.3.2</t>
  </si>
  <si>
    <t>7.3.1</t>
  </si>
  <si>
    <t>Charges for supply, Fabrication and Installation of Laboratory sink cupboards as per client's requirement and specifications.</t>
  </si>
  <si>
    <t>Ground floor - Laboratory Sink Cup boards</t>
  </si>
  <si>
    <t xml:space="preserve">Roof Covering at Roof level - Supply and Fixing BHP Lysaght Roofing sheet </t>
  </si>
  <si>
    <t>7.4</t>
  </si>
  <si>
    <t>ROOF FRAMING</t>
  </si>
  <si>
    <t>50 x 150mm Timber Rafters</t>
  </si>
  <si>
    <t>50 x 50mm Timber battens</t>
  </si>
  <si>
    <t>25 x 200mm Timber Fascia board</t>
  </si>
  <si>
    <t>75 x 100mm Timber wall Plate</t>
  </si>
  <si>
    <t>100 x 200mm Timber to be fixed on the wall</t>
  </si>
  <si>
    <t>First floor - Toilet &amp; Balcony</t>
  </si>
  <si>
    <t>Roof covering with Lysaght roofing sheets</t>
  </si>
  <si>
    <t>First floor - Eave Ceiling</t>
  </si>
  <si>
    <t>Charges for construction of 100mm thick R.c.c.Parapet wall at First floor as per details. Rate shall include for Shuttering and Reinforcement work complete. (refer drawing no: A 12)</t>
  </si>
  <si>
    <t>R.c.c. Staircase (Main)</t>
  </si>
  <si>
    <t>R.c.c. Staircase (Grid AB4)</t>
  </si>
  <si>
    <t>Counter Slab &amp; wall for Laboratory sink</t>
  </si>
  <si>
    <t>COUNTER SLAB</t>
  </si>
  <si>
    <t>75mm thick R.c.c.slab for  Laboratory sink counter, complete including shuttering reinforcement and concrete works.</t>
  </si>
  <si>
    <t>TYPE 01 - Coated Aluminium frame with Louvered aluminium panels, 650mm high (Length to be verified from the floor plan / Elevations)</t>
  </si>
  <si>
    <t>BILL No: 12 - STAGE</t>
  </si>
  <si>
    <t>BILL No: 13 - ADDITIONS</t>
  </si>
  <si>
    <t>BILL No: 14 - OMISSIONS</t>
  </si>
  <si>
    <t>Timber Staircase</t>
  </si>
  <si>
    <t>Synthetic Novilon vinyl  floor finish to the stage</t>
  </si>
  <si>
    <t>ST-D1, 1200 x 1280mm</t>
  </si>
  <si>
    <t>(Only for Indicative purpose)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</si>
</sst>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22"/>
      <name val="Arial Black"/>
      <family val="2"/>
    </font>
    <font>
      <sz val="11"/>
      <name val="Calibri"/>
      <family val="2"/>
      <scheme val="minor"/>
    </font>
    <font>
      <sz val="11"/>
      <name val="Arial Black"/>
      <family val="2"/>
    </font>
    <font>
      <b/>
      <sz val="16"/>
      <name val="Arial Black"/>
      <family val="2"/>
    </font>
    <font>
      <b/>
      <u/>
      <sz val="11"/>
      <name val="Arial Black"/>
      <family val="2"/>
    </font>
    <font>
      <b/>
      <sz val="11"/>
      <name val="Arial Black"/>
      <family val="2"/>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u/>
      <sz val="9"/>
      <color theme="1"/>
      <name val="Arial"/>
      <family val="2"/>
    </font>
    <font>
      <b/>
      <sz val="9"/>
      <color indexed="9"/>
      <name val="Arial"/>
      <family val="2"/>
    </font>
    <font>
      <sz val="10"/>
      <name val="Arial"/>
      <family val="2"/>
    </font>
    <font>
      <b/>
      <u/>
      <sz val="10"/>
      <name val="Arial"/>
      <family val="2"/>
    </font>
    <font>
      <b/>
      <sz val="10"/>
      <name val="Arial"/>
      <family val="2"/>
    </font>
    <font>
      <sz val="10"/>
      <color theme="1"/>
      <name val="Arial"/>
      <family val="2"/>
    </font>
    <font>
      <sz val="10"/>
      <color theme="1"/>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indexed="9"/>
        <bgColor indexed="26"/>
      </patternFill>
    </fill>
  </fills>
  <borders count="3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s>
  <cellStyleXfs count="7">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167" fontId="27" fillId="0" borderId="0" applyFill="0" applyBorder="0" applyAlignment="0" applyProtection="0"/>
    <xf numFmtId="0" fontId="27" fillId="0" borderId="0"/>
    <xf numFmtId="169" fontId="27" fillId="0" borderId="0" applyFill="0" applyBorder="0" applyAlignment="0" applyProtection="0"/>
  </cellStyleXfs>
  <cellXfs count="423">
    <xf numFmtId="0" fontId="0" fillId="0" borderId="0" xfId="0"/>
    <xf numFmtId="49" fontId="3" fillId="2" borderId="3" xfId="0" applyNumberFormat="1" applyFont="1" applyFill="1" applyBorder="1"/>
    <xf numFmtId="0" fontId="3" fillId="2" borderId="3" xfId="0" applyFont="1" applyFill="1" applyBorder="1"/>
    <xf numFmtId="43" fontId="3" fillId="2" borderId="3" xfId="1" applyFont="1" applyFill="1" applyBorder="1"/>
    <xf numFmtId="49" fontId="6" fillId="2" borderId="4" xfId="0" applyNumberFormat="1" applyFont="1" applyFill="1" applyBorder="1"/>
    <xf numFmtId="0" fontId="6" fillId="2" borderId="5" xfId="0" applyFont="1" applyFill="1" applyBorder="1" applyAlignment="1">
      <alignment horizontal="center"/>
    </xf>
    <xf numFmtId="0" fontId="6" fillId="2" borderId="6" xfId="0" applyFont="1" applyFill="1" applyBorder="1" applyAlignment="1">
      <alignment horizontal="center"/>
    </xf>
    <xf numFmtId="49" fontId="7" fillId="2" borderId="7" xfId="0" applyNumberFormat="1" applyFont="1" applyFill="1" applyBorder="1" applyAlignment="1">
      <alignment horizontal="center"/>
    </xf>
    <xf numFmtId="0" fontId="7" fillId="2" borderId="8" xfId="0" applyFont="1" applyFill="1" applyBorder="1" applyAlignment="1">
      <alignment horizontal="left"/>
    </xf>
    <xf numFmtId="43" fontId="7" fillId="2" borderId="9" xfId="1"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3" fillId="2" borderId="4" xfId="0" applyNumberFormat="1" applyFont="1" applyFill="1" applyBorder="1"/>
    <xf numFmtId="0" fontId="8" fillId="2" borderId="5" xfId="0" applyFont="1" applyFill="1" applyBorder="1" applyAlignment="1">
      <alignment horizontal="center"/>
    </xf>
    <xf numFmtId="43" fontId="8" fillId="2" borderId="6" xfId="0" applyNumberFormat="1" applyFont="1" applyFill="1" applyBorder="1" applyAlignment="1">
      <alignment horizontal="center"/>
    </xf>
    <xf numFmtId="164" fontId="0" fillId="0" borderId="0" xfId="0" applyNumberFormat="1"/>
    <xf numFmtId="0" fontId="9" fillId="0" borderId="0" xfId="0" applyFont="1" applyAlignment="1">
      <alignment horizontal="center"/>
    </xf>
    <xf numFmtId="0" fontId="10" fillId="0" borderId="0" xfId="0" applyFont="1"/>
    <xf numFmtId="0" fontId="11" fillId="0" borderId="0" xfId="0" applyFont="1"/>
    <xf numFmtId="0" fontId="12" fillId="0" borderId="0" xfId="0" applyFont="1" applyAlignment="1">
      <alignment horizontal="center"/>
    </xf>
    <xf numFmtId="0" fontId="9" fillId="0" borderId="0" xfId="0" applyFont="1" applyAlignment="1">
      <alignment horizontal="center" vertical="center"/>
    </xf>
    <xf numFmtId="0" fontId="10" fillId="0" borderId="0" xfId="0" applyFont="1" applyAlignment="1">
      <alignment vertical="center"/>
    </xf>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horizontal="center"/>
    </xf>
    <xf numFmtId="0" fontId="15" fillId="0" borderId="0" xfId="0" applyFont="1"/>
    <xf numFmtId="49" fontId="16" fillId="0" borderId="0" xfId="0" applyNumberFormat="1" applyFont="1"/>
    <xf numFmtId="0" fontId="16" fillId="0" borderId="0" xfId="0" applyFont="1"/>
    <xf numFmtId="0" fontId="16" fillId="0" borderId="0" xfId="0" applyFont="1" applyAlignment="1">
      <alignment horizontal="center"/>
    </xf>
    <xf numFmtId="43" fontId="16" fillId="0" borderId="0" xfId="1" applyNumberFormat="1" applyFont="1"/>
    <xf numFmtId="165" fontId="16" fillId="0" borderId="0" xfId="1" applyNumberFormat="1" applyFont="1"/>
    <xf numFmtId="43" fontId="16" fillId="0" borderId="0" xfId="1" applyFont="1"/>
    <xf numFmtId="49" fontId="16" fillId="0" borderId="25" xfId="0" applyNumberFormat="1" applyFont="1" applyBorder="1" applyAlignment="1">
      <alignment horizontal="center" vertical="center"/>
    </xf>
    <xf numFmtId="0" fontId="16" fillId="0" borderId="26" xfId="0" applyFont="1" applyBorder="1" applyAlignment="1">
      <alignment horizontal="center" vertical="center"/>
    </xf>
    <xf numFmtId="43" fontId="16" fillId="0" borderId="26" xfId="1" applyNumberFormat="1" applyFont="1" applyBorder="1" applyAlignment="1">
      <alignment horizontal="center" vertical="center"/>
    </xf>
    <xf numFmtId="165" fontId="16" fillId="0" borderId="26" xfId="1" applyNumberFormat="1" applyFont="1" applyBorder="1" applyAlignment="1">
      <alignment horizontal="center" vertical="center" wrapText="1"/>
    </xf>
    <xf numFmtId="43" fontId="16" fillId="0" borderId="26" xfId="1" applyFont="1" applyBorder="1" applyAlignment="1">
      <alignment horizontal="center" vertical="center" wrapText="1"/>
    </xf>
    <xf numFmtId="43" fontId="16" fillId="0" borderId="27" xfId="1" applyFont="1" applyBorder="1" applyAlignment="1">
      <alignment horizontal="center" vertical="center" wrapText="1"/>
    </xf>
    <xf numFmtId="0" fontId="16" fillId="0" borderId="0" xfId="0" applyFont="1" applyAlignment="1">
      <alignment horizontal="center" vertical="center"/>
    </xf>
    <xf numFmtId="49" fontId="17" fillId="2" borderId="20" xfId="2" applyNumberFormat="1" applyFont="1" applyFill="1" applyBorder="1" applyAlignment="1">
      <alignment horizontal="center" vertical="justify"/>
    </xf>
    <xf numFmtId="0" fontId="18" fillId="2" borderId="21" xfId="2" quotePrefix="1" applyNumberFormat="1" applyFont="1" applyFill="1" applyBorder="1" applyAlignment="1">
      <alignment horizontal="center"/>
    </xf>
    <xf numFmtId="43" fontId="19" fillId="2" borderId="21" xfId="2" applyFont="1" applyFill="1" applyBorder="1" applyAlignment="1">
      <alignment horizontal="center"/>
    </xf>
    <xf numFmtId="43" fontId="19" fillId="3" borderId="21" xfId="1" applyNumberFormat="1" applyFont="1" applyFill="1" applyBorder="1" applyAlignment="1">
      <alignment horizontal="center"/>
    </xf>
    <xf numFmtId="165" fontId="17" fillId="2" borderId="21" xfId="1" applyNumberFormat="1" applyFont="1" applyFill="1" applyBorder="1" applyAlignment="1">
      <alignment horizontal="center"/>
    </xf>
    <xf numFmtId="43" fontId="16" fillId="0" borderId="21" xfId="1" applyFont="1" applyBorder="1" applyAlignment="1">
      <alignment horizontal="center" vertical="center" wrapText="1"/>
    </xf>
    <xf numFmtId="43" fontId="16" fillId="0" borderId="22" xfId="1" applyFont="1" applyBorder="1" applyAlignment="1">
      <alignment horizontal="center" vertical="center" wrapText="1"/>
    </xf>
    <xf numFmtId="0" fontId="20" fillId="0" borderId="0" xfId="0" applyFont="1" applyAlignment="1">
      <alignment horizontal="center" vertical="center"/>
    </xf>
    <xf numFmtId="0" fontId="15" fillId="0" borderId="0" xfId="0" applyFont="1" applyAlignment="1">
      <alignment horizontal="center" vertical="center"/>
    </xf>
    <xf numFmtId="0" fontId="18" fillId="2" borderId="21" xfId="2" applyNumberFormat="1" applyFont="1" applyFill="1" applyBorder="1" applyAlignment="1">
      <alignment horizontal="center"/>
    </xf>
    <xf numFmtId="0" fontId="19" fillId="2" borderId="21" xfId="2" applyNumberFormat="1" applyFont="1" applyFill="1" applyBorder="1" applyAlignment="1">
      <alignment horizontal="left"/>
    </xf>
    <xf numFmtId="0" fontId="18" fillId="2" borderId="21" xfId="2" applyNumberFormat="1" applyFont="1" applyFill="1" applyBorder="1" applyAlignment="1">
      <alignment horizontal="left"/>
    </xf>
    <xf numFmtId="49" fontId="17" fillId="2" borderId="20" xfId="2" quotePrefix="1" applyNumberFormat="1" applyFont="1" applyFill="1" applyBorder="1" applyAlignment="1">
      <alignment horizontal="center" vertical="justify"/>
    </xf>
    <xf numFmtId="0" fontId="21" fillId="2" borderId="21" xfId="2" applyNumberFormat="1" applyFont="1" applyFill="1" applyBorder="1" applyAlignment="1">
      <alignment horizontal="left"/>
    </xf>
    <xf numFmtId="0" fontId="17" fillId="2" borderId="21" xfId="2" applyNumberFormat="1" applyFont="1" applyFill="1" applyBorder="1" applyAlignment="1">
      <alignment horizontal="left"/>
    </xf>
    <xf numFmtId="0" fontId="18" fillId="2" borderId="21" xfId="2" applyNumberFormat="1" applyFont="1" applyFill="1" applyBorder="1"/>
    <xf numFmtId="43" fontId="17" fillId="2" borderId="21" xfId="2" applyFont="1" applyFill="1" applyBorder="1" applyAlignment="1">
      <alignment horizontal="center"/>
    </xf>
    <xf numFmtId="43" fontId="17" fillId="3" borderId="21" xfId="1" applyNumberFormat="1" applyFont="1" applyFill="1" applyBorder="1" applyAlignment="1">
      <alignment horizontal="center"/>
    </xf>
    <xf numFmtId="0" fontId="17" fillId="2" borderId="21" xfId="2" applyNumberFormat="1" applyFont="1" applyFill="1" applyBorder="1" applyAlignment="1">
      <alignment horizontal="justify"/>
    </xf>
    <xf numFmtId="43" fontId="16" fillId="0" borderId="21" xfId="1" applyFont="1" applyBorder="1"/>
    <xf numFmtId="43" fontId="16" fillId="0" borderId="22" xfId="1" applyFont="1" applyBorder="1"/>
    <xf numFmtId="0" fontId="17" fillId="2" borderId="21" xfId="2" applyNumberFormat="1" applyFont="1" applyFill="1" applyBorder="1"/>
    <xf numFmtId="0" fontId="17" fillId="2" borderId="21" xfId="2" applyNumberFormat="1" applyFont="1" applyFill="1" applyBorder="1" applyAlignment="1">
      <alignment wrapText="1"/>
    </xf>
    <xf numFmtId="49" fontId="17" fillId="2" borderId="20" xfId="2" applyNumberFormat="1" applyFont="1" applyFill="1" applyBorder="1" applyAlignment="1">
      <alignment horizontal="center" vertical="top"/>
    </xf>
    <xf numFmtId="0" fontId="18" fillId="2" borderId="21" xfId="2" applyNumberFormat="1" applyFont="1" applyFill="1" applyBorder="1" applyAlignment="1">
      <alignment vertical="top"/>
    </xf>
    <xf numFmtId="43" fontId="17" fillId="2" borderId="21" xfId="2" applyFont="1" applyFill="1" applyBorder="1" applyAlignment="1">
      <alignment horizontal="center" vertical="top"/>
    </xf>
    <xf numFmtId="43" fontId="17" fillId="3" borderId="21" xfId="1" applyNumberFormat="1" applyFont="1" applyFill="1" applyBorder="1" applyAlignment="1">
      <alignment horizontal="center" vertical="top"/>
    </xf>
    <xf numFmtId="0" fontId="17" fillId="2" borderId="21" xfId="2" applyNumberFormat="1" applyFont="1" applyFill="1" applyBorder="1" applyAlignment="1">
      <alignment vertical="top" wrapText="1"/>
    </xf>
    <xf numFmtId="49" fontId="17" fillId="2" borderId="25" xfId="2" applyNumberFormat="1" applyFont="1" applyFill="1" applyBorder="1" applyAlignment="1">
      <alignment horizontal="center" vertical="justify"/>
    </xf>
    <xf numFmtId="0" fontId="19" fillId="2" borderId="26" xfId="2" quotePrefix="1" applyNumberFormat="1" applyFont="1" applyFill="1" applyBorder="1" applyAlignment="1">
      <alignment horizontal="left"/>
    </xf>
    <xf numFmtId="0" fontId="17" fillId="3" borderId="26" xfId="3" applyFont="1" applyFill="1" applyBorder="1" applyAlignment="1">
      <alignment horizontal="center"/>
    </xf>
    <xf numFmtId="43" fontId="17" fillId="3" borderId="26" xfId="1" applyNumberFormat="1" applyFont="1" applyFill="1" applyBorder="1" applyAlignment="1">
      <alignment horizontal="center"/>
    </xf>
    <xf numFmtId="165" fontId="17" fillId="2" borderId="26" xfId="1" applyNumberFormat="1" applyFont="1" applyFill="1" applyBorder="1" applyAlignment="1">
      <alignment horizontal="center"/>
    </xf>
    <xf numFmtId="49" fontId="17" fillId="2" borderId="28" xfId="2" applyNumberFormat="1" applyFont="1" applyFill="1" applyBorder="1" applyAlignment="1">
      <alignment horizontal="center" vertical="justify"/>
    </xf>
    <xf numFmtId="0" fontId="19" fillId="2" borderId="24" xfId="2" quotePrefix="1" applyNumberFormat="1" applyFont="1" applyFill="1" applyBorder="1" applyAlignment="1">
      <alignment horizontal="left"/>
    </xf>
    <xf numFmtId="0" fontId="17" fillId="4" borderId="24" xfId="3" applyFont="1" applyFill="1" applyBorder="1" applyAlignment="1">
      <alignment horizontal="center"/>
    </xf>
    <xf numFmtId="43" fontId="17" fillId="3" borderId="24" xfId="1" applyNumberFormat="1" applyFont="1" applyFill="1" applyBorder="1" applyAlignment="1">
      <alignment horizontal="center"/>
    </xf>
    <xf numFmtId="165" fontId="17" fillId="2" borderId="24" xfId="1" applyNumberFormat="1" applyFont="1" applyFill="1" applyBorder="1" applyAlignment="1">
      <alignment horizontal="center"/>
    </xf>
    <xf numFmtId="43" fontId="16" fillId="0" borderId="24" xfId="1" applyFont="1" applyBorder="1" applyAlignment="1">
      <alignment horizontal="center" vertical="center" wrapText="1"/>
    </xf>
    <xf numFmtId="43" fontId="15" fillId="0" borderId="29" xfId="1" applyFont="1" applyBorder="1" applyAlignment="1">
      <alignment horizontal="center" vertical="center" wrapText="1"/>
    </xf>
    <xf numFmtId="0" fontId="19" fillId="2" borderId="21" xfId="2" quotePrefix="1" applyNumberFormat="1" applyFont="1" applyFill="1" applyBorder="1" applyAlignment="1">
      <alignment horizontal="left"/>
    </xf>
    <xf numFmtId="0" fontId="17" fillId="3" borderId="21" xfId="3" applyFont="1" applyFill="1" applyBorder="1" applyAlignment="1">
      <alignment horizontal="center"/>
    </xf>
    <xf numFmtId="0" fontId="17" fillId="2" borderId="21" xfId="2" quotePrefix="1" applyNumberFormat="1" applyFont="1" applyFill="1" applyBorder="1" applyAlignment="1">
      <alignment wrapText="1"/>
    </xf>
    <xf numFmtId="0" fontId="17" fillId="2" borderId="21" xfId="2" quotePrefix="1" applyNumberFormat="1" applyFont="1" applyFill="1" applyBorder="1" applyAlignment="1"/>
    <xf numFmtId="0" fontId="17" fillId="2" borderId="22" xfId="2" quotePrefix="1" applyNumberFormat="1" applyFont="1" applyFill="1" applyBorder="1" applyAlignment="1"/>
    <xf numFmtId="49" fontId="16" fillId="0" borderId="20" xfId="0" applyNumberFormat="1" applyFont="1" applyBorder="1" applyAlignment="1">
      <alignment horizontal="center" vertical="center"/>
    </xf>
    <xf numFmtId="0" fontId="16" fillId="0" borderId="21" xfId="0" applyFont="1" applyBorder="1" applyAlignment="1">
      <alignment horizontal="center" vertical="center"/>
    </xf>
    <xf numFmtId="43" fontId="16" fillId="0" borderId="21" xfId="0" applyNumberFormat="1" applyFont="1" applyBorder="1" applyAlignment="1">
      <alignment horizontal="center" vertical="center"/>
    </xf>
    <xf numFmtId="165" fontId="16" fillId="0" borderId="21" xfId="0" applyNumberFormat="1" applyFont="1" applyBorder="1" applyAlignment="1">
      <alignment horizontal="center" vertical="center"/>
    </xf>
    <xf numFmtId="0" fontId="16" fillId="0" borderId="22" xfId="0" applyFont="1" applyBorder="1" applyAlignment="1">
      <alignment horizontal="center" vertical="center"/>
    </xf>
    <xf numFmtId="0" fontId="18" fillId="2" borderId="21" xfId="2" applyNumberFormat="1" applyFont="1" applyFill="1" applyBorder="1" applyAlignment="1">
      <alignment horizontal="justify"/>
    </xf>
    <xf numFmtId="43" fontId="16" fillId="0" borderId="21" xfId="1" applyNumberFormat="1" applyFont="1" applyBorder="1"/>
    <xf numFmtId="165" fontId="16" fillId="0" borderId="21" xfId="1" applyNumberFormat="1" applyFont="1" applyBorder="1"/>
    <xf numFmtId="43" fontId="17" fillId="3" borderId="21" xfId="2" applyNumberFormat="1" applyFont="1" applyFill="1" applyBorder="1" applyAlignment="1">
      <alignment horizontal="center"/>
    </xf>
    <xf numFmtId="43" fontId="18" fillId="2" borderId="21" xfId="2" applyFont="1" applyFill="1" applyBorder="1" applyAlignment="1">
      <alignment horizontal="justify" vertical="top"/>
    </xf>
    <xf numFmtId="43" fontId="17" fillId="3" borderId="21" xfId="1" applyNumberFormat="1" applyFont="1" applyFill="1" applyBorder="1" applyAlignment="1">
      <alignment horizontal="right"/>
    </xf>
    <xf numFmtId="43" fontId="17" fillId="2" borderId="21" xfId="2" applyFont="1" applyFill="1" applyBorder="1" applyAlignment="1">
      <alignment horizontal="justify" vertical="top"/>
    </xf>
    <xf numFmtId="0" fontId="17" fillId="2" borderId="21" xfId="2" applyNumberFormat="1" applyFont="1" applyFill="1" applyBorder="1" applyAlignment="1">
      <alignment horizontal="justify" vertical="top" wrapText="1"/>
    </xf>
    <xf numFmtId="0" fontId="18" fillId="2" borderId="21" xfId="2" applyNumberFormat="1" applyFont="1" applyFill="1" applyBorder="1" applyAlignment="1">
      <alignment horizontal="justify" vertical="top"/>
    </xf>
    <xf numFmtId="0" fontId="17" fillId="2" borderId="21" xfId="2" quotePrefix="1" applyNumberFormat="1" applyFont="1" applyFill="1" applyBorder="1" applyAlignment="1">
      <alignment vertical="justify"/>
    </xf>
    <xf numFmtId="0" fontId="21" fillId="2" borderId="21" xfId="2" quotePrefix="1" applyNumberFormat="1" applyFont="1" applyFill="1" applyBorder="1" applyAlignment="1">
      <alignment horizontal="left" vertical="top"/>
    </xf>
    <xf numFmtId="49" fontId="17" fillId="2" borderId="20" xfId="2" applyNumberFormat="1" applyFont="1" applyFill="1" applyBorder="1" applyAlignment="1">
      <alignment horizontal="center"/>
    </xf>
    <xf numFmtId="0" fontId="17" fillId="2" borderId="21" xfId="2" applyNumberFormat="1" applyFont="1" applyFill="1" applyBorder="1" applyAlignment="1">
      <alignment horizontal="left" wrapText="1"/>
    </xf>
    <xf numFmtId="43" fontId="16" fillId="0" borderId="21" xfId="1" applyFont="1" applyBorder="1" applyAlignment="1"/>
    <xf numFmtId="43" fontId="16" fillId="0" borderId="22" xfId="1" applyFont="1" applyBorder="1" applyAlignment="1"/>
    <xf numFmtId="0" fontId="17" fillId="2" borderId="21" xfId="2" applyNumberFormat="1" applyFont="1" applyFill="1" applyBorder="1" applyAlignment="1">
      <alignment horizontal="left" vertical="top" wrapText="1"/>
    </xf>
    <xf numFmtId="0" fontId="18" fillId="2" borderId="21" xfId="2" applyNumberFormat="1" applyFont="1" applyFill="1" applyBorder="1" applyAlignment="1">
      <alignment horizontal="left" vertical="top" wrapText="1"/>
    </xf>
    <xf numFmtId="0" fontId="17" fillId="2" borderId="21" xfId="2" quotePrefix="1" applyNumberFormat="1" applyFont="1" applyFill="1" applyBorder="1" applyAlignment="1">
      <alignment vertical="top" wrapText="1"/>
    </xf>
    <xf numFmtId="0" fontId="17" fillId="2" borderId="21" xfId="2" quotePrefix="1" applyNumberFormat="1" applyFont="1" applyFill="1" applyBorder="1" applyAlignment="1">
      <alignment vertical="top"/>
    </xf>
    <xf numFmtId="0" fontId="17" fillId="2" borderId="21" xfId="2" applyNumberFormat="1" applyFont="1" applyFill="1" applyBorder="1" applyAlignment="1">
      <alignment vertical="top"/>
    </xf>
    <xf numFmtId="0" fontId="17" fillId="2" borderId="21" xfId="2" applyNumberFormat="1" applyFont="1" applyFill="1" applyBorder="1" applyAlignment="1">
      <alignment horizontal="justify" vertical="top"/>
    </xf>
    <xf numFmtId="0" fontId="17" fillId="2" borderId="21" xfId="2" quotePrefix="1" applyNumberFormat="1" applyFont="1" applyFill="1" applyBorder="1" applyAlignment="1">
      <alignment horizontal="justify" vertical="top"/>
    </xf>
    <xf numFmtId="43" fontId="16" fillId="0" borderId="0" xfId="0" applyNumberFormat="1" applyFont="1" applyAlignment="1">
      <alignment horizontal="center" vertical="center"/>
    </xf>
    <xf numFmtId="43" fontId="17" fillId="2" borderId="26" xfId="2" applyFont="1" applyFill="1" applyBorder="1" applyAlignment="1">
      <alignment horizontal="center"/>
    </xf>
    <xf numFmtId="43" fontId="17" fillId="2" borderId="24" xfId="2" applyFont="1" applyFill="1" applyBorder="1" applyAlignment="1">
      <alignment horizontal="center"/>
    </xf>
    <xf numFmtId="43" fontId="15" fillId="0" borderId="22" xfId="1" applyFont="1" applyBorder="1" applyAlignment="1">
      <alignment horizontal="center" vertical="center" wrapText="1"/>
    </xf>
    <xf numFmtId="0" fontId="18" fillId="2" borderId="21" xfId="2" applyNumberFormat="1" applyFont="1" applyFill="1" applyBorder="1" applyAlignment="1">
      <alignment horizontal="center" vertical="top"/>
    </xf>
    <xf numFmtId="0" fontId="17" fillId="2" borderId="22" xfId="2" quotePrefix="1" applyNumberFormat="1" applyFont="1" applyFill="1" applyBorder="1" applyAlignment="1">
      <alignment vertical="top"/>
    </xf>
    <xf numFmtId="49" fontId="19" fillId="5" borderId="20" xfId="2" applyNumberFormat="1" applyFont="1" applyFill="1" applyBorder="1" applyAlignment="1">
      <alignment horizontal="center" vertical="justify"/>
    </xf>
    <xf numFmtId="0" fontId="18" fillId="5" borderId="21" xfId="2" applyNumberFormat="1" applyFont="1" applyFill="1" applyBorder="1" applyAlignment="1">
      <alignment horizontal="justify" vertical="top"/>
    </xf>
    <xf numFmtId="43" fontId="17" fillId="5" borderId="21" xfId="2" applyNumberFormat="1" applyFont="1" applyFill="1" applyBorder="1" applyAlignment="1">
      <alignment horizontal="center"/>
    </xf>
    <xf numFmtId="43" fontId="17" fillId="5" borderId="21" xfId="1" applyNumberFormat="1" applyFont="1" applyFill="1" applyBorder="1" applyAlignment="1">
      <alignment horizontal="center"/>
    </xf>
    <xf numFmtId="165" fontId="17" fillId="5" borderId="21" xfId="1" applyNumberFormat="1" applyFont="1" applyFill="1" applyBorder="1" applyAlignment="1">
      <alignment horizontal="center"/>
    </xf>
    <xf numFmtId="43" fontId="16" fillId="5" borderId="21" xfId="1" applyFont="1" applyFill="1" applyBorder="1" applyAlignment="1">
      <alignment horizontal="center" vertical="center" wrapText="1"/>
    </xf>
    <xf numFmtId="43" fontId="16" fillId="5" borderId="22" xfId="1" applyFont="1" applyFill="1" applyBorder="1" applyAlignment="1">
      <alignment horizontal="center" vertical="center" wrapText="1"/>
    </xf>
    <xf numFmtId="165" fontId="17" fillId="2" borderId="21" xfId="1" applyNumberFormat="1" applyFont="1" applyFill="1" applyBorder="1" applyAlignment="1">
      <alignment horizontal="center" vertical="top"/>
    </xf>
    <xf numFmtId="43" fontId="16" fillId="0" borderId="21" xfId="1" applyFont="1" applyBorder="1" applyAlignment="1">
      <alignment horizontal="center" vertical="top" wrapText="1"/>
    </xf>
    <xf numFmtId="43" fontId="16" fillId="0" borderId="22" xfId="1" applyFont="1" applyBorder="1" applyAlignment="1">
      <alignment horizontal="center" vertical="top" wrapText="1"/>
    </xf>
    <xf numFmtId="0" fontId="16" fillId="0" borderId="0" xfId="0" applyFont="1" applyAlignment="1">
      <alignment horizontal="center" vertical="top"/>
    </xf>
    <xf numFmtId="49" fontId="17" fillId="5" borderId="20" xfId="2" applyNumberFormat="1" applyFont="1" applyFill="1" applyBorder="1" applyAlignment="1">
      <alignment horizontal="center"/>
    </xf>
    <xf numFmtId="0" fontId="18" fillId="5" borderId="21" xfId="2" applyNumberFormat="1" applyFont="1" applyFill="1" applyBorder="1" applyAlignment="1">
      <alignment horizontal="left" vertical="top"/>
    </xf>
    <xf numFmtId="43" fontId="17" fillId="5" borderId="21" xfId="2" applyFont="1" applyFill="1" applyBorder="1" applyAlignment="1">
      <alignment horizontal="center"/>
    </xf>
    <xf numFmtId="49" fontId="15" fillId="6" borderId="20" xfId="0" applyNumberFormat="1" applyFont="1" applyFill="1" applyBorder="1"/>
    <xf numFmtId="0" fontId="22" fillId="6" borderId="21" xfId="0" applyFont="1" applyFill="1" applyBorder="1" applyAlignment="1">
      <alignment wrapText="1"/>
    </xf>
    <xf numFmtId="0" fontId="15" fillId="6" borderId="21" xfId="0" applyFont="1" applyFill="1" applyBorder="1" applyAlignment="1">
      <alignment horizontal="center"/>
    </xf>
    <xf numFmtId="43" fontId="15" fillId="6" borderId="21" xfId="1" applyNumberFormat="1" applyFont="1" applyFill="1" applyBorder="1"/>
    <xf numFmtId="165" fontId="15" fillId="6" borderId="21" xfId="1" applyNumberFormat="1" applyFont="1" applyFill="1" applyBorder="1"/>
    <xf numFmtId="43" fontId="15" fillId="6" borderId="21" xfId="1" applyFont="1" applyFill="1" applyBorder="1"/>
    <xf numFmtId="43" fontId="15" fillId="6" borderId="22" xfId="1" applyFont="1" applyFill="1" applyBorder="1"/>
    <xf numFmtId="43" fontId="16" fillId="0" borderId="0" xfId="0" applyNumberFormat="1" applyFont="1"/>
    <xf numFmtId="164" fontId="16" fillId="0" borderId="0" xfId="0" applyNumberFormat="1" applyFont="1" applyAlignment="1">
      <alignment horizontal="center" vertical="center"/>
    </xf>
    <xf numFmtId="49" fontId="16" fillId="0" borderId="20" xfId="0" applyNumberFormat="1" applyFont="1" applyBorder="1"/>
    <xf numFmtId="0" fontId="16" fillId="0" borderId="21" xfId="0" applyFont="1" applyBorder="1" applyAlignment="1">
      <alignment wrapText="1"/>
    </xf>
    <xf numFmtId="0" fontId="16" fillId="0" borderId="21" xfId="0" applyFont="1" applyBorder="1" applyAlignment="1">
      <alignment horizontal="center"/>
    </xf>
    <xf numFmtId="49" fontId="15" fillId="0" borderId="20" xfId="0" applyNumberFormat="1" applyFont="1" applyBorder="1"/>
    <xf numFmtId="0" fontId="22" fillId="0" borderId="21" xfId="0" applyFont="1" applyBorder="1" applyAlignment="1">
      <alignment wrapText="1"/>
    </xf>
    <xf numFmtId="0" fontId="15" fillId="0" borderId="21" xfId="0" applyFont="1" applyBorder="1" applyAlignment="1">
      <alignment horizontal="center"/>
    </xf>
    <xf numFmtId="43" fontId="15" fillId="0" borderId="21" xfId="1" applyNumberFormat="1" applyFont="1" applyBorder="1"/>
    <xf numFmtId="165" fontId="15" fillId="0" borderId="21" xfId="1" applyNumberFormat="1" applyFont="1" applyBorder="1"/>
    <xf numFmtId="43" fontId="15" fillId="0" borderId="21" xfId="1" applyFont="1" applyBorder="1"/>
    <xf numFmtId="43" fontId="15" fillId="0" borderId="22" xfId="1" applyFont="1" applyBorder="1"/>
    <xf numFmtId="49" fontId="16" fillId="0" borderId="28" xfId="0" applyNumberFormat="1" applyFont="1" applyBorder="1"/>
    <xf numFmtId="0" fontId="16" fillId="0" borderId="24" xfId="0" applyFont="1" applyBorder="1" applyAlignment="1">
      <alignment wrapText="1"/>
    </xf>
    <xf numFmtId="0" fontId="16" fillId="0" borderId="24" xfId="0" applyFont="1" applyBorder="1" applyAlignment="1">
      <alignment horizontal="center"/>
    </xf>
    <xf numFmtId="43" fontId="16" fillId="0" borderId="24" xfId="1" applyNumberFormat="1" applyFont="1" applyBorder="1"/>
    <xf numFmtId="43" fontId="16" fillId="0" borderId="24" xfId="1" applyFont="1" applyBorder="1"/>
    <xf numFmtId="43" fontId="16" fillId="0" borderId="29" xfId="1" applyFont="1" applyBorder="1"/>
    <xf numFmtId="0" fontId="18" fillId="5" borderId="21" xfId="2" applyNumberFormat="1" applyFont="1" applyFill="1" applyBorder="1" applyAlignment="1">
      <alignment horizontal="center" vertical="top"/>
    </xf>
    <xf numFmtId="43" fontId="19" fillId="5" borderId="22" xfId="1" applyNumberFormat="1" applyFont="1" applyFill="1" applyBorder="1"/>
    <xf numFmtId="0" fontId="17" fillId="2" borderId="22" xfId="2" applyNumberFormat="1" applyFont="1" applyFill="1" applyBorder="1" applyAlignment="1">
      <alignment vertical="top" wrapText="1"/>
    </xf>
    <xf numFmtId="0" fontId="17" fillId="2" borderId="22" xfId="2" applyNumberFormat="1" applyFont="1" applyFill="1" applyBorder="1" applyAlignment="1">
      <alignment wrapText="1"/>
    </xf>
    <xf numFmtId="49" fontId="17" fillId="2" borderId="21" xfId="2" applyNumberFormat="1" applyFont="1" applyFill="1" applyBorder="1" applyAlignment="1">
      <alignment horizontal="center"/>
    </xf>
    <xf numFmtId="0" fontId="16" fillId="6" borderId="21" xfId="0" applyFont="1" applyFill="1" applyBorder="1" applyAlignment="1">
      <alignment horizontal="center"/>
    </xf>
    <xf numFmtId="43" fontId="16" fillId="6" borderId="21" xfId="1" applyNumberFormat="1" applyFont="1" applyFill="1" applyBorder="1"/>
    <xf numFmtId="165" fontId="16" fillId="6" borderId="21" xfId="1" applyNumberFormat="1" applyFont="1" applyFill="1" applyBorder="1"/>
    <xf numFmtId="43" fontId="16" fillId="6" borderId="21" xfId="1" applyFont="1" applyFill="1" applyBorder="1"/>
    <xf numFmtId="43" fontId="16" fillId="6" borderId="22" xfId="1" applyFont="1" applyFill="1" applyBorder="1"/>
    <xf numFmtId="0" fontId="25" fillId="0" borderId="21" xfId="0" applyFont="1" applyBorder="1" applyAlignment="1">
      <alignment wrapText="1"/>
    </xf>
    <xf numFmtId="164" fontId="16" fillId="0" borderId="0" xfId="0" applyNumberFormat="1" applyFont="1"/>
    <xf numFmtId="49" fontId="15" fillId="3" borderId="20" xfId="0" applyNumberFormat="1" applyFont="1" applyFill="1" applyBorder="1"/>
    <xf numFmtId="0" fontId="22" fillId="3" borderId="21" xfId="0" applyFont="1" applyFill="1" applyBorder="1" applyAlignment="1">
      <alignment wrapText="1"/>
    </xf>
    <xf numFmtId="0" fontId="15" fillId="3" borderId="21" xfId="0" applyFont="1" applyFill="1" applyBorder="1" applyAlignment="1">
      <alignment horizontal="center"/>
    </xf>
    <xf numFmtId="43" fontId="15" fillId="3" borderId="21" xfId="1" applyNumberFormat="1" applyFont="1" applyFill="1" applyBorder="1"/>
    <xf numFmtId="165" fontId="15" fillId="3" borderId="21" xfId="1" applyNumberFormat="1" applyFont="1" applyFill="1" applyBorder="1"/>
    <xf numFmtId="0" fontId="16" fillId="3" borderId="0" xfId="0" applyFont="1" applyFill="1"/>
    <xf numFmtId="166" fontId="16" fillId="0" borderId="0" xfId="0" applyNumberFormat="1" applyFont="1"/>
    <xf numFmtId="49" fontId="16" fillId="3" borderId="20" xfId="0" applyNumberFormat="1" applyFont="1" applyFill="1" applyBorder="1"/>
    <xf numFmtId="0" fontId="16" fillId="3" borderId="21" xfId="0" applyFont="1" applyFill="1" applyBorder="1" applyAlignment="1">
      <alignment horizontal="center"/>
    </xf>
    <xf numFmtId="43" fontId="16" fillId="3" borderId="21" xfId="1" applyNumberFormat="1" applyFont="1" applyFill="1" applyBorder="1"/>
    <xf numFmtId="165" fontId="16" fillId="3" borderId="21" xfId="1" applyNumberFormat="1" applyFont="1" applyFill="1" applyBorder="1"/>
    <xf numFmtId="43" fontId="16" fillId="3" borderId="21" xfId="1" applyFont="1" applyFill="1" applyBorder="1"/>
    <xf numFmtId="0" fontId="16" fillId="3" borderId="21" xfId="0" applyFont="1" applyFill="1" applyBorder="1" applyAlignment="1">
      <alignment wrapText="1"/>
    </xf>
    <xf numFmtId="165" fontId="16" fillId="0" borderId="24" xfId="1" applyNumberFormat="1" applyFont="1" applyBorder="1"/>
    <xf numFmtId="165" fontId="16" fillId="3" borderId="24" xfId="1" applyNumberFormat="1" applyFont="1" applyFill="1" applyBorder="1"/>
    <xf numFmtId="43" fontId="16" fillId="3" borderId="24" xfId="1" applyFont="1" applyFill="1" applyBorder="1"/>
    <xf numFmtId="49" fontId="15" fillId="0" borderId="20" xfId="0" applyNumberFormat="1" applyFont="1" applyBorder="1" applyAlignment="1">
      <alignment vertical="top"/>
    </xf>
    <xf numFmtId="49" fontId="16" fillId="0" borderId="20" xfId="0" applyNumberFormat="1" applyFont="1" applyBorder="1" applyAlignment="1">
      <alignment vertical="top"/>
    </xf>
    <xf numFmtId="0" fontId="17" fillId="3" borderId="21" xfId="3" applyFont="1" applyFill="1" applyBorder="1" applyAlignment="1">
      <alignment horizontal="left" wrapText="1"/>
    </xf>
    <xf numFmtId="43" fontId="17" fillId="3" borderId="21" xfId="1" applyFont="1" applyFill="1" applyBorder="1" applyAlignment="1">
      <alignment horizontal="center"/>
    </xf>
    <xf numFmtId="0" fontId="15" fillId="0" borderId="21" xfId="0" applyFont="1" applyBorder="1" applyAlignment="1">
      <alignment wrapText="1"/>
    </xf>
    <xf numFmtId="43" fontId="16" fillId="0" borderId="26" xfId="1" applyFont="1" applyBorder="1"/>
    <xf numFmtId="43" fontId="16" fillId="0" borderId="27" xfId="1" applyFont="1" applyBorder="1"/>
    <xf numFmtId="43" fontId="15" fillId="0" borderId="29" xfId="1" applyFont="1" applyBorder="1"/>
    <xf numFmtId="49" fontId="19" fillId="2" borderId="20" xfId="2" applyNumberFormat="1" applyFont="1" applyFill="1" applyBorder="1" applyAlignment="1">
      <alignment horizontal="center" vertical="justify"/>
    </xf>
    <xf numFmtId="0" fontId="17" fillId="2" borderId="21" xfId="2" applyNumberFormat="1" applyFont="1" applyFill="1" applyBorder="1" applyAlignment="1"/>
    <xf numFmtId="0" fontId="17" fillId="2" borderId="22" xfId="2" applyNumberFormat="1" applyFont="1" applyFill="1" applyBorder="1" applyAlignment="1"/>
    <xf numFmtId="0" fontId="22" fillId="0" borderId="21" xfId="0" applyFont="1" applyBorder="1"/>
    <xf numFmtId="0" fontId="22" fillId="6" borderId="21" xfId="0" applyFont="1" applyFill="1" applyBorder="1"/>
    <xf numFmtId="0" fontId="15" fillId="0" borderId="21" xfId="0" applyFont="1" applyBorder="1"/>
    <xf numFmtId="0" fontId="16" fillId="0" borderId="21" xfId="0" applyFont="1" applyBorder="1"/>
    <xf numFmtId="0" fontId="18" fillId="5" borderId="21" xfId="2" applyNumberFormat="1" applyFont="1" applyFill="1" applyBorder="1" applyAlignment="1">
      <alignment horizontal="center"/>
    </xf>
    <xf numFmtId="43" fontId="19" fillId="5" borderId="22" xfId="2" applyFont="1" applyFill="1" applyBorder="1"/>
    <xf numFmtId="43" fontId="15" fillId="0" borderId="21" xfId="1" applyFont="1" applyBorder="1" applyAlignment="1"/>
    <xf numFmtId="0" fontId="16" fillId="0" borderId="0" xfId="0" applyFont="1" applyAlignment="1"/>
    <xf numFmtId="49" fontId="19" fillId="3" borderId="20" xfId="2" applyNumberFormat="1" applyFont="1" applyFill="1" applyBorder="1" applyAlignment="1">
      <alignment horizontal="center" vertical="justify"/>
    </xf>
    <xf numFmtId="0" fontId="18" fillId="3" borderId="21" xfId="2" quotePrefix="1" applyNumberFormat="1" applyFont="1" applyFill="1" applyBorder="1" applyAlignment="1">
      <alignment horizontal="center"/>
    </xf>
    <xf numFmtId="43" fontId="19" fillId="3" borderId="21" xfId="2" applyFont="1" applyFill="1" applyBorder="1" applyAlignment="1">
      <alignment horizontal="center"/>
    </xf>
    <xf numFmtId="165" fontId="17" fillId="3" borderId="21" xfId="1" applyNumberFormat="1" applyFont="1" applyFill="1" applyBorder="1" applyAlignment="1">
      <alignment horizontal="center"/>
    </xf>
    <xf numFmtId="0" fontId="18" fillId="3" borderId="21" xfId="2" applyNumberFormat="1" applyFont="1" applyFill="1" applyBorder="1" applyAlignment="1">
      <alignment horizontal="center"/>
    </xf>
    <xf numFmtId="49" fontId="19" fillId="10" borderId="20" xfId="2" applyNumberFormat="1" applyFont="1" applyFill="1" applyBorder="1" applyAlignment="1">
      <alignment horizontal="center"/>
    </xf>
    <xf numFmtId="0" fontId="18" fillId="10" borderId="21" xfId="2" applyNumberFormat="1" applyFont="1" applyFill="1" applyBorder="1" applyAlignment="1">
      <alignment horizontal="left" wrapText="1"/>
    </xf>
    <xf numFmtId="43" fontId="19" fillId="10" borderId="21" xfId="2" applyFont="1" applyFill="1" applyBorder="1" applyAlignment="1">
      <alignment horizontal="center"/>
    </xf>
    <xf numFmtId="43" fontId="19" fillId="10" borderId="21" xfId="1" applyNumberFormat="1" applyFont="1" applyFill="1" applyBorder="1" applyAlignment="1">
      <alignment horizontal="center"/>
    </xf>
    <xf numFmtId="165" fontId="17" fillId="10" borderId="21" xfId="1" applyNumberFormat="1" applyFont="1" applyFill="1" applyBorder="1" applyAlignment="1">
      <alignment horizontal="center"/>
    </xf>
    <xf numFmtId="43" fontId="16" fillId="10" borderId="21" xfId="1" applyFont="1" applyFill="1" applyBorder="1"/>
    <xf numFmtId="43" fontId="16" fillId="10" borderId="22" xfId="1" applyFont="1" applyFill="1" applyBorder="1"/>
    <xf numFmtId="43" fontId="16" fillId="3" borderId="22" xfId="1" applyFont="1" applyFill="1" applyBorder="1"/>
    <xf numFmtId="43" fontId="17" fillId="10" borderId="21" xfId="2" applyFont="1" applyFill="1" applyBorder="1" applyAlignment="1">
      <alignment horizontal="center"/>
    </xf>
    <xf numFmtId="43" fontId="17" fillId="10" borderId="21" xfId="1" applyNumberFormat="1" applyFont="1" applyFill="1" applyBorder="1" applyAlignment="1">
      <alignment horizontal="center"/>
    </xf>
    <xf numFmtId="49" fontId="19" fillId="2" borderId="20" xfId="2" applyNumberFormat="1" applyFont="1" applyFill="1" applyBorder="1" applyAlignment="1">
      <alignment horizontal="center"/>
    </xf>
    <xf numFmtId="165" fontId="17" fillId="6" borderId="21" xfId="1" applyNumberFormat="1" applyFont="1" applyFill="1" applyBorder="1" applyAlignment="1">
      <alignment horizontal="center"/>
    </xf>
    <xf numFmtId="0" fontId="17" fillId="2" borderId="1" xfId="2" applyNumberFormat="1" applyFont="1" applyFill="1" applyBorder="1" applyAlignment="1">
      <alignment horizontal="left" wrapText="1"/>
    </xf>
    <xf numFmtId="0" fontId="16" fillId="0" borderId="1" xfId="0" applyFont="1" applyBorder="1" applyAlignment="1">
      <alignment horizontal="center"/>
    </xf>
    <xf numFmtId="43" fontId="17" fillId="3" borderId="1" xfId="1" applyNumberFormat="1" applyFont="1" applyFill="1" applyBorder="1" applyAlignment="1">
      <alignment horizontal="center"/>
    </xf>
    <xf numFmtId="165" fontId="16" fillId="0" borderId="1" xfId="1" applyNumberFormat="1" applyFont="1" applyBorder="1"/>
    <xf numFmtId="43" fontId="16" fillId="0" borderId="1" xfId="1" applyFont="1" applyBorder="1"/>
    <xf numFmtId="0" fontId="17" fillId="2" borderId="0" xfId="2" applyNumberFormat="1" applyFont="1" applyFill="1" applyBorder="1" applyAlignment="1">
      <alignment horizontal="left" wrapText="1"/>
    </xf>
    <xf numFmtId="0" fontId="16" fillId="0" borderId="0" xfId="0" applyFont="1" applyBorder="1" applyAlignment="1">
      <alignment horizontal="center"/>
    </xf>
    <xf numFmtId="43" fontId="17" fillId="3" borderId="0" xfId="1" applyNumberFormat="1" applyFont="1" applyFill="1" applyBorder="1" applyAlignment="1">
      <alignment horizontal="center"/>
    </xf>
    <xf numFmtId="165" fontId="16" fillId="0" borderId="0" xfId="1" applyNumberFormat="1" applyFont="1" applyBorder="1"/>
    <xf numFmtId="43" fontId="16" fillId="0" borderId="0" xfId="1" applyFont="1" applyBorder="1"/>
    <xf numFmtId="49" fontId="19" fillId="5" borderId="20" xfId="2" applyNumberFormat="1" applyFont="1" applyFill="1" applyBorder="1" applyAlignment="1">
      <alignment horizontal="center"/>
    </xf>
    <xf numFmtId="0" fontId="18" fillId="5" borderId="21" xfId="2" applyNumberFormat="1" applyFont="1" applyFill="1" applyBorder="1" applyAlignment="1">
      <alignment horizontal="left" wrapText="1"/>
    </xf>
    <xf numFmtId="43" fontId="16" fillId="5" borderId="21" xfId="1" applyFont="1" applyFill="1" applyBorder="1"/>
    <xf numFmtId="43" fontId="16" fillId="5" borderId="22" xfId="1" applyFont="1" applyFill="1" applyBorder="1"/>
    <xf numFmtId="49" fontId="19" fillId="3" borderId="20" xfId="2" applyNumberFormat="1" applyFont="1" applyFill="1" applyBorder="1" applyAlignment="1">
      <alignment horizontal="center"/>
    </xf>
    <xf numFmtId="0" fontId="17" fillId="3" borderId="21" xfId="2" applyNumberFormat="1" applyFont="1" applyFill="1" applyBorder="1" applyAlignment="1">
      <alignment horizontal="left" wrapText="1"/>
    </xf>
    <xf numFmtId="49" fontId="17" fillId="3" borderId="20" xfId="2" applyNumberFormat="1" applyFont="1" applyFill="1" applyBorder="1" applyAlignment="1">
      <alignment horizontal="center" vertical="top"/>
    </xf>
    <xf numFmtId="49" fontId="19" fillId="6" borderId="20" xfId="2" applyNumberFormat="1" applyFont="1" applyFill="1" applyBorder="1" applyAlignment="1">
      <alignment horizontal="center" vertical="justify"/>
    </xf>
    <xf numFmtId="0" fontId="18" fillId="6" borderId="21" xfId="2" applyNumberFormat="1" applyFont="1" applyFill="1" applyBorder="1" applyAlignment="1">
      <alignment horizontal="left" vertical="top"/>
    </xf>
    <xf numFmtId="43" fontId="17" fillId="6" borderId="21" xfId="2" applyFont="1" applyFill="1" applyBorder="1" applyAlignment="1">
      <alignment horizontal="center"/>
    </xf>
    <xf numFmtId="43" fontId="17" fillId="6" borderId="21" xfId="1" applyNumberFormat="1" applyFont="1" applyFill="1" applyBorder="1" applyAlignment="1">
      <alignment horizontal="center"/>
    </xf>
    <xf numFmtId="49" fontId="19" fillId="8" borderId="20" xfId="2" applyNumberFormat="1" applyFont="1" applyFill="1" applyBorder="1" applyAlignment="1">
      <alignment horizontal="center" vertical="justify"/>
    </xf>
    <xf numFmtId="0" fontId="18" fillId="8" borderId="21" xfId="2" applyNumberFormat="1" applyFont="1" applyFill="1" applyBorder="1" applyAlignment="1">
      <alignment horizontal="left" vertical="top"/>
    </xf>
    <xf numFmtId="43" fontId="17" fillId="8" borderId="21" xfId="2" applyFont="1" applyFill="1" applyBorder="1" applyAlignment="1">
      <alignment horizontal="center"/>
    </xf>
    <xf numFmtId="43" fontId="17" fillId="8" borderId="21" xfId="1" applyNumberFormat="1" applyFont="1" applyFill="1" applyBorder="1" applyAlignment="1">
      <alignment horizontal="center"/>
    </xf>
    <xf numFmtId="165" fontId="17" fillId="8" borderId="21" xfId="1" applyNumberFormat="1" applyFont="1" applyFill="1" applyBorder="1" applyAlignment="1">
      <alignment horizontal="center"/>
    </xf>
    <xf numFmtId="43" fontId="16" fillId="8" borderId="21" xfId="1" applyFont="1" applyFill="1" applyBorder="1"/>
    <xf numFmtId="43" fontId="16" fillId="8" borderId="22" xfId="1" applyFont="1" applyFill="1" applyBorder="1"/>
    <xf numFmtId="0" fontId="17" fillId="0" borderId="21" xfId="3" applyFont="1" applyBorder="1" applyAlignment="1">
      <alignment horizontal="left" wrapText="1"/>
    </xf>
    <xf numFmtId="0" fontId="17" fillId="0" borderId="21" xfId="3" applyFont="1" applyFill="1" applyBorder="1" applyAlignment="1">
      <alignment horizontal="center"/>
    </xf>
    <xf numFmtId="164" fontId="16" fillId="0" borderId="0" xfId="0" applyNumberFormat="1" applyFont="1" applyAlignment="1"/>
    <xf numFmtId="43" fontId="16" fillId="0" borderId="0" xfId="0" applyNumberFormat="1" applyFont="1" applyAlignment="1"/>
    <xf numFmtId="49" fontId="19" fillId="2" borderId="25" xfId="2" applyNumberFormat="1" applyFont="1" applyFill="1" applyBorder="1" applyAlignment="1">
      <alignment horizontal="center" vertical="justify"/>
    </xf>
    <xf numFmtId="43" fontId="19" fillId="2" borderId="26" xfId="2" applyFont="1" applyFill="1" applyBorder="1" applyAlignment="1">
      <alignment horizontal="center"/>
    </xf>
    <xf numFmtId="43" fontId="19" fillId="3" borderId="26" xfId="1" applyNumberFormat="1" applyFont="1" applyFill="1" applyBorder="1" applyAlignment="1">
      <alignment horizontal="center"/>
    </xf>
    <xf numFmtId="49" fontId="19" fillId="2" borderId="28" xfId="2" applyNumberFormat="1" applyFont="1" applyFill="1" applyBorder="1" applyAlignment="1">
      <alignment horizontal="center" vertical="justify"/>
    </xf>
    <xf numFmtId="43" fontId="19" fillId="2" borderId="24" xfId="2" applyFont="1" applyFill="1" applyBorder="1" applyAlignment="1">
      <alignment horizontal="center"/>
    </xf>
    <xf numFmtId="43" fontId="19" fillId="3" borderId="24" xfId="1" applyNumberFormat="1" applyFont="1" applyFill="1" applyBorder="1" applyAlignment="1">
      <alignment horizontal="center"/>
    </xf>
    <xf numFmtId="0" fontId="17" fillId="7" borderId="21" xfId="1" applyNumberFormat="1" applyFont="1" applyFill="1" applyBorder="1" applyAlignment="1">
      <alignment vertical="center" wrapText="1"/>
    </xf>
    <xf numFmtId="0" fontId="17" fillId="7" borderId="21" xfId="1" applyNumberFormat="1" applyFont="1" applyFill="1" applyBorder="1" applyAlignment="1">
      <alignment vertical="center"/>
    </xf>
    <xf numFmtId="0" fontId="17" fillId="7" borderId="22" xfId="1" applyNumberFormat="1" applyFont="1" applyFill="1" applyBorder="1" applyAlignment="1">
      <alignment vertical="center"/>
    </xf>
    <xf numFmtId="0" fontId="17" fillId="0" borderId="21" xfId="0" applyFont="1" applyBorder="1" applyAlignment="1">
      <alignment vertical="center" wrapText="1"/>
    </xf>
    <xf numFmtId="0" fontId="17" fillId="0" borderId="22" xfId="0" applyFont="1" applyBorder="1" applyAlignment="1">
      <alignment vertical="center" wrapText="1"/>
    </xf>
    <xf numFmtId="0" fontId="17" fillId="2" borderId="21" xfId="3" applyNumberFormat="1" applyFont="1" applyFill="1" applyBorder="1" applyAlignment="1">
      <alignment wrapText="1"/>
    </xf>
    <xf numFmtId="0" fontId="17" fillId="2" borderId="22" xfId="3" applyNumberFormat="1" applyFont="1" applyFill="1" applyBorder="1" applyAlignment="1">
      <alignment wrapText="1"/>
    </xf>
    <xf numFmtId="0" fontId="18" fillId="5" borderId="21" xfId="2" applyNumberFormat="1" applyFont="1" applyFill="1" applyBorder="1" applyAlignment="1">
      <alignment horizontal="left"/>
    </xf>
    <xf numFmtId="0" fontId="19" fillId="6" borderId="21" xfId="3" applyFont="1" applyFill="1" applyBorder="1" applyAlignment="1">
      <alignment horizontal="center"/>
    </xf>
    <xf numFmtId="43" fontId="19" fillId="6" borderId="21" xfId="1" applyNumberFormat="1" applyFont="1" applyFill="1" applyBorder="1" applyAlignment="1">
      <alignment horizontal="center"/>
    </xf>
    <xf numFmtId="165" fontId="19" fillId="6" borderId="21" xfId="1" applyNumberFormat="1" applyFont="1" applyFill="1" applyBorder="1" applyAlignment="1">
      <alignment horizontal="center"/>
    </xf>
    <xf numFmtId="0" fontId="17" fillId="3" borderId="21" xfId="2" applyNumberFormat="1" applyFont="1" applyFill="1" applyBorder="1" applyAlignment="1">
      <alignment horizontal="justify"/>
    </xf>
    <xf numFmtId="0" fontId="16" fillId="0" borderId="1" xfId="0" applyFont="1" applyBorder="1"/>
    <xf numFmtId="43" fontId="16" fillId="0" borderId="1" xfId="1" applyNumberFormat="1" applyFont="1" applyBorder="1"/>
    <xf numFmtId="0" fontId="17" fillId="2" borderId="22" xfId="2" applyNumberFormat="1" applyFont="1" applyFill="1" applyBorder="1" applyAlignment="1">
      <alignment vertical="top"/>
    </xf>
    <xf numFmtId="0" fontId="16" fillId="0" borderId="0" xfId="0" applyFont="1" applyAlignment="1">
      <alignment vertical="top"/>
    </xf>
    <xf numFmtId="43" fontId="15" fillId="0" borderId="1" xfId="1" applyNumberFormat="1" applyFont="1" applyBorder="1"/>
    <xf numFmtId="0" fontId="22" fillId="6" borderId="1" xfId="0" applyFont="1" applyFill="1" applyBorder="1"/>
    <xf numFmtId="43" fontId="15" fillId="6" borderId="1" xfId="1" applyNumberFormat="1" applyFont="1" applyFill="1" applyBorder="1"/>
    <xf numFmtId="0" fontId="17" fillId="2" borderId="21" xfId="3" applyFont="1" applyFill="1" applyBorder="1" applyAlignment="1">
      <alignment horizontal="left" wrapText="1"/>
    </xf>
    <xf numFmtId="0" fontId="17" fillId="0" borderId="21" xfId="3" applyFont="1" applyBorder="1" applyAlignment="1">
      <alignment horizontal="center"/>
    </xf>
    <xf numFmtId="43" fontId="16" fillId="0" borderId="0" xfId="1" applyNumberFormat="1" applyFont="1" applyBorder="1"/>
    <xf numFmtId="0" fontId="18" fillId="6" borderId="21" xfId="2" applyNumberFormat="1" applyFont="1" applyFill="1" applyBorder="1" applyAlignment="1">
      <alignment horizontal="left"/>
    </xf>
    <xf numFmtId="0" fontId="17" fillId="6" borderId="21" xfId="2" applyNumberFormat="1" applyFont="1" applyFill="1" applyBorder="1" applyAlignment="1">
      <alignment horizontal="center"/>
    </xf>
    <xf numFmtId="43" fontId="17" fillId="6" borderId="22" xfId="2" applyFont="1" applyFill="1" applyBorder="1"/>
    <xf numFmtId="49" fontId="19" fillId="2" borderId="20" xfId="3" applyNumberFormat="1" applyFont="1" applyFill="1" applyBorder="1" applyAlignment="1">
      <alignment horizontal="center"/>
    </xf>
    <xf numFmtId="0" fontId="18" fillId="0" borderId="21" xfId="3" applyFont="1" applyFill="1" applyBorder="1" applyAlignment="1">
      <alignment horizontal="left" wrapText="1"/>
    </xf>
    <xf numFmtId="0" fontId="26" fillId="0" borderId="21" xfId="3" applyFont="1" applyFill="1" applyBorder="1" applyAlignment="1">
      <alignment horizontal="center"/>
    </xf>
    <xf numFmtId="43" fontId="26" fillId="3" borderId="21" xfId="1" applyNumberFormat="1" applyFont="1" applyFill="1" applyBorder="1" applyAlignment="1">
      <alignment horizontal="center"/>
    </xf>
    <xf numFmtId="165" fontId="19" fillId="2" borderId="21" xfId="1" applyNumberFormat="1" applyFont="1" applyFill="1" applyBorder="1" applyAlignment="1">
      <alignment horizontal="center"/>
    </xf>
    <xf numFmtId="49" fontId="19" fillId="6" borderId="20" xfId="1" applyNumberFormat="1" applyFont="1" applyFill="1" applyBorder="1" applyAlignment="1">
      <alignment horizontal="left" vertical="justify"/>
    </xf>
    <xf numFmtId="0" fontId="18" fillId="6" borderId="21" xfId="2" applyNumberFormat="1" applyFont="1" applyFill="1" applyBorder="1" applyAlignment="1">
      <alignment horizontal="justify"/>
    </xf>
    <xf numFmtId="43" fontId="19" fillId="6" borderId="21" xfId="2" applyFont="1" applyFill="1" applyBorder="1" applyAlignment="1">
      <alignment horizontal="center"/>
    </xf>
    <xf numFmtId="43" fontId="19" fillId="6" borderId="21" xfId="1" applyFont="1" applyFill="1" applyBorder="1" applyAlignment="1">
      <alignment horizontal="center"/>
    </xf>
    <xf numFmtId="49" fontId="19" fillId="10" borderId="20" xfId="1" applyNumberFormat="1" applyFont="1" applyFill="1" applyBorder="1" applyAlignment="1">
      <alignment horizontal="left" vertical="justify"/>
    </xf>
    <xf numFmtId="0" fontId="18" fillId="10" borderId="21" xfId="2" applyNumberFormat="1" applyFont="1" applyFill="1" applyBorder="1" applyAlignment="1">
      <alignment horizontal="justify"/>
    </xf>
    <xf numFmtId="43" fontId="17" fillId="10" borderId="21" xfId="1" applyFont="1" applyFill="1" applyBorder="1" applyAlignment="1">
      <alignment horizontal="center"/>
    </xf>
    <xf numFmtId="43" fontId="19" fillId="10" borderId="22" xfId="2" applyFont="1" applyFill="1" applyBorder="1"/>
    <xf numFmtId="49" fontId="17" fillId="3" borderId="20" xfId="1" applyNumberFormat="1" applyFont="1" applyFill="1" applyBorder="1" applyAlignment="1">
      <alignment horizontal="left" vertical="justify"/>
    </xf>
    <xf numFmtId="0" fontId="18" fillId="10" borderId="21" xfId="2" applyNumberFormat="1" applyFont="1" applyFill="1" applyBorder="1" applyAlignment="1">
      <alignment horizontal="left"/>
    </xf>
    <xf numFmtId="0" fontId="17" fillId="3" borderId="1" xfId="3" applyFont="1" applyFill="1" applyBorder="1" applyAlignment="1">
      <alignment horizontal="left" wrapText="1"/>
    </xf>
    <xf numFmtId="0" fontId="18" fillId="10" borderId="21" xfId="3" applyFont="1" applyFill="1" applyBorder="1" applyAlignment="1">
      <alignment horizontal="left" wrapText="1"/>
    </xf>
    <xf numFmtId="0" fontId="19" fillId="10" borderId="21" xfId="3" applyFont="1" applyFill="1" applyBorder="1" applyAlignment="1">
      <alignment horizontal="center"/>
    </xf>
    <xf numFmtId="49" fontId="19" fillId="2" borderId="20" xfId="2" applyNumberFormat="1" applyFont="1" applyFill="1" applyBorder="1" applyAlignment="1">
      <alignment horizontal="left" vertical="justify"/>
    </xf>
    <xf numFmtId="43" fontId="17" fillId="2" borderId="21" xfId="1" applyNumberFormat="1" applyFont="1" applyFill="1" applyBorder="1" applyAlignment="1">
      <alignment horizontal="center"/>
    </xf>
    <xf numFmtId="49" fontId="17" fillId="2" borderId="20" xfId="2" applyNumberFormat="1" applyFont="1" applyFill="1" applyBorder="1" applyAlignment="1">
      <alignment horizontal="left" vertical="justify"/>
    </xf>
    <xf numFmtId="49" fontId="17" fillId="2" borderId="20" xfId="2" applyNumberFormat="1" applyFont="1" applyFill="1" applyBorder="1" applyAlignment="1">
      <alignment horizontal="left"/>
    </xf>
    <xf numFmtId="0" fontId="19" fillId="2" borderId="21" xfId="2" applyNumberFormat="1" applyFont="1" applyFill="1" applyBorder="1" applyAlignment="1">
      <alignment wrapText="1"/>
    </xf>
    <xf numFmtId="49" fontId="19" fillId="9" borderId="20" xfId="1" applyNumberFormat="1" applyFont="1" applyFill="1" applyBorder="1" applyAlignment="1">
      <alignment horizontal="left" vertical="justify"/>
    </xf>
    <xf numFmtId="0" fontId="18" fillId="9" borderId="21" xfId="2" applyNumberFormat="1" applyFont="1" applyFill="1" applyBorder="1" applyAlignment="1">
      <alignment horizontal="justify"/>
    </xf>
    <xf numFmtId="43" fontId="19" fillId="9" borderId="21" xfId="2" applyFont="1" applyFill="1" applyBorder="1" applyAlignment="1">
      <alignment horizontal="center"/>
    </xf>
    <xf numFmtId="43" fontId="19" fillId="9" borderId="21" xfId="1" applyFont="1" applyFill="1" applyBorder="1" applyAlignment="1">
      <alignment horizontal="center"/>
    </xf>
    <xf numFmtId="165" fontId="19" fillId="9" borderId="21" xfId="1" applyNumberFormat="1" applyFont="1" applyFill="1" applyBorder="1" applyAlignment="1">
      <alignment horizontal="center"/>
    </xf>
    <xf numFmtId="43" fontId="16" fillId="9" borderId="21" xfId="1" applyFont="1" applyFill="1" applyBorder="1"/>
    <xf numFmtId="43" fontId="16" fillId="9" borderId="22" xfId="1" applyFont="1" applyFill="1" applyBorder="1"/>
    <xf numFmtId="43" fontId="17" fillId="3" borderId="21" xfId="1" applyNumberFormat="1" applyFont="1" applyFill="1" applyBorder="1" applyAlignment="1"/>
    <xf numFmtId="43" fontId="15" fillId="3" borderId="22" xfId="1" applyFont="1" applyFill="1" applyBorder="1" applyAlignment="1"/>
    <xf numFmtId="43" fontId="15" fillId="3" borderId="22" xfId="1" applyFont="1" applyFill="1" applyBorder="1"/>
    <xf numFmtId="43" fontId="17" fillId="3" borderId="24" xfId="1" applyNumberFormat="1" applyFont="1" applyFill="1" applyBorder="1" applyAlignment="1"/>
    <xf numFmtId="43" fontId="15" fillId="3" borderId="29" xfId="1" applyFont="1" applyFill="1" applyBorder="1"/>
    <xf numFmtId="0" fontId="16" fillId="0" borderId="26" xfId="0" applyFont="1" applyBorder="1" applyAlignment="1">
      <alignment horizontal="center"/>
    </xf>
    <xf numFmtId="43" fontId="16" fillId="0" borderId="26" xfId="1" applyNumberFormat="1" applyFont="1" applyBorder="1"/>
    <xf numFmtId="165" fontId="16" fillId="0" borderId="26" xfId="1" applyNumberFormat="1" applyFont="1" applyBorder="1"/>
    <xf numFmtId="165" fontId="17" fillId="2" borderId="20" xfId="1" applyNumberFormat="1" applyFont="1" applyFill="1" applyBorder="1" applyAlignment="1">
      <alignment horizontal="left" vertical="justify"/>
    </xf>
    <xf numFmtId="165" fontId="19" fillId="5" borderId="20" xfId="1" applyNumberFormat="1" applyFont="1" applyFill="1" applyBorder="1" applyAlignment="1">
      <alignment horizontal="left" vertical="justify"/>
    </xf>
    <xf numFmtId="0" fontId="17" fillId="5" borderId="21" xfId="3" applyFont="1" applyFill="1" applyBorder="1" applyAlignment="1">
      <alignment horizontal="center"/>
    </xf>
    <xf numFmtId="43" fontId="17" fillId="5" borderId="21" xfId="1" applyFont="1" applyFill="1" applyBorder="1" applyAlignment="1">
      <alignment horizontal="center"/>
    </xf>
    <xf numFmtId="165" fontId="17" fillId="2" borderId="25" xfId="1" applyNumberFormat="1" applyFont="1" applyFill="1" applyBorder="1" applyAlignment="1">
      <alignment horizontal="left" vertical="justify"/>
    </xf>
    <xf numFmtId="165" fontId="17" fillId="2" borderId="28" xfId="1" applyNumberFormat="1" applyFont="1" applyFill="1" applyBorder="1" applyAlignment="1">
      <alignment horizontal="left" vertical="justify"/>
    </xf>
    <xf numFmtId="165" fontId="17" fillId="5" borderId="20" xfId="1" applyNumberFormat="1" applyFont="1" applyFill="1" applyBorder="1" applyAlignment="1">
      <alignment horizontal="left" vertical="justify"/>
    </xf>
    <xf numFmtId="165" fontId="17" fillId="3" borderId="20" xfId="1" applyNumberFormat="1" applyFont="1" applyFill="1" applyBorder="1" applyAlignment="1">
      <alignment horizontal="left" vertical="justify"/>
    </xf>
    <xf numFmtId="0" fontId="18" fillId="3" borderId="21" xfId="2" applyNumberFormat="1" applyFont="1" applyFill="1" applyBorder="1" applyAlignment="1">
      <alignment horizontal="left"/>
    </xf>
    <xf numFmtId="0" fontId="16" fillId="0" borderId="2" xfId="0" applyFont="1" applyBorder="1" applyAlignment="1"/>
    <xf numFmtId="49" fontId="17" fillId="3" borderId="20" xfId="0" applyNumberFormat="1" applyFont="1" applyFill="1" applyBorder="1" applyAlignment="1">
      <alignment horizontal="center" vertical="center"/>
    </xf>
    <xf numFmtId="0" fontId="18" fillId="3" borderId="21" xfId="0" applyFont="1" applyFill="1" applyBorder="1" applyAlignment="1">
      <alignment vertical="center" wrapText="1"/>
    </xf>
    <xf numFmtId="0" fontId="17" fillId="3" borderId="21" xfId="0" applyFont="1" applyFill="1" applyBorder="1" applyAlignment="1">
      <alignment horizontal="center" vertical="center"/>
    </xf>
    <xf numFmtId="43" fontId="17" fillId="3" borderId="21" xfId="0" applyNumberFormat="1" applyFont="1" applyFill="1" applyBorder="1" applyAlignment="1">
      <alignment horizontal="center" vertical="center"/>
    </xf>
    <xf numFmtId="49" fontId="17" fillId="6" borderId="20" xfId="0" applyNumberFormat="1" applyFont="1" applyFill="1" applyBorder="1" applyAlignment="1">
      <alignment horizontal="center" vertical="center"/>
    </xf>
    <xf numFmtId="0" fontId="18" fillId="6" borderId="21" xfId="0" applyFont="1" applyFill="1" applyBorder="1" applyAlignment="1">
      <alignment vertical="center" wrapText="1"/>
    </xf>
    <xf numFmtId="0" fontId="17" fillId="6" borderId="21" xfId="0" applyFont="1" applyFill="1" applyBorder="1" applyAlignment="1">
      <alignment horizontal="center" vertical="center"/>
    </xf>
    <xf numFmtId="43" fontId="17" fillId="6" borderId="21" xfId="0" applyNumberFormat="1" applyFont="1" applyFill="1" applyBorder="1" applyAlignment="1">
      <alignment horizontal="center" vertical="center"/>
    </xf>
    <xf numFmtId="0" fontId="17" fillId="3" borderId="21" xfId="0" applyFont="1" applyFill="1" applyBorder="1" applyAlignment="1">
      <alignment vertical="center" wrapText="1"/>
    </xf>
    <xf numFmtId="0" fontId="21" fillId="3" borderId="21" xfId="0" applyFont="1" applyFill="1" applyBorder="1" applyAlignment="1">
      <alignment vertical="center" wrapText="1"/>
    </xf>
    <xf numFmtId="0" fontId="17" fillId="3" borderId="24" xfId="0" applyFont="1" applyFill="1" applyBorder="1" applyAlignment="1">
      <alignment horizontal="center" vertical="center"/>
    </xf>
    <xf numFmtId="43" fontId="17" fillId="3" borderId="24" xfId="0" applyNumberFormat="1" applyFont="1" applyFill="1" applyBorder="1" applyAlignment="1">
      <alignment horizontal="center" vertical="center"/>
    </xf>
    <xf numFmtId="49" fontId="19" fillId="3" borderId="20" xfId="0" applyNumberFormat="1" applyFont="1" applyFill="1" applyBorder="1" applyAlignment="1">
      <alignment horizontal="center" vertical="top"/>
    </xf>
    <xf numFmtId="0" fontId="18" fillId="3" borderId="21" xfId="0" applyFont="1" applyFill="1" applyBorder="1" applyAlignment="1">
      <alignment vertical="justify" wrapText="1"/>
    </xf>
    <xf numFmtId="49" fontId="17" fillId="3" borderId="20" xfId="0" applyNumberFormat="1" applyFont="1" applyFill="1" applyBorder="1" applyAlignment="1">
      <alignment horizontal="center" vertical="top"/>
    </xf>
    <xf numFmtId="0" fontId="17" fillId="3" borderId="21" xfId="0" applyFont="1" applyFill="1" applyBorder="1" applyAlignment="1">
      <alignment wrapText="1"/>
    </xf>
    <xf numFmtId="0" fontId="17" fillId="3" borderId="21" xfId="0" applyFont="1" applyFill="1" applyBorder="1" applyAlignment="1">
      <alignment horizontal="center"/>
    </xf>
    <xf numFmtId="43" fontId="17" fillId="3" borderId="21" xfId="0" applyNumberFormat="1" applyFont="1" applyFill="1" applyBorder="1" applyAlignment="1">
      <alignment horizontal="center"/>
    </xf>
    <xf numFmtId="0" fontId="17" fillId="3" borderId="21" xfId="0" applyFont="1" applyFill="1" applyBorder="1" applyAlignment="1">
      <alignment vertical="justify" wrapText="1"/>
    </xf>
    <xf numFmtId="0" fontId="19" fillId="3" borderId="21" xfId="0" applyFont="1" applyFill="1" applyBorder="1" applyAlignment="1">
      <alignment horizontal="center" vertical="center"/>
    </xf>
    <xf numFmtId="43" fontId="19" fillId="3" borderId="21" xfId="0" applyNumberFormat="1" applyFont="1" applyFill="1" applyBorder="1" applyAlignment="1">
      <alignment horizontal="center" vertical="center"/>
    </xf>
    <xf numFmtId="0" fontId="17" fillId="3" borderId="21" xfId="0" applyFont="1" applyFill="1" applyBorder="1" applyAlignment="1">
      <alignment vertical="top" wrapText="1"/>
    </xf>
    <xf numFmtId="168" fontId="2" fillId="11" borderId="20" xfId="4" applyNumberFormat="1" applyFont="1" applyFill="1" applyBorder="1" applyAlignment="1" applyProtection="1">
      <alignment horizontal="left" wrapText="1"/>
    </xf>
    <xf numFmtId="167" fontId="28" fillId="11" borderId="21" xfId="4" applyFont="1" applyFill="1" applyBorder="1" applyAlignment="1" applyProtection="1">
      <alignment horizontal="justify" wrapText="1"/>
    </xf>
    <xf numFmtId="43" fontId="29" fillId="0" borderId="21" xfId="1" applyFont="1" applyFill="1" applyBorder="1" applyAlignment="1" applyProtection="1">
      <alignment horizontal="center"/>
    </xf>
    <xf numFmtId="0" fontId="29" fillId="0" borderId="21" xfId="5" applyFont="1" applyFill="1" applyBorder="1" applyAlignment="1">
      <alignment horizontal="center"/>
    </xf>
    <xf numFmtId="167" fontId="31" fillId="0" borderId="21" xfId="6" applyNumberFormat="1" applyFont="1" applyFill="1" applyBorder="1" applyAlignment="1" applyProtection="1">
      <alignment horizontal="right"/>
    </xf>
    <xf numFmtId="43" fontId="30" fillId="0" borderId="22" xfId="1" applyFont="1" applyBorder="1"/>
    <xf numFmtId="170" fontId="17" fillId="0" borderId="20" xfId="4" applyNumberFormat="1" applyFont="1" applyFill="1" applyBorder="1" applyAlignment="1" applyProtection="1">
      <alignment horizontal="left" wrapText="1"/>
    </xf>
    <xf numFmtId="167" fontId="16" fillId="11" borderId="21" xfId="4" applyFont="1" applyFill="1" applyBorder="1" applyAlignment="1" applyProtection="1">
      <alignment horizontal="left" wrapText="1"/>
    </xf>
    <xf numFmtId="43" fontId="16" fillId="0" borderId="21" xfId="1" applyFont="1" applyFill="1" applyBorder="1" applyAlignment="1" applyProtection="1">
      <alignment horizontal="center"/>
    </xf>
    <xf numFmtId="167" fontId="16" fillId="0" borderId="21" xfId="6" applyNumberFormat="1" applyFont="1" applyFill="1" applyBorder="1" applyAlignment="1" applyProtection="1">
      <alignment horizontal="right"/>
    </xf>
    <xf numFmtId="0" fontId="18" fillId="2" borderId="21" xfId="2" quotePrefix="1" applyNumberFormat="1" applyFont="1" applyFill="1" applyBorder="1" applyAlignment="1">
      <alignment horizontal="left"/>
    </xf>
    <xf numFmtId="0" fontId="17" fillId="2" borderId="21" xfId="2" quotePrefix="1" applyNumberFormat="1" applyFont="1" applyFill="1" applyBorder="1" applyAlignment="1">
      <alignment horizontal="left"/>
    </xf>
    <xf numFmtId="0" fontId="21" fillId="2" borderId="21" xfId="2" quotePrefix="1" applyNumberFormat="1" applyFont="1" applyFill="1" applyBorder="1" applyAlignment="1">
      <alignment horizontal="left"/>
    </xf>
    <xf numFmtId="49" fontId="17" fillId="3" borderId="28" xfId="0" applyNumberFormat="1" applyFont="1" applyFill="1" applyBorder="1" applyAlignment="1">
      <alignment horizontal="center" vertical="center"/>
    </xf>
    <xf numFmtId="0" fontId="17" fillId="3" borderId="24" xfId="0" applyFont="1" applyFill="1" applyBorder="1" applyAlignment="1">
      <alignment vertical="center" wrapText="1"/>
    </xf>
    <xf numFmtId="43" fontId="16" fillId="3" borderId="29" xfId="1" applyFont="1" applyFill="1" applyBorder="1"/>
    <xf numFmtId="0" fontId="17" fillId="0" borderId="24" xfId="3" applyFont="1" applyBorder="1" applyAlignment="1">
      <alignment horizontal="left" wrapText="1"/>
    </xf>
    <xf numFmtId="0" fontId="17" fillId="0" borderId="24" xfId="3" applyFont="1" applyBorder="1" applyAlignment="1">
      <alignment horizontal="center"/>
    </xf>
    <xf numFmtId="49" fontId="17" fillId="3" borderId="28" xfId="1" applyNumberFormat="1" applyFont="1" applyFill="1" applyBorder="1" applyAlignment="1">
      <alignment horizontal="left" vertical="justify"/>
    </xf>
    <xf numFmtId="0" fontId="17" fillId="3" borderId="24" xfId="3" applyFont="1" applyFill="1" applyBorder="1" applyAlignment="1">
      <alignment horizontal="left" wrapText="1"/>
    </xf>
    <xf numFmtId="0" fontId="17" fillId="3" borderId="24" xfId="3" applyFont="1" applyFill="1" applyBorder="1" applyAlignment="1">
      <alignment horizontal="center"/>
    </xf>
    <xf numFmtId="43" fontId="17" fillId="3" borderId="24" xfId="1" applyFont="1" applyFill="1" applyBorder="1" applyAlignment="1">
      <alignment horizontal="center"/>
    </xf>
    <xf numFmtId="0" fontId="17" fillId="2" borderId="0" xfId="2" applyNumberFormat="1" applyFont="1" applyFill="1" applyBorder="1" applyAlignment="1">
      <alignment horizontal="left" wrapText="1"/>
    </xf>
    <xf numFmtId="0" fontId="17" fillId="2" borderId="24" xfId="2" applyNumberFormat="1" applyFont="1" applyFill="1" applyBorder="1" applyAlignment="1">
      <alignment horizontal="left" vertical="top" wrapText="1"/>
    </xf>
    <xf numFmtId="0" fontId="11" fillId="0" borderId="0" xfId="0" applyFont="1" applyAlignment="1">
      <alignment horizontal="center"/>
    </xf>
    <xf numFmtId="0" fontId="21" fillId="3" borderId="21" xfId="2" applyNumberFormat="1" applyFont="1" applyFill="1" applyBorder="1" applyAlignment="1">
      <alignment horizontal="justify"/>
    </xf>
    <xf numFmtId="43" fontId="17" fillId="3" borderId="21" xfId="2" applyFont="1" applyFill="1" applyBorder="1" applyAlignment="1">
      <alignment horizontal="center"/>
    </xf>
    <xf numFmtId="43" fontId="19" fillId="3" borderId="22" xfId="2" applyFont="1" applyFill="1" applyBorder="1"/>
    <xf numFmtId="0" fontId="18" fillId="3" borderId="21" xfId="2" applyNumberFormat="1" applyFont="1" applyFill="1" applyBorder="1" applyAlignment="1">
      <alignment horizontal="justify"/>
    </xf>
    <xf numFmtId="49" fontId="17" fillId="2" borderId="24" xfId="2" applyNumberFormat="1" applyFont="1" applyFill="1" applyBorder="1" applyAlignment="1">
      <alignment horizontal="center"/>
    </xf>
    <xf numFmtId="0" fontId="16" fillId="0" borderId="24" xfId="0" applyFont="1" applyBorder="1"/>
    <xf numFmtId="49" fontId="16" fillId="0" borderId="28" xfId="0" applyNumberFormat="1" applyFont="1" applyBorder="1" applyAlignment="1">
      <alignment vertical="top"/>
    </xf>
    <xf numFmtId="49" fontId="16" fillId="0" borderId="25" xfId="0" applyNumberFormat="1" applyFont="1" applyBorder="1"/>
    <xf numFmtId="0" fontId="16" fillId="0" borderId="26" xfId="0" applyFont="1" applyBorder="1" applyAlignment="1">
      <alignment wrapText="1"/>
    </xf>
    <xf numFmtId="49" fontId="17" fillId="2" borderId="28" xfId="2" applyNumberFormat="1" applyFont="1" applyFill="1" applyBorder="1" applyAlignment="1">
      <alignment horizontal="center" vertical="top"/>
    </xf>
    <xf numFmtId="0" fontId="17" fillId="0" borderId="24" xfId="3" applyFont="1" applyFill="1" applyBorder="1" applyAlignment="1">
      <alignment horizontal="center"/>
    </xf>
    <xf numFmtId="43" fontId="16" fillId="0" borderId="24" xfId="1" applyFont="1" applyBorder="1" applyAlignment="1"/>
    <xf numFmtId="43" fontId="16" fillId="0" borderId="29" xfId="1" applyFont="1" applyBorder="1" applyAlignment="1"/>
    <xf numFmtId="49" fontId="17" fillId="3" borderId="28" xfId="0" applyNumberFormat="1" applyFont="1" applyFill="1" applyBorder="1" applyAlignment="1">
      <alignment horizontal="center" vertical="top"/>
    </xf>
    <xf numFmtId="0" fontId="17" fillId="3" borderId="24" xfId="0" applyFont="1" applyFill="1" applyBorder="1" applyAlignment="1">
      <alignment vertical="justify" wrapText="1"/>
    </xf>
    <xf numFmtId="165" fontId="17" fillId="3" borderId="24" xfId="1" applyNumberFormat="1" applyFont="1" applyFill="1" applyBorder="1" applyAlignment="1">
      <alignment horizontal="center"/>
    </xf>
    <xf numFmtId="0" fontId="11" fillId="0" borderId="0" xfId="0" applyFont="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22" fillId="0" borderId="0" xfId="0" applyNumberFormat="1" applyFont="1" applyAlignment="1">
      <alignment horizontal="center"/>
    </xf>
    <xf numFmtId="0" fontId="19" fillId="2" borderId="21" xfId="2" applyNumberFormat="1" applyFont="1" applyFill="1" applyBorder="1" applyAlignment="1">
      <alignment horizontal="left" wrapText="1"/>
    </xf>
    <xf numFmtId="0" fontId="19" fillId="2" borderId="21" xfId="2" applyNumberFormat="1" applyFont="1" applyFill="1" applyBorder="1" applyAlignment="1">
      <alignment horizontal="left"/>
    </xf>
    <xf numFmtId="0" fontId="19" fillId="2" borderId="22" xfId="2" applyNumberFormat="1" applyFont="1" applyFill="1" applyBorder="1" applyAlignment="1">
      <alignment horizontal="left"/>
    </xf>
    <xf numFmtId="0" fontId="17" fillId="2" borderId="14" xfId="2" applyNumberFormat="1" applyFont="1" applyFill="1" applyBorder="1" applyAlignment="1">
      <alignment horizontal="left" vertical="top" wrapText="1"/>
    </xf>
    <xf numFmtId="0" fontId="17" fillId="2" borderId="15" xfId="2" applyNumberFormat="1" applyFont="1" applyFill="1" applyBorder="1" applyAlignment="1">
      <alignment horizontal="left" vertical="top" wrapText="1"/>
    </xf>
    <xf numFmtId="0" fontId="17" fillId="2" borderId="16" xfId="2" applyNumberFormat="1" applyFont="1" applyFill="1" applyBorder="1" applyAlignment="1">
      <alignment horizontal="left" vertical="top" wrapText="1"/>
    </xf>
    <xf numFmtId="0" fontId="17" fillId="2" borderId="13" xfId="2" applyNumberFormat="1" applyFont="1" applyFill="1" applyBorder="1" applyAlignment="1">
      <alignment horizontal="left" vertical="top" wrapText="1"/>
    </xf>
    <xf numFmtId="0" fontId="17" fillId="2" borderId="0" xfId="2" applyNumberFormat="1" applyFont="1" applyFill="1" applyBorder="1" applyAlignment="1">
      <alignment horizontal="left" vertical="top" wrapText="1"/>
    </xf>
    <xf numFmtId="0" fontId="17" fillId="2" borderId="23" xfId="2" applyNumberFormat="1" applyFont="1" applyFill="1" applyBorder="1" applyAlignment="1">
      <alignment horizontal="left" vertical="top" wrapText="1"/>
    </xf>
    <xf numFmtId="0" fontId="17" fillId="2" borderId="14" xfId="2" applyNumberFormat="1" applyFont="1" applyFill="1" applyBorder="1" applyAlignment="1">
      <alignment horizontal="left" wrapText="1"/>
    </xf>
    <xf numFmtId="0" fontId="17" fillId="2" borderId="15" xfId="2" applyNumberFormat="1" applyFont="1" applyFill="1" applyBorder="1" applyAlignment="1">
      <alignment horizontal="left" wrapText="1"/>
    </xf>
    <xf numFmtId="0" fontId="17" fillId="2" borderId="16" xfId="2" applyNumberFormat="1" applyFont="1" applyFill="1" applyBorder="1" applyAlignment="1">
      <alignment horizontal="left" wrapText="1"/>
    </xf>
    <xf numFmtId="0" fontId="17" fillId="2" borderId="13" xfId="2" applyNumberFormat="1" applyFont="1" applyFill="1" applyBorder="1" applyAlignment="1">
      <alignment horizontal="left" wrapText="1"/>
    </xf>
    <xf numFmtId="0" fontId="17" fillId="2" borderId="0" xfId="2" applyNumberFormat="1" applyFont="1" applyFill="1" applyBorder="1" applyAlignment="1">
      <alignment horizontal="left" wrapText="1"/>
    </xf>
    <xf numFmtId="0" fontId="17" fillId="2" borderId="23" xfId="2" applyNumberFormat="1" applyFont="1" applyFill="1" applyBorder="1" applyAlignment="1">
      <alignment horizontal="left" wrapText="1"/>
    </xf>
    <xf numFmtId="0" fontId="17" fillId="2" borderId="17" xfId="2" applyNumberFormat="1" applyFont="1" applyFill="1" applyBorder="1" applyAlignment="1">
      <alignment horizontal="left" wrapText="1"/>
    </xf>
    <xf numFmtId="0" fontId="17" fillId="2" borderId="18" xfId="2" applyNumberFormat="1" applyFont="1" applyFill="1" applyBorder="1" applyAlignment="1">
      <alignment horizontal="left" wrapText="1"/>
    </xf>
    <xf numFmtId="0" fontId="17" fillId="2" borderId="19" xfId="2" applyNumberFormat="1" applyFont="1" applyFill="1" applyBorder="1" applyAlignment="1">
      <alignment horizontal="left" wrapText="1"/>
    </xf>
    <xf numFmtId="0" fontId="19" fillId="2" borderId="13" xfId="2" applyNumberFormat="1" applyFont="1" applyFill="1" applyBorder="1" applyAlignment="1">
      <alignment horizontal="left" wrapText="1"/>
    </xf>
    <xf numFmtId="0" fontId="19" fillId="2" borderId="0" xfId="2" applyNumberFormat="1" applyFont="1" applyFill="1" applyBorder="1" applyAlignment="1">
      <alignment horizontal="left" wrapText="1"/>
    </xf>
    <xf numFmtId="0" fontId="19" fillId="2" borderId="23" xfId="2" applyNumberFormat="1" applyFont="1" applyFill="1" applyBorder="1" applyAlignment="1">
      <alignment horizontal="left" wrapText="1"/>
    </xf>
    <xf numFmtId="0" fontId="19" fillId="2" borderId="17" xfId="2" applyNumberFormat="1" applyFont="1" applyFill="1" applyBorder="1" applyAlignment="1">
      <alignment horizontal="left" wrapText="1"/>
    </xf>
    <xf numFmtId="0" fontId="19" fillId="2" borderId="18" xfId="2" applyNumberFormat="1" applyFont="1" applyFill="1" applyBorder="1" applyAlignment="1">
      <alignment horizontal="left" wrapText="1"/>
    </xf>
    <xf numFmtId="0" fontId="19" fillId="2" borderId="19" xfId="2" applyNumberFormat="1" applyFont="1" applyFill="1" applyBorder="1" applyAlignment="1">
      <alignment horizontal="left" wrapText="1"/>
    </xf>
  </cellXfs>
  <cellStyles count="7">
    <cellStyle name="Comma" xfId="1" builtinId="3"/>
    <cellStyle name="Comma 2" xfId="2"/>
    <cellStyle name="Comma 2 2" xfId="4"/>
    <cellStyle name="Currency 2 2" xfId="6"/>
    <cellStyle name="Normal" xfId="0" builtinId="0"/>
    <cellStyle name="Normal 2" xfId="3"/>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2130937</xdr:colOff>
      <xdr:row>29</xdr:row>
      <xdr:rowOff>104775</xdr:rowOff>
    </xdr:from>
    <xdr:to>
      <xdr:col>0</xdr:col>
      <xdr:colOff>4171950</xdr:colOff>
      <xdr:row>30</xdr:row>
      <xdr:rowOff>762000</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30937" y="6972300"/>
          <a:ext cx="2041013"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47625</xdr:rowOff>
    </xdr:from>
    <xdr:to>
      <xdr:col>6</xdr:col>
      <xdr:colOff>771525</xdr:colOff>
      <xdr:row>54</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33"/>
  <sheetViews>
    <sheetView tabSelected="1" workbookViewId="0">
      <selection activeCell="A11" sqref="A11"/>
    </sheetView>
  </sheetViews>
  <sheetFormatPr defaultRowHeight="15" x14ac:dyDescent="0.25"/>
  <cols>
    <col min="1" max="1" width="100.85546875" style="18" customWidth="1"/>
    <col min="2" max="16384" width="9.140625" style="18"/>
  </cols>
  <sheetData>
    <row r="10" spans="1:1" ht="33.75" x14ac:dyDescent="0.65">
      <c r="A10" s="17" t="s">
        <v>353</v>
      </c>
    </row>
    <row r="11" spans="1:1" ht="18.75" x14ac:dyDescent="0.4">
      <c r="A11" s="378" t="s">
        <v>572</v>
      </c>
    </row>
    <row r="12" spans="1:1" ht="18.75" x14ac:dyDescent="0.4">
      <c r="A12" s="19"/>
    </row>
    <row r="13" spans="1:1" ht="18.75" x14ac:dyDescent="0.4">
      <c r="A13" s="19"/>
    </row>
    <row r="14" spans="1:1" ht="24.75" x14ac:dyDescent="0.5">
      <c r="A14" s="20"/>
    </row>
    <row r="15" spans="1:1" ht="18.75" x14ac:dyDescent="0.4">
      <c r="A15" s="19"/>
    </row>
    <row r="16" spans="1:1" ht="18.75" x14ac:dyDescent="0.4">
      <c r="A16" s="19"/>
    </row>
    <row r="17" spans="1:1" s="22" customFormat="1" ht="47.25" customHeight="1" x14ac:dyDescent="0.25">
      <c r="A17" s="21" t="s">
        <v>428</v>
      </c>
    </row>
    <row r="23" spans="1:1" ht="18.75" x14ac:dyDescent="0.4">
      <c r="A23" s="23" t="s">
        <v>341</v>
      </c>
    </row>
    <row r="24" spans="1:1" ht="18.75" x14ac:dyDescent="0.4">
      <c r="A24" s="24" t="s">
        <v>339</v>
      </c>
    </row>
    <row r="25" spans="1:1" ht="18.75" x14ac:dyDescent="0.4">
      <c r="A25" s="24" t="s">
        <v>340</v>
      </c>
    </row>
    <row r="26" spans="1:1" ht="18.75" x14ac:dyDescent="0.4">
      <c r="A26" s="19"/>
    </row>
    <row r="27" spans="1:1" ht="18.75" x14ac:dyDescent="0.4">
      <c r="A27" s="19"/>
    </row>
    <row r="28" spans="1:1" ht="18.75" x14ac:dyDescent="0.4">
      <c r="A28" s="19"/>
    </row>
    <row r="29" spans="1:1" ht="18.75" x14ac:dyDescent="0.4">
      <c r="A29" s="23" t="s">
        <v>166</v>
      </c>
    </row>
    <row r="30" spans="1:1" ht="18.75" customHeight="1" x14ac:dyDescent="0.25">
      <c r="A30" s="395"/>
    </row>
    <row r="31" spans="1:1" ht="65.25" customHeight="1" x14ac:dyDescent="0.25">
      <c r="A31" s="395"/>
    </row>
    <row r="32" spans="1:1" ht="18.75" x14ac:dyDescent="0.4">
      <c r="A32" s="25"/>
    </row>
    <row r="33" spans="1:1" ht="18.75" x14ac:dyDescent="0.4">
      <c r="A33" s="19"/>
    </row>
  </sheetData>
  <mergeCells count="1">
    <mergeCell ref="A30:A31"/>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20" sqref="B20"/>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396" t="s">
        <v>427</v>
      </c>
      <c r="B1" s="396"/>
      <c r="C1" s="396"/>
    </row>
    <row r="2" spans="1:6" ht="15.75" x14ac:dyDescent="0.25">
      <c r="A2" s="397" t="s">
        <v>76</v>
      </c>
      <c r="B2" s="397"/>
      <c r="C2" s="397"/>
    </row>
    <row r="3" spans="1:6" ht="15.75" thickBot="1" x14ac:dyDescent="0.3">
      <c r="A3" s="1"/>
      <c r="B3" s="2"/>
      <c r="C3" s="3"/>
    </row>
    <row r="4" spans="1:6" ht="20.100000000000001" customHeight="1" thickTop="1" thickBot="1" x14ac:dyDescent="0.35">
      <c r="A4" s="4" t="s">
        <v>77</v>
      </c>
      <c r="B4" s="5" t="s">
        <v>78</v>
      </c>
      <c r="C4" s="6" t="s">
        <v>79</v>
      </c>
    </row>
    <row r="5" spans="1:6" ht="24.95" customHeight="1" thickTop="1" x14ac:dyDescent="0.25">
      <c r="A5" s="7" t="s">
        <v>80</v>
      </c>
      <c r="B5" s="8" t="s">
        <v>18</v>
      </c>
      <c r="C5" s="9">
        <f>Boq!G44</f>
        <v>0</v>
      </c>
    </row>
    <row r="6" spans="1:6" ht="24.95" customHeight="1" x14ac:dyDescent="0.25">
      <c r="A6" s="10" t="s">
        <v>81</v>
      </c>
      <c r="B6" s="11" t="s">
        <v>82</v>
      </c>
      <c r="C6" s="12">
        <f>Boq!G79</f>
        <v>0</v>
      </c>
    </row>
    <row r="7" spans="1:6" ht="24.95" customHeight="1" x14ac:dyDescent="0.25">
      <c r="A7" s="10" t="s">
        <v>83</v>
      </c>
      <c r="B7" s="11" t="s">
        <v>84</v>
      </c>
      <c r="C7" s="12">
        <f>Boq!G386</f>
        <v>0</v>
      </c>
    </row>
    <row r="8" spans="1:6" ht="24.95" customHeight="1" x14ac:dyDescent="0.25">
      <c r="A8" s="10" t="s">
        <v>85</v>
      </c>
      <c r="B8" s="11" t="s">
        <v>86</v>
      </c>
      <c r="C8" s="12">
        <f>Boq!G453</f>
        <v>0</v>
      </c>
    </row>
    <row r="9" spans="1:6" ht="24.95" customHeight="1" x14ac:dyDescent="0.25">
      <c r="A9" s="10" t="s">
        <v>87</v>
      </c>
      <c r="B9" s="11" t="s">
        <v>88</v>
      </c>
      <c r="C9" s="12">
        <f>Boq!G608</f>
        <v>0</v>
      </c>
    </row>
    <row r="10" spans="1:6" ht="24.95" customHeight="1" x14ac:dyDescent="0.25">
      <c r="A10" s="10" t="s">
        <v>89</v>
      </c>
      <c r="B10" s="11" t="s">
        <v>91</v>
      </c>
      <c r="C10" s="12">
        <f>Boq!G706</f>
        <v>0</v>
      </c>
    </row>
    <row r="11" spans="1:6" ht="24.95" customHeight="1" x14ac:dyDescent="0.25">
      <c r="A11" s="10" t="s">
        <v>90</v>
      </c>
      <c r="B11" s="11" t="s">
        <v>93</v>
      </c>
      <c r="C11" s="12">
        <f>Boq!G751</f>
        <v>0</v>
      </c>
    </row>
    <row r="12" spans="1:6" ht="24.95" customHeight="1" x14ac:dyDescent="0.25">
      <c r="A12" s="10" t="s">
        <v>92</v>
      </c>
      <c r="B12" s="11" t="s">
        <v>95</v>
      </c>
      <c r="C12" s="12">
        <f>Boq!G781</f>
        <v>0</v>
      </c>
    </row>
    <row r="13" spans="1:6" ht="24.95" customHeight="1" x14ac:dyDescent="0.25">
      <c r="A13" s="10" t="s">
        <v>94</v>
      </c>
      <c r="B13" s="11" t="s">
        <v>97</v>
      </c>
      <c r="C13" s="12">
        <f>Boq!G815</f>
        <v>0</v>
      </c>
    </row>
    <row r="14" spans="1:6" ht="24.95" customHeight="1" x14ac:dyDescent="0.25">
      <c r="A14" s="10" t="s">
        <v>96</v>
      </c>
      <c r="B14" s="11" t="s">
        <v>99</v>
      </c>
      <c r="C14" s="12">
        <f>Boq!G900</f>
        <v>0</v>
      </c>
    </row>
    <row r="15" spans="1:6" ht="24.95" customHeight="1" x14ac:dyDescent="0.25">
      <c r="A15" s="10" t="s">
        <v>98</v>
      </c>
      <c r="B15" s="11" t="s">
        <v>100</v>
      </c>
      <c r="C15" s="12">
        <f>Boq!G1019</f>
        <v>0</v>
      </c>
    </row>
    <row r="16" spans="1:6" ht="24.95" customHeight="1" x14ac:dyDescent="0.25">
      <c r="A16" s="10" t="s">
        <v>317</v>
      </c>
      <c r="B16" s="11" t="s">
        <v>415</v>
      </c>
      <c r="C16" s="12">
        <f>Boq!G1062</f>
        <v>0</v>
      </c>
      <c r="F16" s="16" t="e">
        <f>C19/#REF!</f>
        <v>#REF!</v>
      </c>
    </row>
    <row r="17" spans="1:6" ht="24.95" customHeight="1" x14ac:dyDescent="0.25">
      <c r="A17" s="10" t="s">
        <v>327</v>
      </c>
      <c r="B17" s="11" t="s">
        <v>329</v>
      </c>
      <c r="C17" s="12">
        <f>Boq!G1121</f>
        <v>0</v>
      </c>
    </row>
    <row r="18" spans="1:6" ht="24.95" customHeight="1" thickBot="1" x14ac:dyDescent="0.3">
      <c r="A18" s="10" t="s">
        <v>328</v>
      </c>
      <c r="B18" s="11" t="s">
        <v>330</v>
      </c>
      <c r="C18" s="12">
        <f>-Boq!G1180</f>
        <v>0</v>
      </c>
      <c r="F18" s="16">
        <f>C19*3%</f>
        <v>0</v>
      </c>
    </row>
    <row r="19" spans="1:6" ht="24.95" customHeight="1" thickTop="1" thickBot="1" x14ac:dyDescent="0.3">
      <c r="A19" s="13"/>
      <c r="B19" s="14" t="s">
        <v>313</v>
      </c>
      <c r="C19" s="15">
        <f>SUM(C5:C18)</f>
        <v>0</v>
      </c>
      <c r="F19" s="16">
        <f>C19*0.05</f>
        <v>0</v>
      </c>
    </row>
    <row r="20" spans="1:6" ht="24.95" customHeight="1" thickTop="1" thickBot="1" x14ac:dyDescent="0.3">
      <c r="A20" s="13"/>
      <c r="B20" s="14" t="s">
        <v>314</v>
      </c>
      <c r="C20" s="15">
        <f>C19*6%</f>
        <v>0</v>
      </c>
    </row>
    <row r="21" spans="1:6" ht="31.5" customHeight="1" thickTop="1" thickBot="1" x14ac:dyDescent="0.3">
      <c r="A21" s="13"/>
      <c r="B21" s="14" t="s">
        <v>315</v>
      </c>
      <c r="C21" s="15">
        <f>C19+C20</f>
        <v>0</v>
      </c>
    </row>
    <row r="22"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80"/>
  <sheetViews>
    <sheetView view="pageBreakPreview" topLeftCell="A53" zoomScaleNormal="100" zoomScaleSheetLayoutView="100" workbookViewId="0">
      <selection activeCell="B69" sqref="B69"/>
    </sheetView>
  </sheetViews>
  <sheetFormatPr defaultRowHeight="12" x14ac:dyDescent="0.2"/>
  <cols>
    <col min="1" max="1" width="6.85546875" style="27" customWidth="1"/>
    <col min="2" max="2" width="37.85546875" style="28" customWidth="1"/>
    <col min="3" max="3" width="5.140625" style="29" customWidth="1"/>
    <col min="4" max="4" width="9.140625" style="30" customWidth="1"/>
    <col min="5" max="5" width="11.85546875" style="31" customWidth="1"/>
    <col min="6" max="7" width="11.5703125" style="32" customWidth="1"/>
    <col min="8" max="8" width="4.5703125" style="28" customWidth="1"/>
    <col min="9" max="9" width="14.42578125" style="28" customWidth="1"/>
    <col min="10" max="10" width="9.140625" style="28" customWidth="1"/>
    <col min="11" max="11" width="9" style="28" customWidth="1"/>
    <col min="12" max="12" width="9.42578125" style="28" customWidth="1"/>
    <col min="13" max="13" width="11.28515625" style="28" customWidth="1"/>
    <col min="14" max="14" width="9.28515625" style="28" customWidth="1"/>
    <col min="15" max="15" width="10.42578125" style="28" customWidth="1"/>
    <col min="16" max="16384" width="9.140625" style="28"/>
  </cols>
  <sheetData>
    <row r="1" spans="1:10" s="26" customFormat="1" ht="18.75" customHeight="1" x14ac:dyDescent="0.2">
      <c r="A1" s="398" t="s">
        <v>429</v>
      </c>
      <c r="B1" s="398"/>
      <c r="C1" s="398"/>
      <c r="D1" s="398"/>
      <c r="E1" s="398"/>
      <c r="F1" s="398"/>
      <c r="G1" s="398"/>
    </row>
    <row r="2" spans="1:10" ht="12.75" thickBot="1" x14ac:dyDescent="0.25"/>
    <row r="3" spans="1:10" s="39" customFormat="1" ht="24" x14ac:dyDescent="0.25">
      <c r="A3" s="33" t="s">
        <v>0</v>
      </c>
      <c r="B3" s="34" t="s">
        <v>1</v>
      </c>
      <c r="C3" s="34" t="s">
        <v>2</v>
      </c>
      <c r="D3" s="35" t="s">
        <v>3</v>
      </c>
      <c r="E3" s="36" t="s">
        <v>4</v>
      </c>
      <c r="F3" s="37" t="s">
        <v>5</v>
      </c>
      <c r="G3" s="38" t="s">
        <v>6</v>
      </c>
    </row>
    <row r="4" spans="1:10" s="39" customFormat="1" x14ac:dyDescent="0.2">
      <c r="A4" s="40"/>
      <c r="B4" s="41" t="s">
        <v>17</v>
      </c>
      <c r="C4" s="42"/>
      <c r="D4" s="43"/>
      <c r="E4" s="44"/>
      <c r="F4" s="45"/>
      <c r="G4" s="46"/>
      <c r="I4" s="47"/>
      <c r="J4" s="48"/>
    </row>
    <row r="5" spans="1:10" s="39" customFormat="1" x14ac:dyDescent="0.2">
      <c r="A5" s="40"/>
      <c r="B5" s="49" t="s">
        <v>18</v>
      </c>
      <c r="C5" s="42"/>
      <c r="D5" s="43"/>
      <c r="E5" s="44"/>
      <c r="F5" s="45"/>
      <c r="G5" s="46"/>
    </row>
    <row r="6" spans="1:10" s="39" customFormat="1" x14ac:dyDescent="0.2">
      <c r="A6" s="40"/>
      <c r="B6" s="50"/>
      <c r="C6" s="42"/>
      <c r="D6" s="43"/>
      <c r="E6" s="44"/>
      <c r="F6" s="45"/>
      <c r="G6" s="46"/>
    </row>
    <row r="7" spans="1:10" s="39" customFormat="1" x14ac:dyDescent="0.2">
      <c r="A7" s="40">
        <v>1.1000000000000001</v>
      </c>
      <c r="B7" s="51" t="s">
        <v>19</v>
      </c>
      <c r="C7" s="42"/>
      <c r="D7" s="43"/>
      <c r="E7" s="44"/>
      <c r="F7" s="45"/>
      <c r="G7" s="46"/>
    </row>
    <row r="8" spans="1:10" s="39" customFormat="1" x14ac:dyDescent="0.2">
      <c r="A8" s="52" t="s">
        <v>7</v>
      </c>
      <c r="B8" s="53" t="s">
        <v>20</v>
      </c>
      <c r="C8" s="42"/>
      <c r="D8" s="43"/>
      <c r="E8" s="44"/>
      <c r="F8" s="45"/>
      <c r="G8" s="46"/>
    </row>
    <row r="9" spans="1:10" s="39" customFormat="1" x14ac:dyDescent="0.2">
      <c r="A9" s="40"/>
      <c r="B9" s="54" t="s">
        <v>21</v>
      </c>
      <c r="C9" s="42"/>
      <c r="D9" s="43"/>
      <c r="E9" s="44"/>
      <c r="F9" s="45"/>
      <c r="G9" s="46"/>
    </row>
    <row r="10" spans="1:10" s="39" customFormat="1" x14ac:dyDescent="0.2">
      <c r="A10" s="40"/>
      <c r="B10" s="54" t="s">
        <v>22</v>
      </c>
      <c r="C10" s="42"/>
      <c r="D10" s="43"/>
      <c r="E10" s="44"/>
      <c r="F10" s="45"/>
      <c r="G10" s="46"/>
    </row>
    <row r="11" spans="1:10" s="39" customFormat="1" x14ac:dyDescent="0.2">
      <c r="A11" s="40"/>
      <c r="B11" s="54" t="s">
        <v>23</v>
      </c>
      <c r="C11" s="42"/>
      <c r="D11" s="43"/>
      <c r="E11" s="44"/>
      <c r="F11" s="45"/>
      <c r="G11" s="46"/>
    </row>
    <row r="12" spans="1:10" s="39" customFormat="1" x14ac:dyDescent="0.2">
      <c r="A12" s="40"/>
      <c r="B12" s="54" t="s">
        <v>24</v>
      </c>
      <c r="C12" s="42"/>
      <c r="D12" s="43"/>
      <c r="E12" s="44"/>
      <c r="F12" s="45"/>
      <c r="G12" s="46"/>
    </row>
    <row r="13" spans="1:10" s="39" customFormat="1" x14ac:dyDescent="0.2">
      <c r="A13" s="40"/>
      <c r="B13" s="54" t="s">
        <v>21</v>
      </c>
      <c r="C13" s="42"/>
      <c r="D13" s="43"/>
      <c r="E13" s="44"/>
      <c r="F13" s="45"/>
      <c r="G13" s="46"/>
    </row>
    <row r="14" spans="1:10" s="39" customFormat="1" x14ac:dyDescent="0.2">
      <c r="A14" s="40"/>
      <c r="B14" s="54" t="s">
        <v>25</v>
      </c>
      <c r="C14" s="42"/>
      <c r="D14" s="43"/>
      <c r="E14" s="44"/>
      <c r="F14" s="45"/>
      <c r="G14" s="46"/>
    </row>
    <row r="15" spans="1:10" s="39" customFormat="1" x14ac:dyDescent="0.2">
      <c r="A15" s="40"/>
      <c r="B15" s="54" t="s">
        <v>26</v>
      </c>
      <c r="C15" s="42"/>
      <c r="D15" s="43"/>
      <c r="E15" s="44"/>
      <c r="F15" s="45"/>
      <c r="G15" s="46"/>
    </row>
    <row r="16" spans="1:10" s="39" customFormat="1" x14ac:dyDescent="0.2">
      <c r="A16" s="40"/>
      <c r="B16" s="54" t="s">
        <v>27</v>
      </c>
      <c r="C16" s="42"/>
      <c r="D16" s="43"/>
      <c r="E16" s="44"/>
      <c r="F16" s="45"/>
      <c r="G16" s="46"/>
    </row>
    <row r="17" spans="1:7" s="39" customFormat="1" x14ac:dyDescent="0.2">
      <c r="A17" s="40"/>
      <c r="B17" s="54" t="s">
        <v>28</v>
      </c>
      <c r="C17" s="42"/>
      <c r="D17" s="43"/>
      <c r="E17" s="44"/>
      <c r="F17" s="45"/>
      <c r="G17" s="46"/>
    </row>
    <row r="18" spans="1:7" s="39" customFormat="1" x14ac:dyDescent="0.2">
      <c r="A18" s="40"/>
      <c r="B18" s="54" t="s">
        <v>29</v>
      </c>
      <c r="C18" s="42"/>
      <c r="D18" s="43"/>
      <c r="E18" s="44"/>
      <c r="F18" s="45"/>
      <c r="G18" s="46"/>
    </row>
    <row r="19" spans="1:7" s="39" customFormat="1" x14ac:dyDescent="0.2">
      <c r="A19" s="40"/>
      <c r="B19" s="54" t="s">
        <v>30</v>
      </c>
      <c r="C19" s="42"/>
      <c r="D19" s="43"/>
      <c r="E19" s="44"/>
      <c r="F19" s="45"/>
      <c r="G19" s="46"/>
    </row>
    <row r="20" spans="1:7" s="39" customFormat="1" x14ac:dyDescent="0.2">
      <c r="A20" s="40"/>
      <c r="B20" s="54"/>
      <c r="C20" s="42"/>
      <c r="D20" s="43"/>
      <c r="E20" s="44"/>
      <c r="F20" s="45"/>
      <c r="G20" s="46"/>
    </row>
    <row r="21" spans="1:7" s="39" customFormat="1" x14ac:dyDescent="0.2">
      <c r="A21" s="52">
        <v>1.2</v>
      </c>
      <c r="B21" s="55" t="s">
        <v>31</v>
      </c>
      <c r="C21" s="56"/>
      <c r="D21" s="57"/>
      <c r="E21" s="44"/>
      <c r="F21" s="45"/>
      <c r="G21" s="46"/>
    </row>
    <row r="22" spans="1:7" s="39" customFormat="1" ht="60.75" customHeight="1" x14ac:dyDescent="0.2">
      <c r="A22" s="40" t="s">
        <v>7</v>
      </c>
      <c r="B22" s="58" t="s">
        <v>215</v>
      </c>
      <c r="C22" s="56" t="s">
        <v>0</v>
      </c>
      <c r="D22" s="57">
        <v>1</v>
      </c>
      <c r="E22" s="44"/>
      <c r="F22" s="59"/>
      <c r="G22" s="60">
        <f t="shared" ref="G22:G32" si="0">(D22*E22)+(D22*F22)</f>
        <v>0</v>
      </c>
    </row>
    <row r="23" spans="1:7" s="39" customFormat="1" x14ac:dyDescent="0.2">
      <c r="A23" s="52"/>
      <c r="B23" s="58"/>
      <c r="C23" s="56"/>
      <c r="D23" s="57"/>
      <c r="E23" s="44"/>
      <c r="F23" s="59"/>
      <c r="G23" s="60">
        <f t="shared" si="0"/>
        <v>0</v>
      </c>
    </row>
    <row r="24" spans="1:7" s="39" customFormat="1" x14ac:dyDescent="0.2">
      <c r="A24" s="40">
        <v>1.3</v>
      </c>
      <c r="B24" s="55" t="s">
        <v>32</v>
      </c>
      <c r="C24" s="56"/>
      <c r="D24" s="57"/>
      <c r="E24" s="44"/>
      <c r="F24" s="59"/>
      <c r="G24" s="60">
        <f t="shared" si="0"/>
        <v>0</v>
      </c>
    </row>
    <row r="25" spans="1:7" s="39" customFormat="1" x14ac:dyDescent="0.2">
      <c r="A25" s="40" t="s">
        <v>7</v>
      </c>
      <c r="B25" s="61" t="s">
        <v>33</v>
      </c>
      <c r="C25" s="56" t="s">
        <v>34</v>
      </c>
      <c r="D25" s="57">
        <v>1</v>
      </c>
      <c r="E25" s="44"/>
      <c r="F25" s="59"/>
      <c r="G25" s="60">
        <f t="shared" si="0"/>
        <v>0</v>
      </c>
    </row>
    <row r="26" spans="1:7" s="39" customFormat="1" x14ac:dyDescent="0.2">
      <c r="A26" s="40"/>
      <c r="B26" s="61"/>
      <c r="C26" s="56"/>
      <c r="D26" s="57"/>
      <c r="E26" s="44"/>
      <c r="F26" s="59"/>
      <c r="G26" s="60">
        <f t="shared" si="0"/>
        <v>0</v>
      </c>
    </row>
    <row r="27" spans="1:7" s="39" customFormat="1" ht="12.75" x14ac:dyDescent="0.2">
      <c r="A27" s="354">
        <v>1.4</v>
      </c>
      <c r="B27" s="355" t="s">
        <v>379</v>
      </c>
      <c r="C27" s="356"/>
      <c r="D27" s="357"/>
      <c r="E27" s="358"/>
      <c r="F27" s="358">
        <f t="shared" ref="F27" si="1">E27*C27</f>
        <v>0</v>
      </c>
      <c r="G27" s="359">
        <f t="shared" si="0"/>
        <v>0</v>
      </c>
    </row>
    <row r="28" spans="1:7" s="39" customFormat="1" ht="92.25" customHeight="1" x14ac:dyDescent="0.2">
      <c r="A28" s="360"/>
      <c r="B28" s="361" t="s">
        <v>380</v>
      </c>
      <c r="C28" s="362" t="s">
        <v>15</v>
      </c>
      <c r="D28" s="57">
        <v>1</v>
      </c>
      <c r="E28" s="363"/>
      <c r="F28" s="363"/>
      <c r="G28" s="60">
        <f t="shared" si="0"/>
        <v>0</v>
      </c>
    </row>
    <row r="29" spans="1:7" s="39" customFormat="1" x14ac:dyDescent="0.2">
      <c r="A29" s="40"/>
      <c r="B29" s="61"/>
      <c r="C29" s="56"/>
      <c r="D29" s="57"/>
      <c r="E29" s="44"/>
      <c r="F29" s="59"/>
      <c r="G29" s="60"/>
    </row>
    <row r="30" spans="1:7" s="39" customFormat="1" x14ac:dyDescent="0.2">
      <c r="A30" s="63" t="s">
        <v>173</v>
      </c>
      <c r="B30" s="64" t="s">
        <v>381</v>
      </c>
      <c r="C30" s="65"/>
      <c r="D30" s="66"/>
      <c r="E30" s="44"/>
      <c r="F30" s="59"/>
      <c r="G30" s="60">
        <f t="shared" si="0"/>
        <v>0</v>
      </c>
    </row>
    <row r="31" spans="1:7" s="39" customFormat="1" ht="51" customHeight="1" x14ac:dyDescent="0.2">
      <c r="A31" s="40" t="s">
        <v>7</v>
      </c>
      <c r="B31" s="67" t="s">
        <v>382</v>
      </c>
      <c r="C31" s="56" t="s">
        <v>0</v>
      </c>
      <c r="D31" s="57">
        <v>1</v>
      </c>
      <c r="E31" s="44"/>
      <c r="F31" s="59"/>
      <c r="G31" s="60">
        <f t="shared" si="0"/>
        <v>0</v>
      </c>
    </row>
    <row r="32" spans="1:7" s="39" customFormat="1" x14ac:dyDescent="0.2">
      <c r="A32" s="52"/>
      <c r="B32" s="67"/>
      <c r="C32" s="56"/>
      <c r="D32" s="57"/>
      <c r="E32" s="44"/>
      <c r="F32" s="45"/>
      <c r="G32" s="60">
        <f t="shared" si="0"/>
        <v>0</v>
      </c>
    </row>
    <row r="33" spans="1:7" s="39" customFormat="1" x14ac:dyDescent="0.2">
      <c r="A33" s="63" t="s">
        <v>378</v>
      </c>
      <c r="B33" s="64" t="s">
        <v>35</v>
      </c>
      <c r="C33" s="65"/>
      <c r="D33" s="66"/>
      <c r="E33" s="44"/>
      <c r="F33" s="59"/>
      <c r="G33" s="60">
        <f t="shared" ref="G33:G34" si="2">(D33*E33)+(D33*F33)</f>
        <v>0</v>
      </c>
    </row>
    <row r="34" spans="1:7" s="39" customFormat="1" ht="24" x14ac:dyDescent="0.2">
      <c r="A34" s="40" t="s">
        <v>7</v>
      </c>
      <c r="B34" s="67" t="s">
        <v>36</v>
      </c>
      <c r="C34" s="56" t="s">
        <v>0</v>
      </c>
      <c r="D34" s="57">
        <v>1</v>
      </c>
      <c r="E34" s="44"/>
      <c r="F34" s="59"/>
      <c r="G34" s="60">
        <f t="shared" si="2"/>
        <v>0</v>
      </c>
    </row>
    <row r="35" spans="1:7" s="39" customFormat="1" x14ac:dyDescent="0.2">
      <c r="A35" s="52"/>
      <c r="B35" s="67"/>
      <c r="C35" s="56"/>
      <c r="D35" s="57"/>
      <c r="E35" s="44"/>
      <c r="F35" s="45"/>
      <c r="G35" s="46"/>
    </row>
    <row r="36" spans="1:7" s="39" customFormat="1" x14ac:dyDescent="0.2">
      <c r="A36" s="52"/>
      <c r="B36" s="67"/>
      <c r="C36" s="56"/>
      <c r="D36" s="57"/>
      <c r="E36" s="44"/>
      <c r="F36" s="45"/>
      <c r="G36" s="46"/>
    </row>
    <row r="37" spans="1:7" s="39" customFormat="1" x14ac:dyDescent="0.2">
      <c r="A37" s="52"/>
      <c r="B37" s="67"/>
      <c r="C37" s="56"/>
      <c r="D37" s="57"/>
      <c r="E37" s="44"/>
      <c r="F37" s="45"/>
      <c r="G37" s="46"/>
    </row>
    <row r="38" spans="1:7" s="39" customFormat="1" x14ac:dyDescent="0.2">
      <c r="A38" s="52"/>
      <c r="B38" s="67"/>
      <c r="C38" s="56"/>
      <c r="D38" s="57"/>
      <c r="E38" s="44"/>
      <c r="F38" s="45"/>
      <c r="G38" s="46"/>
    </row>
    <row r="39" spans="1:7" s="39" customFormat="1" x14ac:dyDescent="0.2">
      <c r="A39" s="52"/>
      <c r="B39" s="67"/>
      <c r="C39" s="56"/>
      <c r="D39" s="57"/>
      <c r="E39" s="44"/>
      <c r="F39" s="45"/>
      <c r="G39" s="46"/>
    </row>
    <row r="40" spans="1:7" s="39" customFormat="1" x14ac:dyDescent="0.2">
      <c r="A40" s="52"/>
      <c r="B40" s="67"/>
      <c r="C40" s="56"/>
      <c r="D40" s="57"/>
      <c r="E40" s="44"/>
      <c r="F40" s="45"/>
      <c r="G40" s="46"/>
    </row>
    <row r="41" spans="1:7" s="39" customFormat="1" x14ac:dyDescent="0.2">
      <c r="A41" s="52"/>
      <c r="B41" s="67"/>
      <c r="C41" s="56"/>
      <c r="D41" s="57"/>
      <c r="E41" s="44"/>
      <c r="F41" s="45"/>
      <c r="G41" s="46"/>
    </row>
    <row r="42" spans="1:7" s="39" customFormat="1" ht="12.75" thickBot="1" x14ac:dyDescent="0.25">
      <c r="A42" s="52"/>
      <c r="B42" s="67"/>
      <c r="C42" s="56"/>
      <c r="D42" s="57"/>
      <c r="E42" s="44"/>
      <c r="F42" s="45"/>
      <c r="G42" s="46"/>
    </row>
    <row r="43" spans="1:7" s="39" customFormat="1" x14ac:dyDescent="0.2">
      <c r="A43" s="68"/>
      <c r="B43" s="69" t="s">
        <v>37</v>
      </c>
      <c r="C43" s="70"/>
      <c r="D43" s="71"/>
      <c r="E43" s="72"/>
      <c r="F43" s="37"/>
      <c r="G43" s="38"/>
    </row>
    <row r="44" spans="1:7" s="39" customFormat="1" ht="12.75" thickBot="1" x14ac:dyDescent="0.25">
      <c r="A44" s="73"/>
      <c r="B44" s="74" t="s">
        <v>38</v>
      </c>
      <c r="C44" s="75"/>
      <c r="D44" s="76"/>
      <c r="E44" s="77"/>
      <c r="F44" s="78"/>
      <c r="G44" s="79">
        <f>SUM(G22:G43)</f>
        <v>0</v>
      </c>
    </row>
    <row r="45" spans="1:7" s="39" customFormat="1" x14ac:dyDescent="0.2">
      <c r="A45" s="40"/>
      <c r="B45" s="80"/>
      <c r="C45" s="81"/>
      <c r="D45" s="57"/>
      <c r="E45" s="44"/>
      <c r="F45" s="45"/>
      <c r="G45" s="46"/>
    </row>
    <row r="46" spans="1:7" s="39" customFormat="1" x14ac:dyDescent="0.2">
      <c r="A46" s="40"/>
      <c r="B46" s="49" t="s">
        <v>39</v>
      </c>
      <c r="C46" s="42"/>
      <c r="D46" s="43"/>
      <c r="E46" s="44"/>
      <c r="F46" s="45"/>
      <c r="G46" s="46"/>
    </row>
    <row r="47" spans="1:7" s="39" customFormat="1" x14ac:dyDescent="0.2">
      <c r="A47" s="40"/>
      <c r="B47" s="49" t="s">
        <v>40</v>
      </c>
      <c r="C47" s="42"/>
      <c r="D47" s="43"/>
      <c r="E47" s="44"/>
      <c r="F47" s="45"/>
      <c r="G47" s="46"/>
    </row>
    <row r="48" spans="1:7" s="39" customFormat="1" x14ac:dyDescent="0.2">
      <c r="A48" s="40">
        <v>2.1</v>
      </c>
      <c r="B48" s="51" t="s">
        <v>41</v>
      </c>
      <c r="C48" s="42"/>
      <c r="D48" s="43"/>
      <c r="E48" s="44"/>
      <c r="F48" s="45"/>
      <c r="G48" s="46"/>
    </row>
    <row r="49" spans="1:17" s="39" customFormat="1" ht="65.25" customHeight="1" x14ac:dyDescent="0.2">
      <c r="A49" s="40"/>
      <c r="B49" s="82" t="s">
        <v>216</v>
      </c>
      <c r="C49" s="83"/>
      <c r="D49" s="83"/>
      <c r="E49" s="83"/>
      <c r="F49" s="83"/>
      <c r="G49" s="84"/>
    </row>
    <row r="50" spans="1:17" s="39" customFormat="1" x14ac:dyDescent="0.25">
      <c r="A50" s="85"/>
      <c r="B50" s="86"/>
      <c r="C50" s="86"/>
      <c r="D50" s="87"/>
      <c r="E50" s="88"/>
      <c r="F50" s="86"/>
      <c r="G50" s="89"/>
    </row>
    <row r="51" spans="1:17" s="39" customFormat="1" x14ac:dyDescent="0.2">
      <c r="A51" s="40" t="s">
        <v>10</v>
      </c>
      <c r="B51" s="90" t="s">
        <v>60</v>
      </c>
      <c r="C51" s="56"/>
      <c r="D51" s="91"/>
      <c r="E51" s="92"/>
      <c r="F51" s="59"/>
      <c r="G51" s="60">
        <f t="shared" ref="G51:G61" si="3">(D51*E51)+(D51*F51)</f>
        <v>0</v>
      </c>
    </row>
    <row r="52" spans="1:17" s="39" customFormat="1" ht="48.75" customHeight="1" x14ac:dyDescent="0.2">
      <c r="A52" s="40"/>
      <c r="B52" s="58" t="s">
        <v>61</v>
      </c>
      <c r="C52" s="56" t="s">
        <v>44</v>
      </c>
      <c r="D52" s="93">
        <v>880</v>
      </c>
      <c r="E52" s="44"/>
      <c r="F52" s="59"/>
      <c r="G52" s="60">
        <f t="shared" si="3"/>
        <v>0</v>
      </c>
    </row>
    <row r="53" spans="1:17" s="39" customFormat="1" x14ac:dyDescent="0.2">
      <c r="A53" s="40"/>
      <c r="B53" s="58"/>
      <c r="C53" s="56"/>
      <c r="D53" s="93"/>
      <c r="E53" s="44"/>
      <c r="F53" s="59"/>
      <c r="G53" s="60">
        <f t="shared" si="3"/>
        <v>0</v>
      </c>
    </row>
    <row r="54" spans="1:17" s="39" customFormat="1" x14ac:dyDescent="0.2">
      <c r="A54" s="40" t="s">
        <v>16</v>
      </c>
      <c r="B54" s="94" t="s">
        <v>42</v>
      </c>
      <c r="C54" s="56"/>
      <c r="D54" s="95"/>
      <c r="E54" s="44"/>
      <c r="F54" s="59"/>
      <c r="G54" s="60">
        <f t="shared" si="3"/>
        <v>0</v>
      </c>
    </row>
    <row r="55" spans="1:17" s="39" customFormat="1" ht="51" customHeight="1" x14ac:dyDescent="0.2">
      <c r="A55" s="40"/>
      <c r="B55" s="96" t="s">
        <v>43</v>
      </c>
      <c r="C55" s="56" t="s">
        <v>44</v>
      </c>
      <c r="D55" s="95"/>
      <c r="E55" s="44"/>
      <c r="F55" s="59"/>
      <c r="G55" s="60">
        <f t="shared" si="3"/>
        <v>0</v>
      </c>
    </row>
    <row r="56" spans="1:17" s="39" customFormat="1" x14ac:dyDescent="0.2">
      <c r="A56" s="40"/>
      <c r="B56" s="97"/>
      <c r="C56" s="56"/>
      <c r="D56" s="57"/>
      <c r="E56" s="44"/>
      <c r="F56" s="59"/>
      <c r="G56" s="60">
        <f t="shared" si="3"/>
        <v>0</v>
      </c>
    </row>
    <row r="57" spans="1:17" s="39" customFormat="1" x14ac:dyDescent="0.2">
      <c r="A57" s="40" t="s">
        <v>48</v>
      </c>
      <c r="B57" s="98" t="s">
        <v>45</v>
      </c>
      <c r="C57" s="56"/>
      <c r="D57" s="57"/>
      <c r="E57" s="44"/>
      <c r="F57" s="59"/>
      <c r="G57" s="60">
        <f t="shared" si="3"/>
        <v>0</v>
      </c>
    </row>
    <row r="58" spans="1:17" s="39" customFormat="1" ht="59.25" customHeight="1" x14ac:dyDescent="0.2">
      <c r="A58" s="85"/>
      <c r="B58" s="99" t="s">
        <v>46</v>
      </c>
      <c r="C58" s="99"/>
      <c r="D58" s="99"/>
      <c r="E58" s="99"/>
      <c r="F58" s="59"/>
      <c r="G58" s="60">
        <f t="shared" si="3"/>
        <v>0</v>
      </c>
    </row>
    <row r="59" spans="1:17" s="39" customFormat="1" ht="12.75" customHeight="1" x14ac:dyDescent="0.2">
      <c r="A59" s="40" t="s">
        <v>50</v>
      </c>
      <c r="B59" s="100" t="s">
        <v>45</v>
      </c>
      <c r="C59" s="56"/>
      <c r="D59" s="57"/>
      <c r="E59" s="44"/>
      <c r="F59" s="59"/>
      <c r="G59" s="60">
        <f t="shared" si="3"/>
        <v>0</v>
      </c>
      <c r="I59" s="39">
        <f>2.95*1.95*2</f>
        <v>11.505000000000001</v>
      </c>
      <c r="J59" s="39">
        <f>3.175*1.75*3</f>
        <v>16.668749999999999</v>
      </c>
      <c r="K59" s="39">
        <f>1.6*1.6*7</f>
        <v>17.920000000000002</v>
      </c>
      <c r="L59" s="39">
        <f>1.5*1.5*5</f>
        <v>11.25</v>
      </c>
      <c r="M59" s="39">
        <f>1.8*1.8*8</f>
        <v>25.92</v>
      </c>
      <c r="N59" s="39">
        <f>2.3*2.3*6</f>
        <v>31.739999999999995</v>
      </c>
      <c r="O59" s="39">
        <f>2.4*2.4*2</f>
        <v>11.52</v>
      </c>
      <c r="P59" s="39">
        <f>2.1*2.1*7</f>
        <v>30.87</v>
      </c>
      <c r="Q59" s="39">
        <f>SUM(I59:P59)</f>
        <v>157.39374999999998</v>
      </c>
    </row>
    <row r="60" spans="1:17" s="29" customFormat="1" x14ac:dyDescent="0.2">
      <c r="A60" s="101" t="s">
        <v>7</v>
      </c>
      <c r="B60" s="102" t="s">
        <v>205</v>
      </c>
      <c r="C60" s="56" t="s">
        <v>47</v>
      </c>
      <c r="D60" s="57">
        <v>334.7</v>
      </c>
      <c r="E60" s="44"/>
      <c r="F60" s="103"/>
      <c r="G60" s="104">
        <f t="shared" si="3"/>
        <v>0</v>
      </c>
      <c r="I60" s="39">
        <f>2*2*3</f>
        <v>12</v>
      </c>
      <c r="J60" s="39">
        <f>2.2*2.2*4</f>
        <v>19.360000000000003</v>
      </c>
      <c r="K60" s="29">
        <f>SUM(I60:J60)</f>
        <v>31.360000000000003</v>
      </c>
      <c r="L60" s="29">
        <f>Q59+K60</f>
        <v>188.75375</v>
      </c>
      <c r="M60" s="29">
        <f>6.65+1.475+3.1*6+1.65+2.325+2.25+2.275+0.975+2.4+2.525+1.5+2.5+2.65+2.5+1.6+2.65+2.9+6.675</f>
        <v>64.099999999999994</v>
      </c>
      <c r="N60" s="29">
        <f>1.545+1.425*2+1.45+1.6+2.01+1.225*2+1.25+1.52+0.725+0.425+1.325+1.3+1.225+1.475+0.425+1.675+1.7+1.675+1.7+1.775+0.725+0.625+1.975*2+2+1.875+0.975+0.625+1.875+1.9+1.875+1.825+0.925+0.825+1.925+1.9+1.875+1.975</f>
        <v>57.775000000000006</v>
      </c>
      <c r="O60" s="29">
        <f>SUM(M60:N60)</f>
        <v>121.875</v>
      </c>
      <c r="P60" s="29">
        <f>O60*0.55</f>
        <v>67.03125</v>
      </c>
    </row>
    <row r="61" spans="1:17" s="39" customFormat="1" x14ac:dyDescent="0.2">
      <c r="A61" s="40"/>
      <c r="B61" s="105"/>
      <c r="C61" s="56"/>
      <c r="D61" s="57"/>
      <c r="E61" s="44"/>
      <c r="F61" s="45"/>
      <c r="G61" s="60">
        <f t="shared" si="3"/>
        <v>0</v>
      </c>
      <c r="I61" s="39">
        <f>L60*1.4</f>
        <v>264.25524999999999</v>
      </c>
      <c r="J61" s="39">
        <f>P60*1.05</f>
        <v>70.3828125</v>
      </c>
      <c r="K61" s="39">
        <f>SUM(I61:J61)</f>
        <v>334.63806249999999</v>
      </c>
    </row>
    <row r="62" spans="1:17" s="39" customFormat="1" x14ac:dyDescent="0.2">
      <c r="A62" s="40" t="s">
        <v>48</v>
      </c>
      <c r="B62" s="106" t="s">
        <v>49</v>
      </c>
      <c r="C62" s="56"/>
      <c r="D62" s="57"/>
      <c r="E62" s="44"/>
      <c r="F62" s="45"/>
      <c r="G62" s="46"/>
    </row>
    <row r="63" spans="1:17" s="39" customFormat="1" ht="25.5" customHeight="1" x14ac:dyDescent="0.25">
      <c r="A63" s="40"/>
      <c r="B63" s="107" t="s">
        <v>234</v>
      </c>
      <c r="C63" s="108"/>
      <c r="D63" s="108"/>
      <c r="E63" s="108"/>
      <c r="F63" s="45"/>
      <c r="G63" s="46"/>
    </row>
    <row r="64" spans="1:17" s="39" customFormat="1" ht="25.5" customHeight="1" x14ac:dyDescent="0.25">
      <c r="A64" s="40"/>
      <c r="B64" s="67" t="s">
        <v>235</v>
      </c>
      <c r="C64" s="109"/>
      <c r="D64" s="109"/>
      <c r="E64" s="109"/>
      <c r="F64" s="45"/>
      <c r="G64" s="46"/>
    </row>
    <row r="65" spans="1:10" s="39" customFormat="1" ht="36" x14ac:dyDescent="0.2">
      <c r="A65" s="40" t="s">
        <v>164</v>
      </c>
      <c r="B65" s="110" t="s">
        <v>442</v>
      </c>
      <c r="C65" s="56" t="s">
        <v>47</v>
      </c>
      <c r="D65" s="93">
        <v>251.6</v>
      </c>
      <c r="E65" s="44"/>
      <c r="F65" s="59"/>
      <c r="G65" s="60">
        <f t="shared" ref="G65:G71" si="4">(D65*E65)+(D65*F65)</f>
        <v>0</v>
      </c>
      <c r="I65" s="112">
        <f>D60-83.11</f>
        <v>251.58999999999997</v>
      </c>
    </row>
    <row r="66" spans="1:10" s="39" customFormat="1" ht="24" x14ac:dyDescent="0.2">
      <c r="A66" s="40" t="s">
        <v>165</v>
      </c>
      <c r="B66" s="110" t="s">
        <v>443</v>
      </c>
      <c r="C66" s="56" t="s">
        <v>44</v>
      </c>
      <c r="D66" s="93">
        <v>717.7</v>
      </c>
      <c r="E66" s="44"/>
      <c r="F66" s="59"/>
      <c r="G66" s="60">
        <f t="shared" ref="G66" si="5">(D66*E66)+(D66*F66)</f>
        <v>0</v>
      </c>
    </row>
    <row r="67" spans="1:10" s="39" customFormat="1" ht="38.25" customHeight="1" x14ac:dyDescent="0.2">
      <c r="A67" s="40" t="s">
        <v>175</v>
      </c>
      <c r="B67" s="110" t="s">
        <v>268</v>
      </c>
      <c r="C67" s="56" t="s">
        <v>44</v>
      </c>
      <c r="D67" s="93">
        <f>D66</f>
        <v>717.7</v>
      </c>
      <c r="E67" s="44"/>
      <c r="F67" s="59"/>
      <c r="G67" s="60">
        <f t="shared" si="4"/>
        <v>0</v>
      </c>
    </row>
    <row r="68" spans="1:10" s="39" customFormat="1" x14ac:dyDescent="0.2">
      <c r="A68" s="40">
        <v>2.5</v>
      </c>
      <c r="B68" s="98" t="s">
        <v>51</v>
      </c>
      <c r="C68" s="56"/>
      <c r="D68" s="57"/>
      <c r="E68" s="44"/>
      <c r="F68" s="59"/>
      <c r="G68" s="60">
        <f t="shared" si="4"/>
        <v>0</v>
      </c>
    </row>
    <row r="69" spans="1:10" s="39" customFormat="1" ht="27" customHeight="1" x14ac:dyDescent="0.2">
      <c r="A69" s="40"/>
      <c r="B69" s="111" t="s">
        <v>52</v>
      </c>
      <c r="C69" s="56"/>
      <c r="D69" s="57"/>
      <c r="E69" s="44"/>
      <c r="F69" s="59"/>
      <c r="G69" s="60">
        <f t="shared" si="4"/>
        <v>0</v>
      </c>
    </row>
    <row r="70" spans="1:10" s="39" customFormat="1" ht="24" x14ac:dyDescent="0.2">
      <c r="A70" s="40" t="s">
        <v>164</v>
      </c>
      <c r="B70" s="111" t="s">
        <v>53</v>
      </c>
      <c r="C70" s="56" t="s">
        <v>44</v>
      </c>
      <c r="D70" s="57">
        <f>726.65+D88+306</f>
        <v>1288.45</v>
      </c>
      <c r="E70" s="44"/>
      <c r="F70" s="59"/>
      <c r="G70" s="60">
        <f t="shared" si="4"/>
        <v>0</v>
      </c>
      <c r="J70" s="112"/>
    </row>
    <row r="71" spans="1:10" s="39" customFormat="1" x14ac:dyDescent="0.2">
      <c r="A71" s="40"/>
      <c r="B71" s="111"/>
      <c r="C71" s="56"/>
      <c r="D71" s="57"/>
      <c r="E71" s="44"/>
      <c r="F71" s="45"/>
      <c r="G71" s="60">
        <f t="shared" si="4"/>
        <v>0</v>
      </c>
    </row>
    <row r="72" spans="1:10" s="39" customFormat="1" x14ac:dyDescent="0.2">
      <c r="A72" s="40"/>
      <c r="B72" s="111"/>
      <c r="C72" s="56"/>
      <c r="D72" s="57"/>
      <c r="E72" s="44"/>
      <c r="F72" s="45"/>
      <c r="G72" s="46"/>
    </row>
    <row r="73" spans="1:10" s="39" customFormat="1" x14ac:dyDescent="0.2">
      <c r="A73" s="40"/>
      <c r="B73" s="111"/>
      <c r="C73" s="56"/>
      <c r="D73" s="57"/>
      <c r="E73" s="44"/>
      <c r="F73" s="45"/>
      <c r="G73" s="46"/>
    </row>
    <row r="74" spans="1:10" s="39" customFormat="1" x14ac:dyDescent="0.2">
      <c r="A74" s="40"/>
      <c r="B74" s="111"/>
      <c r="C74" s="56"/>
      <c r="D74" s="57"/>
      <c r="E74" s="44"/>
      <c r="F74" s="45"/>
      <c r="G74" s="46"/>
    </row>
    <row r="75" spans="1:10" s="39" customFormat="1" x14ac:dyDescent="0.2">
      <c r="A75" s="40"/>
      <c r="B75" s="111"/>
      <c r="C75" s="56"/>
      <c r="D75" s="57"/>
      <c r="E75" s="44"/>
      <c r="F75" s="45"/>
      <c r="G75" s="46"/>
    </row>
    <row r="76" spans="1:10" s="39" customFormat="1" x14ac:dyDescent="0.2">
      <c r="A76" s="40"/>
      <c r="B76" s="111"/>
      <c r="C76" s="56"/>
      <c r="D76" s="57"/>
      <c r="E76" s="44"/>
      <c r="F76" s="45"/>
      <c r="G76" s="46"/>
    </row>
    <row r="77" spans="1:10" s="39" customFormat="1" ht="12.75" thickBot="1" x14ac:dyDescent="0.25">
      <c r="A77" s="40"/>
      <c r="B77" s="111"/>
      <c r="C77" s="56"/>
      <c r="D77" s="57"/>
      <c r="E77" s="44"/>
      <c r="F77" s="45"/>
      <c r="G77" s="46"/>
    </row>
    <row r="78" spans="1:10" s="39" customFormat="1" x14ac:dyDescent="0.2">
      <c r="A78" s="68"/>
      <c r="B78" s="69" t="s">
        <v>54</v>
      </c>
      <c r="C78" s="113"/>
      <c r="D78" s="71"/>
      <c r="E78" s="72"/>
      <c r="F78" s="37"/>
      <c r="G78" s="38"/>
    </row>
    <row r="79" spans="1:10" s="39" customFormat="1" ht="12.75" thickBot="1" x14ac:dyDescent="0.25">
      <c r="A79" s="73"/>
      <c r="B79" s="74" t="s">
        <v>55</v>
      </c>
      <c r="C79" s="114"/>
      <c r="D79" s="76"/>
      <c r="E79" s="77"/>
      <c r="F79" s="78"/>
      <c r="G79" s="79">
        <f>SUM(G52:G78)</f>
        <v>0</v>
      </c>
    </row>
    <row r="80" spans="1:10" s="39" customFormat="1" x14ac:dyDescent="0.2">
      <c r="A80" s="40"/>
      <c r="B80" s="80"/>
      <c r="C80" s="56"/>
      <c r="D80" s="57"/>
      <c r="E80" s="44"/>
      <c r="F80" s="45"/>
      <c r="G80" s="115"/>
    </row>
    <row r="81" spans="1:18" s="39" customFormat="1" x14ac:dyDescent="0.2">
      <c r="A81" s="40"/>
      <c r="B81" s="49" t="s">
        <v>56</v>
      </c>
      <c r="C81" s="56"/>
      <c r="D81" s="57"/>
      <c r="E81" s="44"/>
      <c r="F81" s="45"/>
      <c r="G81" s="46"/>
    </row>
    <row r="82" spans="1:18" s="39" customFormat="1" x14ac:dyDescent="0.2">
      <c r="A82" s="40" t="s">
        <v>57</v>
      </c>
      <c r="B82" s="116" t="s">
        <v>58</v>
      </c>
      <c r="C82" s="56"/>
      <c r="D82" s="57"/>
      <c r="E82" s="44"/>
      <c r="F82" s="45"/>
      <c r="G82" s="46"/>
    </row>
    <row r="83" spans="1:18" s="39" customFormat="1" ht="58.5" customHeight="1" x14ac:dyDescent="0.25">
      <c r="A83" s="40"/>
      <c r="B83" s="107" t="s">
        <v>218</v>
      </c>
      <c r="C83" s="108"/>
      <c r="D83" s="108"/>
      <c r="E83" s="108"/>
      <c r="F83" s="108"/>
      <c r="G83" s="117"/>
    </row>
    <row r="84" spans="1:18" s="39" customFormat="1" ht="35.25" customHeight="1" x14ac:dyDescent="0.25">
      <c r="A84" s="40"/>
      <c r="B84" s="107" t="s">
        <v>217</v>
      </c>
      <c r="C84" s="108"/>
      <c r="D84" s="108"/>
      <c r="E84" s="108"/>
      <c r="F84" s="108"/>
      <c r="G84" s="117"/>
    </row>
    <row r="85" spans="1:18" s="39" customFormat="1" ht="36" customHeight="1" x14ac:dyDescent="0.25">
      <c r="A85" s="40"/>
      <c r="B85" s="107" t="s">
        <v>158</v>
      </c>
      <c r="C85" s="108"/>
      <c r="D85" s="108"/>
      <c r="E85" s="108"/>
      <c r="F85" s="108"/>
      <c r="G85" s="117"/>
    </row>
    <row r="86" spans="1:18" s="39" customFormat="1" ht="15" customHeight="1" x14ac:dyDescent="0.2">
      <c r="A86" s="118" t="s">
        <v>62</v>
      </c>
      <c r="B86" s="119" t="s">
        <v>63</v>
      </c>
      <c r="C86" s="120"/>
      <c r="D86" s="121"/>
      <c r="E86" s="122"/>
      <c r="F86" s="123"/>
      <c r="G86" s="124"/>
    </row>
    <row r="87" spans="1:18" s="128" customFormat="1" ht="14.25" customHeight="1" x14ac:dyDescent="0.25">
      <c r="A87" s="63"/>
      <c r="B87" s="98" t="s">
        <v>251</v>
      </c>
      <c r="C87" s="65"/>
      <c r="D87" s="66"/>
      <c r="E87" s="125"/>
      <c r="F87" s="126"/>
      <c r="G87" s="127"/>
      <c r="I87" s="39"/>
      <c r="J87" s="39"/>
      <c r="K87" s="39"/>
      <c r="L87" s="39"/>
      <c r="M87" s="39"/>
      <c r="N87" s="39"/>
      <c r="O87" s="39"/>
      <c r="P87" s="39"/>
      <c r="Q87" s="39"/>
      <c r="R87" s="39"/>
    </row>
    <row r="88" spans="1:18" s="39" customFormat="1" ht="12" customHeight="1" x14ac:dyDescent="0.2">
      <c r="A88" s="40"/>
      <c r="B88" s="105" t="s">
        <v>263</v>
      </c>
      <c r="C88" s="56" t="s">
        <v>44</v>
      </c>
      <c r="D88" s="57">
        <v>255.8</v>
      </c>
      <c r="E88" s="44"/>
      <c r="F88" s="59"/>
      <c r="G88" s="60">
        <f t="shared" ref="G88" si="6">(D88*E88)+(D88*F88)</f>
        <v>0</v>
      </c>
      <c r="J88" s="331">
        <f>L60+P60</f>
        <v>255.785</v>
      </c>
      <c r="K88" s="29"/>
      <c r="L88" s="29"/>
      <c r="M88" s="29"/>
    </row>
    <row r="89" spans="1:18" s="39" customFormat="1" ht="15" customHeight="1" x14ac:dyDescent="0.2">
      <c r="A89" s="129" t="s">
        <v>68</v>
      </c>
      <c r="B89" s="130" t="s">
        <v>13</v>
      </c>
      <c r="C89" s="131"/>
      <c r="D89" s="121"/>
      <c r="E89" s="122"/>
      <c r="F89" s="123"/>
      <c r="G89" s="124"/>
    </row>
    <row r="90" spans="1:18" x14ac:dyDescent="0.2">
      <c r="A90" s="132" t="s">
        <v>151</v>
      </c>
      <c r="B90" s="133" t="s">
        <v>64</v>
      </c>
      <c r="C90" s="134"/>
      <c r="D90" s="135"/>
      <c r="E90" s="136"/>
      <c r="F90" s="137"/>
      <c r="G90" s="138"/>
    </row>
    <row r="91" spans="1:18" x14ac:dyDescent="0.2">
      <c r="A91" s="40"/>
      <c r="B91" s="105" t="s">
        <v>431</v>
      </c>
      <c r="C91" s="56" t="s">
        <v>47</v>
      </c>
      <c r="D91" s="57">
        <v>3.79</v>
      </c>
      <c r="E91" s="44"/>
      <c r="F91" s="59"/>
      <c r="G91" s="60">
        <f t="shared" ref="G91:G102" si="7">(D91*E91)+(D91*F91)</f>
        <v>0</v>
      </c>
      <c r="I91" s="39">
        <f>2.65*1.65*0.35*2</f>
        <v>3.0607499999999996</v>
      </c>
      <c r="J91" s="39">
        <f>2.65*0.55*0.25*2</f>
        <v>0.72875000000000001</v>
      </c>
      <c r="K91" s="39">
        <f>SUM(I91:J91)</f>
        <v>3.7894999999999994</v>
      </c>
      <c r="L91" s="39"/>
      <c r="N91" s="39"/>
      <c r="O91" s="39"/>
      <c r="P91" s="39"/>
      <c r="Q91" s="39"/>
    </row>
    <row r="92" spans="1:18" x14ac:dyDescent="0.2">
      <c r="A92" s="40"/>
      <c r="B92" s="105" t="s">
        <v>440</v>
      </c>
      <c r="C92" s="56" t="s">
        <v>47</v>
      </c>
      <c r="D92" s="57">
        <v>5.57</v>
      </c>
      <c r="E92" s="44"/>
      <c r="F92" s="59"/>
      <c r="G92" s="60">
        <f t="shared" ref="G92" si="8">(D92*E92)+(D92*F92)</f>
        <v>0</v>
      </c>
      <c r="I92" s="39">
        <f>2.875*1.45*3*0.35</f>
        <v>4.3771874999999998</v>
      </c>
      <c r="J92" s="39">
        <f>2.875*0.55*0.25*3</f>
        <v>1.1859375000000001</v>
      </c>
      <c r="K92" s="39">
        <f>SUM(I92:J92)</f>
        <v>5.5631249999999994</v>
      </c>
      <c r="L92" s="39"/>
      <c r="N92" s="39"/>
      <c r="O92" s="39"/>
      <c r="P92" s="39"/>
      <c r="Q92" s="39"/>
    </row>
    <row r="93" spans="1:18" x14ac:dyDescent="0.2">
      <c r="A93" s="40"/>
      <c r="B93" s="105" t="s">
        <v>432</v>
      </c>
      <c r="C93" s="56" t="s">
        <v>47</v>
      </c>
      <c r="D93" s="57">
        <v>4.1500000000000004</v>
      </c>
      <c r="E93" s="44"/>
      <c r="F93" s="59"/>
      <c r="G93" s="60">
        <f t="shared" si="7"/>
        <v>0</v>
      </c>
      <c r="I93" s="39">
        <f>1.3*1.3*0.35*7</f>
        <v>4.1405000000000003</v>
      </c>
      <c r="J93" s="39"/>
      <c r="K93" s="39"/>
      <c r="L93" s="39"/>
      <c r="M93" s="39"/>
      <c r="N93" s="39"/>
      <c r="O93" s="39"/>
      <c r="P93" s="39"/>
      <c r="Q93" s="39"/>
    </row>
    <row r="94" spans="1:18" x14ac:dyDescent="0.2">
      <c r="A94" s="40"/>
      <c r="B94" s="105" t="s">
        <v>433</v>
      </c>
      <c r="C94" s="56" t="s">
        <v>47</v>
      </c>
      <c r="D94" s="57">
        <v>2.52</v>
      </c>
      <c r="E94" s="44"/>
      <c r="F94" s="59"/>
      <c r="G94" s="60">
        <f t="shared" si="7"/>
        <v>0</v>
      </c>
      <c r="I94" s="39">
        <f>1.2*1.2*0.35*5</f>
        <v>2.52</v>
      </c>
      <c r="J94" s="39"/>
      <c r="K94" s="39"/>
      <c r="L94" s="39"/>
      <c r="M94" s="39"/>
      <c r="N94" s="39"/>
      <c r="O94" s="39"/>
      <c r="P94" s="39"/>
      <c r="Q94" s="39"/>
    </row>
    <row r="95" spans="1:18" x14ac:dyDescent="0.2">
      <c r="A95" s="40"/>
      <c r="B95" s="105" t="s">
        <v>434</v>
      </c>
      <c r="C95" s="56" t="s">
        <v>47</v>
      </c>
      <c r="D95" s="57">
        <v>6.3</v>
      </c>
      <c r="E95" s="44"/>
      <c r="F95" s="59"/>
      <c r="G95" s="60">
        <f t="shared" ref="G95:G101" si="9">(D95*E95)+(D95*F95)</f>
        <v>0</v>
      </c>
      <c r="I95" s="39">
        <f>1.5*1.5*0.35*8</f>
        <v>6.3</v>
      </c>
      <c r="J95" s="39"/>
      <c r="K95" s="39"/>
      <c r="L95" s="39"/>
      <c r="M95" s="39"/>
      <c r="N95" s="39"/>
      <c r="O95" s="39"/>
      <c r="P95" s="39"/>
      <c r="Q95" s="39"/>
    </row>
    <row r="96" spans="1:18" x14ac:dyDescent="0.2">
      <c r="A96" s="40"/>
      <c r="B96" s="105" t="s">
        <v>435</v>
      </c>
      <c r="C96" s="56" t="s">
        <v>47</v>
      </c>
      <c r="D96" s="57">
        <v>8.4</v>
      </c>
      <c r="E96" s="44"/>
      <c r="F96" s="59"/>
      <c r="G96" s="60">
        <f t="shared" si="9"/>
        <v>0</v>
      </c>
      <c r="I96" s="39">
        <f>2*2*0.35*6</f>
        <v>8.3999999999999986</v>
      </c>
      <c r="J96" s="39"/>
      <c r="K96" s="39"/>
      <c r="L96" s="39"/>
      <c r="M96" s="39"/>
      <c r="N96" s="39"/>
      <c r="O96" s="39"/>
      <c r="P96" s="39"/>
      <c r="Q96" s="39"/>
    </row>
    <row r="97" spans="1:17" x14ac:dyDescent="0.2">
      <c r="A97" s="40"/>
      <c r="B97" s="105" t="s">
        <v>436</v>
      </c>
      <c r="C97" s="56" t="s">
        <v>47</v>
      </c>
      <c r="D97" s="57">
        <v>3.09</v>
      </c>
      <c r="E97" s="44"/>
      <c r="F97" s="59"/>
      <c r="G97" s="60">
        <f t="shared" si="9"/>
        <v>0</v>
      </c>
      <c r="I97" s="39">
        <f>2.1*2.1*0.35*2</f>
        <v>3.0869999999999997</v>
      </c>
      <c r="J97" s="39"/>
      <c r="K97" s="39"/>
      <c r="L97" s="39"/>
      <c r="M97" s="39"/>
      <c r="N97" s="39"/>
      <c r="O97" s="39"/>
      <c r="P97" s="39"/>
      <c r="Q97" s="39"/>
    </row>
    <row r="98" spans="1:17" x14ac:dyDescent="0.2">
      <c r="A98" s="40"/>
      <c r="B98" s="105" t="s">
        <v>437</v>
      </c>
      <c r="C98" s="56" t="s">
        <v>47</v>
      </c>
      <c r="D98" s="57">
        <v>7.94</v>
      </c>
      <c r="E98" s="44"/>
      <c r="F98" s="59"/>
      <c r="G98" s="60">
        <f t="shared" si="9"/>
        <v>0</v>
      </c>
      <c r="I98" s="39">
        <f>1.8*1.8*0.35*7</f>
        <v>7.9379999999999988</v>
      </c>
      <c r="J98" s="39"/>
      <c r="K98" s="39"/>
      <c r="L98" s="39"/>
      <c r="M98" s="39"/>
      <c r="N98" s="39"/>
      <c r="O98" s="39"/>
      <c r="P98" s="39"/>
      <c r="Q98" s="39"/>
    </row>
    <row r="99" spans="1:17" x14ac:dyDescent="0.2">
      <c r="A99" s="40"/>
      <c r="B99" s="105" t="s">
        <v>438</v>
      </c>
      <c r="C99" s="56" t="s">
        <v>47</v>
      </c>
      <c r="D99" s="57">
        <v>3.04</v>
      </c>
      <c r="E99" s="44"/>
      <c r="F99" s="59"/>
      <c r="G99" s="60">
        <f t="shared" si="9"/>
        <v>0</v>
      </c>
      <c r="I99" s="39">
        <f>1.7*1.7*0.35*3</f>
        <v>3.0344999999999995</v>
      </c>
      <c r="J99" s="39"/>
      <c r="K99" s="39"/>
      <c r="L99" s="39"/>
      <c r="M99" s="39"/>
      <c r="N99" s="39"/>
      <c r="O99" s="39"/>
      <c r="P99" s="39"/>
      <c r="Q99" s="39"/>
    </row>
    <row r="100" spans="1:17" x14ac:dyDescent="0.2">
      <c r="A100" s="40"/>
      <c r="B100" s="105" t="s">
        <v>439</v>
      </c>
      <c r="C100" s="56" t="s">
        <v>47</v>
      </c>
      <c r="D100" s="57">
        <v>5.0540000000000003</v>
      </c>
      <c r="E100" s="44"/>
      <c r="F100" s="59"/>
      <c r="G100" s="60">
        <f t="shared" si="9"/>
        <v>0</v>
      </c>
      <c r="I100" s="39">
        <f>1.9*1.9*0.35*4</f>
        <v>5.0539999999999994</v>
      </c>
      <c r="J100" s="39"/>
      <c r="K100" s="39"/>
      <c r="L100" s="39"/>
      <c r="M100" s="39"/>
      <c r="N100" s="39"/>
      <c r="O100" s="39"/>
      <c r="P100" s="39"/>
      <c r="Q100" s="39"/>
    </row>
    <row r="101" spans="1:17" x14ac:dyDescent="0.2">
      <c r="A101" s="40"/>
      <c r="B101" s="105" t="s">
        <v>430</v>
      </c>
      <c r="C101" s="56" t="s">
        <v>47</v>
      </c>
      <c r="D101" s="57">
        <v>4.63</v>
      </c>
      <c r="E101" s="44"/>
      <c r="F101" s="59"/>
      <c r="G101" s="60">
        <f t="shared" si="9"/>
        <v>0</v>
      </c>
      <c r="I101" s="39">
        <f>1.15*1.15*0.35*10</f>
        <v>4.6287499999999984</v>
      </c>
      <c r="J101" s="39"/>
      <c r="K101" s="39"/>
      <c r="L101" s="39"/>
      <c r="M101" s="39"/>
      <c r="N101" s="39"/>
      <c r="O101" s="39"/>
      <c r="P101" s="39"/>
      <c r="Q101" s="39"/>
    </row>
    <row r="102" spans="1:17" x14ac:dyDescent="0.2">
      <c r="A102" s="40"/>
      <c r="B102" s="105" t="s">
        <v>441</v>
      </c>
      <c r="C102" s="56" t="s">
        <v>47</v>
      </c>
      <c r="D102" s="57">
        <v>21.45</v>
      </c>
      <c r="E102" s="44"/>
      <c r="F102" s="59"/>
      <c r="G102" s="60">
        <f t="shared" si="7"/>
        <v>0</v>
      </c>
      <c r="I102" s="139">
        <f>31.35+8.45+16.375*2+14.25+14.2*2+18.325+28+2.225+7.975*2+2.2+8.35+8.2+15.7</f>
        <v>214.14999999999992</v>
      </c>
      <c r="J102" s="112"/>
      <c r="K102" s="112">
        <f>I102*0.25*0.4</f>
        <v>21.414999999999992</v>
      </c>
      <c r="L102" s="140"/>
      <c r="M102" s="39"/>
      <c r="N102" s="140"/>
    </row>
    <row r="103" spans="1:17" x14ac:dyDescent="0.2">
      <c r="A103" s="132" t="s">
        <v>152</v>
      </c>
      <c r="B103" s="133" t="s">
        <v>67</v>
      </c>
      <c r="C103" s="134"/>
      <c r="D103" s="135"/>
      <c r="E103" s="136"/>
      <c r="F103" s="137"/>
      <c r="G103" s="138"/>
    </row>
    <row r="104" spans="1:17" x14ac:dyDescent="0.2">
      <c r="A104" s="144" t="s">
        <v>156</v>
      </c>
      <c r="B104" s="145" t="s">
        <v>171</v>
      </c>
      <c r="C104" s="146"/>
      <c r="D104" s="147"/>
      <c r="E104" s="148"/>
      <c r="F104" s="149"/>
      <c r="G104" s="150"/>
    </row>
    <row r="105" spans="1:17" ht="13.5" x14ac:dyDescent="0.2">
      <c r="A105" s="141"/>
      <c r="B105" s="142" t="s">
        <v>457</v>
      </c>
      <c r="C105" s="143" t="s">
        <v>354</v>
      </c>
      <c r="D105" s="91">
        <v>19.125</v>
      </c>
      <c r="E105" s="44"/>
      <c r="F105" s="59"/>
      <c r="G105" s="60">
        <f t="shared" ref="G105:G106" si="10">(D105*E105)+(D105*F105)</f>
        <v>0</v>
      </c>
      <c r="I105" s="28">
        <f>0.45*0.25*40*4.25</f>
        <v>19.125</v>
      </c>
      <c r="K105" s="28">
        <f>5150-750</f>
        <v>4400</v>
      </c>
    </row>
    <row r="106" spans="1:17" ht="13.5" x14ac:dyDescent="0.2">
      <c r="A106" s="141"/>
      <c r="B106" s="142" t="s">
        <v>458</v>
      </c>
      <c r="C106" s="143" t="s">
        <v>354</v>
      </c>
      <c r="D106" s="91">
        <v>7.4375</v>
      </c>
      <c r="E106" s="44"/>
      <c r="F106" s="59"/>
      <c r="G106" s="60">
        <f t="shared" si="10"/>
        <v>0</v>
      </c>
      <c r="I106" s="28">
        <f>0.5*0.25*14*4.25</f>
        <v>7.4375</v>
      </c>
    </row>
    <row r="107" spans="1:17" ht="13.5" x14ac:dyDescent="0.2">
      <c r="A107" s="141"/>
      <c r="B107" s="142" t="s">
        <v>459</v>
      </c>
      <c r="C107" s="143" t="s">
        <v>354</v>
      </c>
      <c r="D107" s="91">
        <v>2.391</v>
      </c>
      <c r="E107" s="44"/>
      <c r="F107" s="59"/>
      <c r="G107" s="60">
        <f t="shared" ref="G107" si="11">(D107*E107)+(D107*F107)</f>
        <v>0</v>
      </c>
      <c r="I107" s="28">
        <f>0.25*0.25*9*4.25</f>
        <v>2.390625</v>
      </c>
    </row>
    <row r="108" spans="1:17" x14ac:dyDescent="0.2">
      <c r="A108" s="144" t="s">
        <v>10</v>
      </c>
      <c r="B108" s="145" t="s">
        <v>196</v>
      </c>
      <c r="C108" s="146"/>
      <c r="D108" s="147"/>
      <c r="E108" s="148"/>
      <c r="F108" s="59"/>
      <c r="G108" s="60">
        <f t="shared" ref="G108:G109" si="12">(D108*E108)+(D108*F108)</f>
        <v>0</v>
      </c>
    </row>
    <row r="109" spans="1:17" ht="13.5" x14ac:dyDescent="0.2">
      <c r="A109" s="141"/>
      <c r="B109" s="142" t="s">
        <v>447</v>
      </c>
      <c r="C109" s="143" t="s">
        <v>354</v>
      </c>
      <c r="D109" s="91">
        <v>2.8</v>
      </c>
      <c r="E109" s="44"/>
      <c r="F109" s="59"/>
      <c r="G109" s="60">
        <f t="shared" si="12"/>
        <v>0</v>
      </c>
      <c r="I109" s="28">
        <f>3.4*1.4*0.15*2</f>
        <v>1.4279999999999999</v>
      </c>
      <c r="J109" s="28">
        <f>2.8*1*0.15</f>
        <v>0.42</v>
      </c>
      <c r="K109" s="28">
        <f>0.0266*1.4*18</f>
        <v>0.67031999999999992</v>
      </c>
      <c r="L109" s="28">
        <f>SUM(I109:K109)</f>
        <v>2.5183199999999997</v>
      </c>
    </row>
    <row r="110" spans="1:17" ht="13.5" x14ac:dyDescent="0.2">
      <c r="A110" s="141"/>
      <c r="B110" s="142" t="s">
        <v>448</v>
      </c>
      <c r="C110" s="143" t="s">
        <v>354</v>
      </c>
      <c r="D110" s="91">
        <v>2.7</v>
      </c>
      <c r="E110" s="44"/>
      <c r="F110" s="59"/>
      <c r="G110" s="60">
        <f t="shared" ref="G110" si="13">(D110*E110)+(D110*F110)</f>
        <v>0</v>
      </c>
      <c r="I110" s="28">
        <f>3.35*2+0.9</f>
        <v>7.6000000000000005</v>
      </c>
      <c r="J110" s="28">
        <f>I110*1.5*0.15</f>
        <v>1.71</v>
      </c>
      <c r="K110" s="28">
        <f>0.026*1.5*18</f>
        <v>0.70199999999999996</v>
      </c>
      <c r="L110" s="28">
        <f>1.5*0.2*1.05</f>
        <v>0.31500000000000006</v>
      </c>
      <c r="M110" s="28">
        <f>SUM(J110:L110)</f>
        <v>2.7269999999999999</v>
      </c>
    </row>
    <row r="111" spans="1:17" x14ac:dyDescent="0.2">
      <c r="A111" s="144" t="s">
        <v>16</v>
      </c>
      <c r="B111" s="145" t="s">
        <v>198</v>
      </c>
      <c r="C111" s="146"/>
      <c r="D111" s="147"/>
      <c r="E111" s="148"/>
      <c r="F111" s="59"/>
      <c r="G111" s="60">
        <f t="shared" ref="G111:G112" si="14">(D111*E111)+(D111*F111)</f>
        <v>0</v>
      </c>
    </row>
    <row r="112" spans="1:17" ht="13.5" x14ac:dyDescent="0.2">
      <c r="A112" s="141"/>
      <c r="B112" s="142" t="s">
        <v>269</v>
      </c>
      <c r="C112" s="143" t="s">
        <v>354</v>
      </c>
      <c r="D112" s="91">
        <v>72.7</v>
      </c>
      <c r="E112" s="44"/>
      <c r="F112" s="59"/>
      <c r="G112" s="60">
        <f t="shared" si="14"/>
        <v>0</v>
      </c>
      <c r="I112" s="28">
        <v>726.7</v>
      </c>
      <c r="K112" s="28">
        <f>SUM(I112:J112)</f>
        <v>726.7</v>
      </c>
      <c r="L112" s="28">
        <f>K112*0.1</f>
        <v>72.67</v>
      </c>
    </row>
    <row r="113" spans="1:12" x14ac:dyDescent="0.2">
      <c r="A113" s="132" t="s">
        <v>57</v>
      </c>
      <c r="B113" s="133" t="s">
        <v>69</v>
      </c>
      <c r="C113" s="134"/>
      <c r="D113" s="135"/>
      <c r="E113" s="136"/>
      <c r="F113" s="137"/>
      <c r="G113" s="138"/>
    </row>
    <row r="114" spans="1:12" x14ac:dyDescent="0.2">
      <c r="A114" s="144" t="s">
        <v>157</v>
      </c>
      <c r="B114" s="145" t="s">
        <v>271</v>
      </c>
      <c r="C114" s="146"/>
      <c r="D114" s="147"/>
      <c r="E114" s="148"/>
      <c r="F114" s="149"/>
      <c r="G114" s="150"/>
    </row>
    <row r="115" spans="1:12" ht="13.5" x14ac:dyDescent="0.2">
      <c r="A115" s="141"/>
      <c r="B115" s="142" t="s">
        <v>460</v>
      </c>
      <c r="C115" s="143" t="s">
        <v>354</v>
      </c>
      <c r="D115" s="91">
        <v>20.64</v>
      </c>
      <c r="E115" s="44"/>
      <c r="F115" s="59"/>
      <c r="G115" s="60">
        <f t="shared" ref="G115:G116" si="15">(D115*E115)+(D115*F115)</f>
        <v>0</v>
      </c>
      <c r="I115" s="28">
        <f>7.8*6+8.05*5+7.8*5+7.8*5</f>
        <v>165.05</v>
      </c>
      <c r="J115" s="28">
        <f>I115*0.25*0.5</f>
        <v>20.631250000000001</v>
      </c>
    </row>
    <row r="116" spans="1:12" ht="13.5" x14ac:dyDescent="0.2">
      <c r="A116" s="141"/>
      <c r="B116" s="142" t="s">
        <v>462</v>
      </c>
      <c r="C116" s="143" t="s">
        <v>354</v>
      </c>
      <c r="D116" s="91">
        <v>12.72</v>
      </c>
      <c r="E116" s="44"/>
      <c r="F116" s="59"/>
      <c r="G116" s="60">
        <f t="shared" si="15"/>
        <v>0</v>
      </c>
      <c r="I116" s="28">
        <f>1.875*8+1.8*5+2.925*7+2.95*7+2.925*7+2.95*7+0.9*6+2.95*3+5.825+0.975+2.575+2.5+4*10+2.55*2+3.975*2+3.975*5+4.025+2.6</f>
        <v>211.92499999999998</v>
      </c>
      <c r="J116" s="28">
        <f>I116*0.2*0.3</f>
        <v>12.715499999999999</v>
      </c>
    </row>
    <row r="117" spans="1:12" ht="13.5" x14ac:dyDescent="0.2">
      <c r="A117" s="141"/>
      <c r="B117" s="142" t="s">
        <v>461</v>
      </c>
      <c r="C117" s="143" t="s">
        <v>354</v>
      </c>
      <c r="D117" s="91">
        <v>2.93</v>
      </c>
      <c r="E117" s="44"/>
      <c r="F117" s="59"/>
      <c r="G117" s="60">
        <f t="shared" ref="G117:G119" si="16">(D117*E117)+(D117*F117)</f>
        <v>0</v>
      </c>
      <c r="I117" s="28">
        <f>2.6*9</f>
        <v>23.400000000000002</v>
      </c>
      <c r="J117" s="28">
        <f>I117*0.25*0.5</f>
        <v>2.9250000000000003</v>
      </c>
    </row>
    <row r="118" spans="1:12" x14ac:dyDescent="0.2">
      <c r="A118" s="144" t="s">
        <v>68</v>
      </c>
      <c r="B118" s="145" t="s">
        <v>272</v>
      </c>
      <c r="C118" s="146"/>
      <c r="D118" s="147"/>
      <c r="E118" s="148"/>
      <c r="F118" s="59"/>
      <c r="G118" s="60">
        <f t="shared" si="16"/>
        <v>0</v>
      </c>
    </row>
    <row r="119" spans="1:12" ht="13.5" x14ac:dyDescent="0.2">
      <c r="A119" s="141"/>
      <c r="B119" s="142" t="s">
        <v>273</v>
      </c>
      <c r="C119" s="143" t="s">
        <v>354</v>
      </c>
      <c r="D119" s="91">
        <v>106.27</v>
      </c>
      <c r="E119" s="44"/>
      <c r="F119" s="59"/>
      <c r="G119" s="60">
        <f t="shared" si="16"/>
        <v>0</v>
      </c>
      <c r="I119" s="28">
        <v>726.9</v>
      </c>
      <c r="J119" s="28">
        <f>3.9*2.6+5.825*1.437</f>
        <v>18.510525000000001</v>
      </c>
      <c r="K119" s="28">
        <f>I119-J119</f>
        <v>708.38947499999995</v>
      </c>
      <c r="L119" s="28">
        <f>K119*0.15</f>
        <v>106.25842124999998</v>
      </c>
    </row>
    <row r="120" spans="1:12" x14ac:dyDescent="0.2">
      <c r="A120" s="144" t="s">
        <v>72</v>
      </c>
      <c r="B120" s="145" t="s">
        <v>171</v>
      </c>
      <c r="C120" s="146"/>
      <c r="D120" s="147"/>
      <c r="E120" s="148"/>
      <c r="F120" s="149"/>
      <c r="G120" s="150"/>
    </row>
    <row r="121" spans="1:12" ht="13.5" x14ac:dyDescent="0.2">
      <c r="A121" s="141"/>
      <c r="B121" s="142" t="s">
        <v>464</v>
      </c>
      <c r="C121" s="143" t="s">
        <v>354</v>
      </c>
      <c r="D121" s="91">
        <v>15.98</v>
      </c>
      <c r="E121" s="44"/>
      <c r="F121" s="59"/>
      <c r="G121" s="60">
        <f t="shared" ref="G121:G123" si="17">(D121*E121)+(D121*F121)</f>
        <v>0</v>
      </c>
      <c r="I121" s="28">
        <f>0.45*0.25*40*3.55</f>
        <v>15.975</v>
      </c>
    </row>
    <row r="122" spans="1:12" ht="13.5" x14ac:dyDescent="0.2">
      <c r="A122" s="141"/>
      <c r="B122" s="142" t="s">
        <v>465</v>
      </c>
      <c r="C122" s="143" t="s">
        <v>354</v>
      </c>
      <c r="D122" s="91">
        <v>6.22</v>
      </c>
      <c r="E122" s="44"/>
      <c r="F122" s="59"/>
      <c r="G122" s="60">
        <f t="shared" si="17"/>
        <v>0</v>
      </c>
      <c r="I122" s="28">
        <f>0.5*0.25*14*3.55</f>
        <v>6.2124999999999995</v>
      </c>
    </row>
    <row r="123" spans="1:12" ht="13.5" x14ac:dyDescent="0.2">
      <c r="A123" s="141"/>
      <c r="B123" s="142" t="s">
        <v>475</v>
      </c>
      <c r="C123" s="143" t="s">
        <v>354</v>
      </c>
      <c r="D123" s="91">
        <v>2</v>
      </c>
      <c r="E123" s="44"/>
      <c r="F123" s="59"/>
      <c r="G123" s="60">
        <f t="shared" si="17"/>
        <v>0</v>
      </c>
      <c r="I123" s="28">
        <f>0.25*0.25*9*3.55</f>
        <v>1.996875</v>
      </c>
    </row>
    <row r="124" spans="1:12" x14ac:dyDescent="0.2">
      <c r="A124" s="144" t="s">
        <v>101</v>
      </c>
      <c r="B124" s="145" t="s">
        <v>196</v>
      </c>
      <c r="C124" s="146"/>
      <c r="D124" s="147"/>
      <c r="E124" s="148"/>
      <c r="F124" s="59"/>
      <c r="G124" s="60">
        <f t="shared" ref="G124:G125" si="18">(D124*E124)+(D124*F124)</f>
        <v>0</v>
      </c>
    </row>
    <row r="125" spans="1:12" ht="13.5" x14ac:dyDescent="0.2">
      <c r="A125" s="141"/>
      <c r="B125" s="142" t="s">
        <v>270</v>
      </c>
      <c r="C125" s="143" t="s">
        <v>354</v>
      </c>
      <c r="D125" s="91">
        <v>2.6</v>
      </c>
      <c r="E125" s="44"/>
      <c r="F125" s="59"/>
      <c r="G125" s="60">
        <f t="shared" si="18"/>
        <v>0</v>
      </c>
      <c r="I125" s="28">
        <f>19.4*0.56</f>
        <v>10.864000000000001</v>
      </c>
      <c r="J125" s="28">
        <f>214.37+I125</f>
        <v>225.23400000000001</v>
      </c>
      <c r="K125" s="28">
        <f>J125*0.1</f>
        <v>22.523400000000002</v>
      </c>
    </row>
    <row r="126" spans="1:12" x14ac:dyDescent="0.2">
      <c r="A126" s="141"/>
      <c r="B126" s="142"/>
      <c r="C126" s="143"/>
      <c r="D126" s="91"/>
      <c r="E126" s="44"/>
      <c r="F126" s="59"/>
      <c r="G126" s="60"/>
    </row>
    <row r="127" spans="1:12" x14ac:dyDescent="0.2">
      <c r="A127" s="141"/>
      <c r="B127" s="142"/>
      <c r="C127" s="143"/>
      <c r="D127" s="91"/>
      <c r="E127" s="44"/>
      <c r="F127" s="59"/>
      <c r="G127" s="60"/>
    </row>
    <row r="128" spans="1:12" ht="12.75" thickBot="1" x14ac:dyDescent="0.25">
      <c r="A128" s="151"/>
      <c r="B128" s="152"/>
      <c r="C128" s="153"/>
      <c r="D128" s="154"/>
      <c r="E128" s="77"/>
      <c r="F128" s="155"/>
      <c r="G128" s="156"/>
    </row>
    <row r="129" spans="1:13" x14ac:dyDescent="0.2">
      <c r="A129" s="141"/>
      <c r="B129" s="142"/>
      <c r="C129" s="143"/>
      <c r="D129" s="91"/>
      <c r="E129" s="44"/>
      <c r="F129" s="59"/>
      <c r="G129" s="60"/>
    </row>
    <row r="130" spans="1:13" x14ac:dyDescent="0.2">
      <c r="A130" s="132" t="s">
        <v>153</v>
      </c>
      <c r="B130" s="133" t="s">
        <v>71</v>
      </c>
      <c r="C130" s="134"/>
      <c r="D130" s="135"/>
      <c r="E130" s="136"/>
      <c r="F130" s="137"/>
      <c r="G130" s="138"/>
    </row>
    <row r="131" spans="1:13" x14ac:dyDescent="0.2">
      <c r="A131" s="144" t="s">
        <v>104</v>
      </c>
      <c r="B131" s="145" t="s">
        <v>271</v>
      </c>
      <c r="C131" s="146"/>
      <c r="D131" s="147"/>
      <c r="E131" s="148"/>
      <c r="F131" s="149"/>
      <c r="G131" s="150"/>
    </row>
    <row r="132" spans="1:13" ht="13.5" x14ac:dyDescent="0.2">
      <c r="A132" s="141"/>
      <c r="B132" s="142" t="s">
        <v>460</v>
      </c>
      <c r="C132" s="143" t="s">
        <v>354</v>
      </c>
      <c r="D132" s="91">
        <v>5.85</v>
      </c>
      <c r="E132" s="44"/>
      <c r="F132" s="59"/>
      <c r="G132" s="60">
        <f t="shared" ref="G132:G134" si="19">(D132*E132)+(D132*F132)</f>
        <v>0</v>
      </c>
      <c r="I132" s="28">
        <f>7.8*6</f>
        <v>46.8</v>
      </c>
      <c r="J132" s="28">
        <f>I132*0.25*0.5</f>
        <v>5.85</v>
      </c>
    </row>
    <row r="133" spans="1:13" ht="13.5" x14ac:dyDescent="0.2">
      <c r="A133" s="141"/>
      <c r="B133" s="142" t="s">
        <v>462</v>
      </c>
      <c r="C133" s="143" t="s">
        <v>354</v>
      </c>
      <c r="D133" s="91">
        <v>11.654</v>
      </c>
      <c r="E133" s="44"/>
      <c r="F133" s="59"/>
      <c r="G133" s="60">
        <f t="shared" si="19"/>
        <v>0</v>
      </c>
      <c r="I133" s="28">
        <f>1.875*3+1.8*2+2.925*4+2.95*4+2.925*4+2.95*4+0.9*3+2.95*2+0.975+2.575+2.5+2.6+4*6+4.025+2.6+3.975*5+2.6+3.975*4+4.025*2+2.6</f>
        <v>153.125</v>
      </c>
      <c r="J133" s="28">
        <f>I133*0.2*0.3</f>
        <v>9.1875</v>
      </c>
      <c r="K133" s="28">
        <f>2.575+4*6+3.975*2+1.875*3+1.8+2.925+2.95+2.925+0.9+3.975*2+2.6+2.6</f>
        <v>64.8</v>
      </c>
      <c r="L133" s="28">
        <f>K133*0.15*0.25</f>
        <v>2.4299999999999997</v>
      </c>
      <c r="M133" s="28">
        <f>L133+J133</f>
        <v>11.6175</v>
      </c>
    </row>
    <row r="134" spans="1:13" ht="13.5" x14ac:dyDescent="0.2">
      <c r="A134" s="141"/>
      <c r="B134" s="142" t="s">
        <v>461</v>
      </c>
      <c r="C134" s="143" t="s">
        <v>354</v>
      </c>
      <c r="D134" s="91">
        <v>9.2449999999999992</v>
      </c>
      <c r="E134" s="44"/>
      <c r="F134" s="59"/>
      <c r="G134" s="60">
        <f t="shared" si="19"/>
        <v>0</v>
      </c>
      <c r="I134" s="28">
        <f>18.4+19.6+13.35+2.6*4</f>
        <v>61.75</v>
      </c>
      <c r="J134" s="28">
        <f>I134*0.25*0.5</f>
        <v>7.71875</v>
      </c>
      <c r="K134" s="28">
        <f>1.875*5*0.65*0.25</f>
        <v>1.5234375</v>
      </c>
      <c r="L134" s="28">
        <f>K134+J134</f>
        <v>9.2421875</v>
      </c>
    </row>
    <row r="135" spans="1:13" ht="13.5" x14ac:dyDescent="0.2">
      <c r="A135" s="141"/>
      <c r="B135" s="142" t="s">
        <v>463</v>
      </c>
      <c r="C135" s="143" t="s">
        <v>354</v>
      </c>
      <c r="D135" s="91">
        <v>1.76</v>
      </c>
      <c r="E135" s="44"/>
      <c r="F135" s="59"/>
      <c r="G135" s="60">
        <f t="shared" ref="G135" si="20">(D135*E135)+(D135*F135)</f>
        <v>0</v>
      </c>
      <c r="I135" s="28">
        <f>1.2*4+0.95*5+0.9*5</f>
        <v>14.05</v>
      </c>
      <c r="J135" s="28">
        <f>I135*0.25*0.5</f>
        <v>1.7562500000000001</v>
      </c>
    </row>
    <row r="136" spans="1:13" x14ac:dyDescent="0.2">
      <c r="A136" s="144" t="s">
        <v>137</v>
      </c>
      <c r="B136" s="145" t="s">
        <v>272</v>
      </c>
      <c r="C136" s="146"/>
      <c r="D136" s="147"/>
      <c r="E136" s="148"/>
      <c r="F136" s="59"/>
      <c r="G136" s="60">
        <f t="shared" ref="G136:G137" si="21">(D136*E136)+(D136*F136)</f>
        <v>0</v>
      </c>
    </row>
    <row r="137" spans="1:13" ht="13.5" x14ac:dyDescent="0.2">
      <c r="A137" s="141"/>
      <c r="B137" s="142" t="s">
        <v>273</v>
      </c>
      <c r="C137" s="143" t="s">
        <v>354</v>
      </c>
      <c r="D137" s="91">
        <v>37.21</v>
      </c>
      <c r="E137" s="44"/>
      <c r="F137" s="59"/>
      <c r="G137" s="60">
        <f t="shared" si="21"/>
        <v>0</v>
      </c>
      <c r="I137" s="28">
        <f>266.54</f>
        <v>266.54000000000002</v>
      </c>
      <c r="J137" s="28">
        <f>3.9*2.6+5.825*1.437</f>
        <v>18.510525000000001</v>
      </c>
      <c r="K137" s="28">
        <f>I137-J137</f>
        <v>248.02947500000002</v>
      </c>
      <c r="L137" s="28">
        <f>K137*0.15</f>
        <v>37.204421250000003</v>
      </c>
    </row>
    <row r="138" spans="1:13" x14ac:dyDescent="0.2">
      <c r="A138" s="144" t="s">
        <v>138</v>
      </c>
      <c r="B138" s="145" t="s">
        <v>171</v>
      </c>
      <c r="C138" s="146"/>
      <c r="D138" s="147"/>
      <c r="E138" s="148"/>
      <c r="F138" s="149"/>
      <c r="G138" s="150"/>
    </row>
    <row r="139" spans="1:13" ht="13.5" x14ac:dyDescent="0.2">
      <c r="A139" s="141"/>
      <c r="B139" s="142" t="s">
        <v>453</v>
      </c>
      <c r="C139" s="143" t="s">
        <v>354</v>
      </c>
      <c r="D139" s="91">
        <v>15.75</v>
      </c>
      <c r="E139" s="44"/>
      <c r="F139" s="59"/>
      <c r="G139" s="60">
        <f t="shared" ref="G139:G142" si="22">(D139*E139)+(D139*F139)</f>
        <v>0</v>
      </c>
      <c r="I139" s="28">
        <f>0.45*0.25*40*3.5</f>
        <v>15.75</v>
      </c>
    </row>
    <row r="140" spans="1:13" ht="13.5" x14ac:dyDescent="0.2">
      <c r="A140" s="141"/>
      <c r="B140" s="142" t="s">
        <v>474</v>
      </c>
      <c r="C140" s="143" t="s">
        <v>354</v>
      </c>
      <c r="D140" s="91">
        <v>6.125</v>
      </c>
      <c r="E140" s="44"/>
      <c r="F140" s="59"/>
      <c r="G140" s="60">
        <f t="shared" si="22"/>
        <v>0</v>
      </c>
      <c r="I140" s="28">
        <f>0.5*0.25*14*3.5</f>
        <v>6.125</v>
      </c>
    </row>
    <row r="141" spans="1:13" x14ac:dyDescent="0.2">
      <c r="A141" s="144" t="s">
        <v>274</v>
      </c>
      <c r="B141" s="145" t="s">
        <v>281</v>
      </c>
      <c r="C141" s="146"/>
      <c r="D141" s="147"/>
      <c r="E141" s="148"/>
      <c r="F141" s="59"/>
      <c r="G141" s="60">
        <f t="shared" si="22"/>
        <v>0</v>
      </c>
    </row>
    <row r="142" spans="1:13" ht="24" x14ac:dyDescent="0.2">
      <c r="A142" s="141"/>
      <c r="B142" s="142" t="s">
        <v>495</v>
      </c>
      <c r="C142" s="143" t="s">
        <v>354</v>
      </c>
      <c r="D142" s="91">
        <v>5</v>
      </c>
      <c r="E142" s="44"/>
      <c r="F142" s="59"/>
      <c r="G142" s="60">
        <f t="shared" si="22"/>
        <v>0</v>
      </c>
      <c r="I142" s="28">
        <f>18.25+13.5*2+1.2*2</f>
        <v>47.65</v>
      </c>
      <c r="J142" s="28">
        <f>I142*1.05*0.1</f>
        <v>5.0032500000000004</v>
      </c>
    </row>
    <row r="143" spans="1:13" x14ac:dyDescent="0.2">
      <c r="A143" s="132" t="s">
        <v>154</v>
      </c>
      <c r="B143" s="133" t="s">
        <v>254</v>
      </c>
      <c r="C143" s="134"/>
      <c r="D143" s="135"/>
      <c r="E143" s="136"/>
      <c r="F143" s="137"/>
      <c r="G143" s="138"/>
    </row>
    <row r="144" spans="1:13" x14ac:dyDescent="0.2">
      <c r="A144" s="144" t="s">
        <v>110</v>
      </c>
      <c r="B144" s="145" t="s">
        <v>266</v>
      </c>
      <c r="C144" s="146"/>
      <c r="D144" s="147"/>
      <c r="E144" s="148"/>
      <c r="F144" s="149"/>
      <c r="G144" s="150"/>
    </row>
    <row r="145" spans="1:17" ht="13.5" x14ac:dyDescent="0.2">
      <c r="A145" s="141"/>
      <c r="B145" s="142" t="s">
        <v>470</v>
      </c>
      <c r="C145" s="143" t="s">
        <v>354</v>
      </c>
      <c r="D145" s="91">
        <v>20.61</v>
      </c>
      <c r="E145" s="44"/>
      <c r="F145" s="59"/>
      <c r="G145" s="60">
        <f t="shared" ref="G145:G147" si="23">(D145*E145)+(D145*F145)</f>
        <v>0</v>
      </c>
      <c r="I145" s="28">
        <f>15.7*7</f>
        <v>109.89999999999999</v>
      </c>
      <c r="J145" s="28">
        <f>I145*0.25*0.75</f>
        <v>20.606249999999999</v>
      </c>
    </row>
    <row r="146" spans="1:17" ht="13.5" x14ac:dyDescent="0.2">
      <c r="A146" s="141"/>
      <c r="B146" s="142" t="s">
        <v>469</v>
      </c>
      <c r="C146" s="143" t="s">
        <v>354</v>
      </c>
      <c r="D146" s="91">
        <v>4.68</v>
      </c>
      <c r="E146" s="44"/>
      <c r="F146" s="59"/>
      <c r="G146" s="60">
        <f t="shared" si="23"/>
        <v>0</v>
      </c>
      <c r="I146" s="28">
        <f>7.8*6</f>
        <v>46.8</v>
      </c>
      <c r="J146" s="28">
        <f>I146*0.2*0.5</f>
        <v>4.68</v>
      </c>
    </row>
    <row r="147" spans="1:17" ht="13.5" x14ac:dyDescent="0.2">
      <c r="A147" s="141"/>
      <c r="B147" s="142" t="s">
        <v>468</v>
      </c>
      <c r="C147" s="143" t="s">
        <v>354</v>
      </c>
      <c r="D147" s="91">
        <v>9.0500000000000007</v>
      </c>
      <c r="E147" s="44"/>
      <c r="F147" s="59"/>
      <c r="G147" s="60">
        <f t="shared" si="23"/>
        <v>0</v>
      </c>
      <c r="I147" s="28">
        <f>2.945*2+1.85+2.925*6+2.95*6+2.5+0.95*2+3.975*5*2+2.6*2+4.025*2</f>
        <v>100.39</v>
      </c>
      <c r="J147" s="28">
        <f>I147*0.2*0.45</f>
        <v>9.0351000000000017</v>
      </c>
    </row>
    <row r="148" spans="1:17" ht="13.5" x14ac:dyDescent="0.2">
      <c r="A148" s="141"/>
      <c r="B148" s="142" t="s">
        <v>467</v>
      </c>
      <c r="C148" s="143" t="s">
        <v>354</v>
      </c>
      <c r="D148" s="91">
        <v>1.6</v>
      </c>
      <c r="E148" s="44"/>
      <c r="F148" s="59"/>
      <c r="G148" s="60">
        <f t="shared" ref="G148" si="24">(D148*E148)+(D148*F148)</f>
        <v>0</v>
      </c>
      <c r="I148" s="28">
        <f>2.6*6</f>
        <v>15.600000000000001</v>
      </c>
      <c r="J148" s="28">
        <f t="shared" ref="J148" si="25">I148*0.2*0.5</f>
        <v>1.5600000000000003</v>
      </c>
    </row>
    <row r="149" spans="1:17" x14ac:dyDescent="0.2">
      <c r="A149" s="144" t="s">
        <v>144</v>
      </c>
      <c r="B149" s="145" t="s">
        <v>471</v>
      </c>
      <c r="C149" s="146"/>
      <c r="D149" s="147"/>
      <c r="E149" s="148"/>
      <c r="F149" s="59"/>
      <c r="G149" s="60">
        <f t="shared" ref="G149:G150" si="26">(D149*E149)+(D149*F149)</f>
        <v>0</v>
      </c>
    </row>
    <row r="150" spans="1:17" ht="13.5" x14ac:dyDescent="0.2">
      <c r="A150" s="141"/>
      <c r="B150" s="142" t="s">
        <v>273</v>
      </c>
      <c r="C150" s="143" t="s">
        <v>354</v>
      </c>
      <c r="D150" s="91">
        <v>6</v>
      </c>
      <c r="E150" s="44"/>
      <c r="F150" s="59"/>
      <c r="G150" s="60">
        <f t="shared" si="26"/>
        <v>0</v>
      </c>
      <c r="I150" s="28">
        <f>3.05*16.7*0.15</f>
        <v>7.6402499999999991</v>
      </c>
      <c r="J150" s="28">
        <f>16.7*0.2*0.15*2</f>
        <v>1.002</v>
      </c>
      <c r="K150" s="28">
        <f>3.05*0.2*0.15*7</f>
        <v>0.64049999999999996</v>
      </c>
      <c r="L150" s="28">
        <f>SUM(J150:K150)</f>
        <v>1.6425000000000001</v>
      </c>
      <c r="M150" s="28">
        <f>I150-L150</f>
        <v>5.997749999999999</v>
      </c>
    </row>
    <row r="151" spans="1:17" x14ac:dyDescent="0.2">
      <c r="A151" s="144" t="s">
        <v>145</v>
      </c>
      <c r="B151" s="145" t="s">
        <v>281</v>
      </c>
      <c r="C151" s="146"/>
      <c r="D151" s="147"/>
      <c r="E151" s="148"/>
      <c r="F151" s="59"/>
      <c r="G151" s="60">
        <f t="shared" ref="G151:G152" si="27">(D151*E151)+(D151*F151)</f>
        <v>0</v>
      </c>
    </row>
    <row r="152" spans="1:17" ht="24" x14ac:dyDescent="0.2">
      <c r="A152" s="141"/>
      <c r="B152" s="142" t="s">
        <v>482</v>
      </c>
      <c r="C152" s="143" t="s">
        <v>354</v>
      </c>
      <c r="D152" s="91">
        <v>4.75</v>
      </c>
      <c r="E152" s="44"/>
      <c r="F152" s="59"/>
      <c r="G152" s="60">
        <f t="shared" si="27"/>
        <v>0</v>
      </c>
      <c r="I152" s="28">
        <f>16.7*2+3*2</f>
        <v>39.4</v>
      </c>
      <c r="J152" s="28">
        <f>I152*0.2*0.6</f>
        <v>4.7279999999999998</v>
      </c>
    </row>
    <row r="153" spans="1:17" x14ac:dyDescent="0.2">
      <c r="A153" s="118" t="s">
        <v>72</v>
      </c>
      <c r="B153" s="157" t="s">
        <v>12</v>
      </c>
      <c r="C153" s="131"/>
      <c r="D153" s="121"/>
      <c r="E153" s="122"/>
      <c r="F153" s="121"/>
      <c r="G153" s="158"/>
    </row>
    <row r="154" spans="1:17" ht="25.5" customHeight="1" x14ac:dyDescent="0.2">
      <c r="A154" s="40"/>
      <c r="B154" s="67" t="s">
        <v>135</v>
      </c>
      <c r="C154" s="67"/>
      <c r="D154" s="67"/>
      <c r="E154" s="67"/>
      <c r="F154" s="67"/>
      <c r="G154" s="159"/>
    </row>
    <row r="155" spans="1:17" ht="76.5" customHeight="1" x14ac:dyDescent="0.2">
      <c r="A155" s="40"/>
      <c r="B155" s="67" t="s">
        <v>73</v>
      </c>
      <c r="C155" s="67"/>
      <c r="D155" s="67"/>
      <c r="E155" s="67"/>
      <c r="F155" s="67"/>
      <c r="G155" s="159"/>
    </row>
    <row r="156" spans="1:17" ht="52.5" customHeight="1" x14ac:dyDescent="0.2">
      <c r="A156" s="40"/>
      <c r="B156" s="67" t="s">
        <v>74</v>
      </c>
      <c r="C156" s="67"/>
      <c r="D156" s="67"/>
      <c r="E156" s="67"/>
      <c r="F156" s="67"/>
      <c r="G156" s="159"/>
    </row>
    <row r="157" spans="1:17" ht="60.75" customHeight="1" x14ac:dyDescent="0.2">
      <c r="A157" s="40"/>
      <c r="B157" s="62" t="s">
        <v>75</v>
      </c>
      <c r="C157" s="62"/>
      <c r="D157" s="62"/>
      <c r="E157" s="62"/>
      <c r="F157" s="62"/>
      <c r="G157" s="160"/>
    </row>
    <row r="158" spans="1:17" x14ac:dyDescent="0.2">
      <c r="A158" s="132" t="s">
        <v>151</v>
      </c>
      <c r="B158" s="133" t="s">
        <v>64</v>
      </c>
      <c r="C158" s="134"/>
      <c r="D158" s="135"/>
      <c r="E158" s="136"/>
      <c r="F158" s="137"/>
      <c r="G158" s="138"/>
    </row>
    <row r="159" spans="1:17" x14ac:dyDescent="0.2">
      <c r="A159" s="40"/>
      <c r="B159" s="105" t="s">
        <v>431</v>
      </c>
      <c r="C159" s="56" t="s">
        <v>44</v>
      </c>
      <c r="D159" s="57">
        <v>9.2200000000000006</v>
      </c>
      <c r="E159" s="44"/>
      <c r="F159" s="59"/>
      <c r="G159" s="60">
        <f t="shared" ref="G159:G170" si="28">(D159*E159)+(D159*F159)</f>
        <v>0</v>
      </c>
      <c r="I159" s="39">
        <f>(2.65+1.65)*0.35*2*2</f>
        <v>6.02</v>
      </c>
      <c r="J159" s="39">
        <f>(2.65+0.55)*2*0.25*2</f>
        <v>3.2</v>
      </c>
      <c r="K159" s="39">
        <f>SUM(I159:J159)</f>
        <v>9.2199999999999989</v>
      </c>
      <c r="L159" s="39"/>
      <c r="M159" s="28">
        <f>2.65*2+2.875*3+214.15</f>
        <v>228.07500000000002</v>
      </c>
      <c r="N159" s="39"/>
      <c r="O159" s="39"/>
      <c r="P159" s="39"/>
      <c r="Q159" s="39"/>
    </row>
    <row r="160" spans="1:17" x14ac:dyDescent="0.2">
      <c r="A160" s="40"/>
      <c r="B160" s="105" t="s">
        <v>440</v>
      </c>
      <c r="C160" s="56" t="s">
        <v>44</v>
      </c>
      <c r="D160" s="57">
        <v>14.22</v>
      </c>
      <c r="E160" s="44"/>
      <c r="F160" s="59"/>
      <c r="G160" s="60">
        <f t="shared" si="28"/>
        <v>0</v>
      </c>
      <c r="I160" s="39">
        <f>(2.875+1.45)*2*3*0.35</f>
        <v>9.0824999999999996</v>
      </c>
      <c r="J160" s="39">
        <f>(2.875+0.55)*0.25*3*2</f>
        <v>5.1374999999999993</v>
      </c>
      <c r="K160" s="39">
        <f>SUM(I160:J160)</f>
        <v>14.219999999999999</v>
      </c>
      <c r="L160" s="39"/>
      <c r="M160" s="39"/>
      <c r="N160" s="140"/>
    </row>
    <row r="161" spans="1:14" x14ac:dyDescent="0.2">
      <c r="A161" s="40"/>
      <c r="B161" s="105" t="s">
        <v>432</v>
      </c>
      <c r="C161" s="56" t="s">
        <v>44</v>
      </c>
      <c r="D161" s="57">
        <v>12.74</v>
      </c>
      <c r="E161" s="44"/>
      <c r="F161" s="59"/>
      <c r="G161" s="60">
        <f t="shared" si="28"/>
        <v>0</v>
      </c>
      <c r="I161" s="39">
        <f>1.3*4*0.35*7</f>
        <v>12.739999999999998</v>
      </c>
      <c r="J161" s="39"/>
      <c r="K161" s="39"/>
      <c r="L161" s="39"/>
      <c r="M161" s="39"/>
      <c r="N161" s="140"/>
    </row>
    <row r="162" spans="1:14" x14ac:dyDescent="0.2">
      <c r="A162" s="40"/>
      <c r="B162" s="105" t="s">
        <v>433</v>
      </c>
      <c r="C162" s="56" t="s">
        <v>44</v>
      </c>
      <c r="D162" s="57">
        <v>8.4</v>
      </c>
      <c r="E162" s="44"/>
      <c r="F162" s="59"/>
      <c r="G162" s="60">
        <f t="shared" si="28"/>
        <v>0</v>
      </c>
      <c r="I162" s="39">
        <f>1.2*4*0.35*5</f>
        <v>8.4</v>
      </c>
      <c r="J162" s="39"/>
      <c r="K162" s="39"/>
      <c r="L162" s="39"/>
      <c r="M162" s="39"/>
      <c r="N162" s="140"/>
    </row>
    <row r="163" spans="1:14" x14ac:dyDescent="0.2">
      <c r="A163" s="40"/>
      <c r="B163" s="105" t="s">
        <v>434</v>
      </c>
      <c r="C163" s="56" t="s">
        <v>44</v>
      </c>
      <c r="D163" s="57">
        <v>16.8</v>
      </c>
      <c r="E163" s="44"/>
      <c r="F163" s="59"/>
      <c r="G163" s="60">
        <f t="shared" si="28"/>
        <v>0</v>
      </c>
      <c r="I163" s="39">
        <f>1.5*4*0.35*8</f>
        <v>16.799999999999997</v>
      </c>
      <c r="J163" s="39"/>
      <c r="K163" s="39"/>
      <c r="L163" s="39"/>
      <c r="M163" s="39"/>
      <c r="N163" s="140"/>
    </row>
    <row r="164" spans="1:14" x14ac:dyDescent="0.2">
      <c r="A164" s="40"/>
      <c r="B164" s="105" t="s">
        <v>435</v>
      </c>
      <c r="C164" s="56" t="s">
        <v>44</v>
      </c>
      <c r="D164" s="57">
        <v>16.8</v>
      </c>
      <c r="E164" s="44"/>
      <c r="F164" s="59"/>
      <c r="G164" s="60">
        <f t="shared" si="28"/>
        <v>0</v>
      </c>
      <c r="I164" s="39">
        <f>2*4*0.35*6</f>
        <v>16.799999999999997</v>
      </c>
      <c r="J164" s="39"/>
      <c r="K164" s="39"/>
      <c r="L164" s="39"/>
      <c r="M164" s="39"/>
      <c r="N164" s="140"/>
    </row>
    <row r="165" spans="1:14" x14ac:dyDescent="0.2">
      <c r="A165" s="40"/>
      <c r="B165" s="105" t="s">
        <v>436</v>
      </c>
      <c r="C165" s="56" t="s">
        <v>44</v>
      </c>
      <c r="D165" s="57">
        <v>5.88</v>
      </c>
      <c r="E165" s="44"/>
      <c r="F165" s="59"/>
      <c r="G165" s="60">
        <f t="shared" si="28"/>
        <v>0</v>
      </c>
      <c r="I165" s="39">
        <f>2.1*4*0.35*2</f>
        <v>5.88</v>
      </c>
      <c r="J165" s="39"/>
      <c r="K165" s="39"/>
      <c r="L165" s="39"/>
      <c r="M165" s="39"/>
      <c r="N165" s="140"/>
    </row>
    <row r="166" spans="1:14" x14ac:dyDescent="0.2">
      <c r="A166" s="40"/>
      <c r="B166" s="105" t="s">
        <v>437</v>
      </c>
      <c r="C166" s="56" t="s">
        <v>44</v>
      </c>
      <c r="D166" s="57">
        <v>17.64</v>
      </c>
      <c r="E166" s="44"/>
      <c r="F166" s="59"/>
      <c r="G166" s="60">
        <f t="shared" si="28"/>
        <v>0</v>
      </c>
      <c r="I166" s="39">
        <f>1.8*4*0.35*7</f>
        <v>17.64</v>
      </c>
      <c r="J166" s="39"/>
      <c r="K166" s="39"/>
      <c r="L166" s="39"/>
      <c r="M166" s="39"/>
      <c r="N166" s="140"/>
    </row>
    <row r="167" spans="1:14" x14ac:dyDescent="0.2">
      <c r="A167" s="40"/>
      <c r="B167" s="105" t="s">
        <v>438</v>
      </c>
      <c r="C167" s="56" t="s">
        <v>44</v>
      </c>
      <c r="D167" s="57">
        <v>7.14</v>
      </c>
      <c r="E167" s="44"/>
      <c r="F167" s="59"/>
      <c r="G167" s="60">
        <f t="shared" si="28"/>
        <v>0</v>
      </c>
      <c r="I167" s="39">
        <f>1.7*4*0.35*3</f>
        <v>7.14</v>
      </c>
      <c r="J167" s="39"/>
      <c r="K167" s="39"/>
      <c r="L167" s="39"/>
      <c r="M167" s="39"/>
      <c r="N167" s="140"/>
    </row>
    <row r="168" spans="1:14" x14ac:dyDescent="0.2">
      <c r="A168" s="141"/>
      <c r="B168" s="105" t="s">
        <v>439</v>
      </c>
      <c r="C168" s="56" t="s">
        <v>44</v>
      </c>
      <c r="D168" s="57">
        <v>10.64</v>
      </c>
      <c r="E168" s="44"/>
      <c r="F168" s="59"/>
      <c r="G168" s="60">
        <f t="shared" si="28"/>
        <v>0</v>
      </c>
      <c r="I168" s="39">
        <f>1.9*4*0.35*4</f>
        <v>10.639999999999999</v>
      </c>
      <c r="J168" s="39"/>
      <c r="K168" s="39"/>
      <c r="L168" s="39"/>
      <c r="N168" s="140"/>
    </row>
    <row r="169" spans="1:14" x14ac:dyDescent="0.2">
      <c r="A169" s="141"/>
      <c r="B169" s="105" t="s">
        <v>430</v>
      </c>
      <c r="C169" s="56" t="s">
        <v>44</v>
      </c>
      <c r="D169" s="57">
        <v>16.100000000000001</v>
      </c>
      <c r="E169" s="44"/>
      <c r="F169" s="59"/>
      <c r="G169" s="60">
        <f t="shared" si="28"/>
        <v>0</v>
      </c>
      <c r="I169" s="39">
        <f>1.15*4*0.35*10</f>
        <v>16.099999999999998</v>
      </c>
      <c r="J169" s="39"/>
      <c r="K169" s="39"/>
      <c r="L169" s="39"/>
      <c r="N169" s="140"/>
    </row>
    <row r="170" spans="1:14" ht="12.75" thickBot="1" x14ac:dyDescent="0.25">
      <c r="A170" s="151"/>
      <c r="B170" s="377" t="s">
        <v>441</v>
      </c>
      <c r="C170" s="114" t="s">
        <v>44</v>
      </c>
      <c r="D170" s="76">
        <v>171.32</v>
      </c>
      <c r="E170" s="77"/>
      <c r="F170" s="155"/>
      <c r="G170" s="156">
        <f t="shared" si="28"/>
        <v>0</v>
      </c>
      <c r="I170" s="139">
        <f>31.35+8.45+16.375*2+14.25+14.2*2+18.325+28+2.225+7.975*2+2.2+8.35+8.2+15.7</f>
        <v>214.14999999999992</v>
      </c>
      <c r="J170" s="112"/>
      <c r="K170" s="112">
        <f>I170*2*0.4</f>
        <v>171.31999999999994</v>
      </c>
      <c r="L170" s="140"/>
      <c r="N170" s="140"/>
    </row>
    <row r="171" spans="1:14" x14ac:dyDescent="0.2">
      <c r="A171" s="141"/>
      <c r="B171" s="105"/>
      <c r="C171" s="161"/>
      <c r="D171" s="57"/>
      <c r="E171" s="44"/>
      <c r="F171" s="59"/>
      <c r="G171" s="60"/>
      <c r="N171" s="140"/>
    </row>
    <row r="172" spans="1:14" x14ac:dyDescent="0.2">
      <c r="A172" s="132" t="s">
        <v>152</v>
      </c>
      <c r="B172" s="133" t="s">
        <v>67</v>
      </c>
      <c r="C172" s="134"/>
      <c r="D172" s="135"/>
      <c r="E172" s="136"/>
      <c r="F172" s="137"/>
      <c r="G172" s="138"/>
    </row>
    <row r="173" spans="1:14" x14ac:dyDescent="0.2">
      <c r="A173" s="144" t="s">
        <v>156</v>
      </c>
      <c r="B173" s="145" t="s">
        <v>171</v>
      </c>
      <c r="C173" s="146"/>
      <c r="D173" s="147"/>
      <c r="E173" s="148"/>
      <c r="F173" s="149"/>
      <c r="G173" s="150"/>
    </row>
    <row r="174" spans="1:14" ht="13.5" x14ac:dyDescent="0.2">
      <c r="A174" s="141"/>
      <c r="B174" s="142" t="s">
        <v>444</v>
      </c>
      <c r="C174" s="161" t="s">
        <v>355</v>
      </c>
      <c r="D174" s="91">
        <v>246.4</v>
      </c>
      <c r="E174" s="44"/>
      <c r="F174" s="59"/>
      <c r="G174" s="60">
        <f t="shared" ref="G174:G176" si="29">(D174*E174)+(D174*F174)</f>
        <v>0</v>
      </c>
      <c r="I174" s="28">
        <f>(0.25+0.45)*2*4.4*40</f>
        <v>246.4</v>
      </c>
    </row>
    <row r="175" spans="1:14" ht="13.5" x14ac:dyDescent="0.2">
      <c r="A175" s="141"/>
      <c r="B175" s="142" t="s">
        <v>445</v>
      </c>
      <c r="C175" s="161" t="s">
        <v>355</v>
      </c>
      <c r="D175" s="91">
        <v>92.4</v>
      </c>
      <c r="E175" s="44"/>
      <c r="F175" s="59"/>
      <c r="G175" s="60">
        <f t="shared" si="29"/>
        <v>0</v>
      </c>
      <c r="I175" s="28">
        <f>(0.25+0.5)*4.4*14*2</f>
        <v>92.4</v>
      </c>
    </row>
    <row r="176" spans="1:14" ht="13.5" x14ac:dyDescent="0.2">
      <c r="A176" s="141"/>
      <c r="B176" s="142" t="s">
        <v>446</v>
      </c>
      <c r="C176" s="161" t="s">
        <v>355</v>
      </c>
      <c r="D176" s="91">
        <v>39.6</v>
      </c>
      <c r="E176" s="44"/>
      <c r="F176" s="59"/>
      <c r="G176" s="60">
        <f t="shared" si="29"/>
        <v>0</v>
      </c>
      <c r="I176" s="28">
        <f>0.25*4*4.4*9</f>
        <v>39.6</v>
      </c>
    </row>
    <row r="177" spans="1:13" x14ac:dyDescent="0.2">
      <c r="A177" s="144" t="s">
        <v>10</v>
      </c>
      <c r="B177" s="145" t="s">
        <v>196</v>
      </c>
      <c r="C177" s="146"/>
      <c r="D177" s="147"/>
      <c r="E177" s="148"/>
      <c r="F177" s="59"/>
      <c r="G177" s="60">
        <f t="shared" ref="G177:G182" si="30">(D177*E177)+(D177*F177)</f>
        <v>0</v>
      </c>
    </row>
    <row r="178" spans="1:13" ht="13.5" x14ac:dyDescent="0.2">
      <c r="A178" s="141"/>
      <c r="B178" s="142" t="s">
        <v>560</v>
      </c>
      <c r="C178" s="161" t="s">
        <v>355</v>
      </c>
      <c r="D178" s="91">
        <v>24.9</v>
      </c>
      <c r="E178" s="44"/>
      <c r="F178" s="59"/>
      <c r="G178" s="60">
        <f t="shared" si="30"/>
        <v>0</v>
      </c>
      <c r="I178" s="28">
        <f>3.7*1.7*2</f>
        <v>12.58</v>
      </c>
      <c r="J178" s="28">
        <f>3.1*1.3</f>
        <v>4.03</v>
      </c>
      <c r="K178" s="28">
        <f>1.4*0.175*20</f>
        <v>4.8999999999999995</v>
      </c>
      <c r="L178" s="28">
        <f>3.2*1.05</f>
        <v>3.3600000000000003</v>
      </c>
      <c r="M178" s="28">
        <f>SUM(I178:L178)</f>
        <v>24.869999999999997</v>
      </c>
    </row>
    <row r="179" spans="1:13" ht="13.5" x14ac:dyDescent="0.2">
      <c r="A179" s="141"/>
      <c r="B179" s="142" t="s">
        <v>561</v>
      </c>
      <c r="C179" s="161" t="s">
        <v>355</v>
      </c>
      <c r="D179" s="91">
        <v>22</v>
      </c>
      <c r="E179" s="44"/>
      <c r="F179" s="59"/>
      <c r="G179" s="60">
        <f t="shared" ref="G179" si="31">(D179*E179)+(D179*F179)</f>
        <v>0</v>
      </c>
      <c r="I179" s="28">
        <f>3.35*2+0.9</f>
        <v>7.6000000000000005</v>
      </c>
      <c r="J179" s="28">
        <f>I179*1.8</f>
        <v>13.680000000000001</v>
      </c>
      <c r="K179" s="28">
        <f>0.175*1.5*18</f>
        <v>4.7249999999999996</v>
      </c>
      <c r="L179" s="28">
        <f>3.4*1.05</f>
        <v>3.57</v>
      </c>
      <c r="M179" s="28">
        <f>SUM(J179:L179)</f>
        <v>21.975000000000001</v>
      </c>
    </row>
    <row r="180" spans="1:13" x14ac:dyDescent="0.2">
      <c r="A180" s="141"/>
      <c r="B180" s="142"/>
      <c r="C180" s="161"/>
      <c r="D180" s="91"/>
      <c r="E180" s="44"/>
      <c r="F180" s="59"/>
      <c r="G180" s="60"/>
    </row>
    <row r="181" spans="1:13" x14ac:dyDescent="0.2">
      <c r="A181" s="144" t="s">
        <v>16</v>
      </c>
      <c r="B181" s="145" t="s">
        <v>198</v>
      </c>
      <c r="C181" s="146"/>
      <c r="D181" s="147"/>
      <c r="E181" s="148"/>
      <c r="F181" s="59"/>
      <c r="G181" s="60">
        <f t="shared" si="30"/>
        <v>0</v>
      </c>
    </row>
    <row r="182" spans="1:13" ht="13.5" x14ac:dyDescent="0.2">
      <c r="A182" s="141"/>
      <c r="B182" s="142" t="s">
        <v>269</v>
      </c>
      <c r="C182" s="161" t="s">
        <v>355</v>
      </c>
      <c r="D182" s="91">
        <v>11.8</v>
      </c>
      <c r="E182" s="44"/>
      <c r="F182" s="59"/>
      <c r="G182" s="60">
        <f t="shared" si="30"/>
        <v>0</v>
      </c>
      <c r="I182" s="28">
        <v>117.25</v>
      </c>
      <c r="J182" s="28">
        <f>I182*0.1</f>
        <v>11.725000000000001</v>
      </c>
    </row>
    <row r="183" spans="1:13" x14ac:dyDescent="0.2">
      <c r="A183" s="132" t="s">
        <v>57</v>
      </c>
      <c r="B183" s="133" t="s">
        <v>69</v>
      </c>
      <c r="C183" s="134"/>
      <c r="D183" s="135"/>
      <c r="E183" s="136"/>
      <c r="F183" s="137"/>
      <c r="G183" s="138"/>
    </row>
    <row r="184" spans="1:13" x14ac:dyDescent="0.2">
      <c r="A184" s="144" t="s">
        <v>157</v>
      </c>
      <c r="B184" s="145" t="s">
        <v>271</v>
      </c>
      <c r="C184" s="146"/>
      <c r="D184" s="147"/>
      <c r="E184" s="148"/>
      <c r="F184" s="149"/>
      <c r="G184" s="150"/>
    </row>
    <row r="185" spans="1:13" ht="13.5" x14ac:dyDescent="0.2">
      <c r="A185" s="141"/>
      <c r="B185" s="142" t="s">
        <v>460</v>
      </c>
      <c r="C185" s="161" t="s">
        <v>355</v>
      </c>
      <c r="D185" s="91">
        <v>231.1</v>
      </c>
      <c r="E185" s="44"/>
      <c r="F185" s="59"/>
      <c r="G185" s="60">
        <f t="shared" ref="G185:G187" si="32">(D185*E185)+(D185*F185)</f>
        <v>0</v>
      </c>
      <c r="I185" s="28">
        <f>7.8*6+8.05*5+7.8*5+7.8*5</f>
        <v>165.05</v>
      </c>
      <c r="J185" s="28">
        <f>I185*1.4</f>
        <v>231.07</v>
      </c>
    </row>
    <row r="186" spans="1:13" ht="13.5" x14ac:dyDescent="0.2">
      <c r="A186" s="141"/>
      <c r="B186" s="142" t="s">
        <v>462</v>
      </c>
      <c r="C186" s="161" t="s">
        <v>355</v>
      </c>
      <c r="D186" s="91">
        <v>201.4</v>
      </c>
      <c r="E186" s="44"/>
      <c r="F186" s="59"/>
      <c r="G186" s="60">
        <f t="shared" si="32"/>
        <v>0</v>
      </c>
      <c r="I186" s="28">
        <f>1.875*8+1.8*5+2.925*7+2.95*7+2.925*7+2.95*7+0.9*6+2.95*3+5.825+0.975+2.575+2.5+4*10+2.55*2+3.975*2+3.975*5+4.025+2.6</f>
        <v>211.92499999999998</v>
      </c>
      <c r="J186" s="28">
        <f>I186*0.95</f>
        <v>201.32874999999999</v>
      </c>
    </row>
    <row r="187" spans="1:13" ht="13.5" x14ac:dyDescent="0.2">
      <c r="A187" s="141"/>
      <c r="B187" s="142" t="s">
        <v>461</v>
      </c>
      <c r="C187" s="161" t="s">
        <v>355</v>
      </c>
      <c r="D187" s="91">
        <v>31.6</v>
      </c>
      <c r="E187" s="44"/>
      <c r="F187" s="59"/>
      <c r="G187" s="60">
        <f t="shared" si="32"/>
        <v>0</v>
      </c>
      <c r="I187" s="28">
        <f>2.6*9</f>
        <v>23.400000000000002</v>
      </c>
      <c r="J187" s="28">
        <f>I187*1.35</f>
        <v>31.590000000000003</v>
      </c>
    </row>
    <row r="188" spans="1:13" x14ac:dyDescent="0.2">
      <c r="A188" s="144" t="s">
        <v>68</v>
      </c>
      <c r="B188" s="145" t="s">
        <v>272</v>
      </c>
      <c r="C188" s="146"/>
      <c r="D188" s="147"/>
      <c r="E188" s="148"/>
      <c r="F188" s="59"/>
      <c r="G188" s="60">
        <f t="shared" ref="G188:G189" si="33">(D188*E188)+(D188*F188)</f>
        <v>0</v>
      </c>
    </row>
    <row r="189" spans="1:13" ht="13.5" x14ac:dyDescent="0.2">
      <c r="A189" s="141"/>
      <c r="B189" s="142" t="s">
        <v>273</v>
      </c>
      <c r="C189" s="161" t="s">
        <v>355</v>
      </c>
      <c r="D189" s="91">
        <v>708.4</v>
      </c>
      <c r="E189" s="44"/>
      <c r="F189" s="59"/>
      <c r="G189" s="60">
        <f t="shared" si="33"/>
        <v>0</v>
      </c>
      <c r="I189" s="28">
        <v>726.9</v>
      </c>
      <c r="J189" s="28">
        <f>3.9*2.6+5.825*1.437</f>
        <v>18.510525000000001</v>
      </c>
      <c r="K189" s="28">
        <f>I189-J189</f>
        <v>708.38947499999995</v>
      </c>
    </row>
    <row r="190" spans="1:13" x14ac:dyDescent="0.2">
      <c r="A190" s="144" t="s">
        <v>72</v>
      </c>
      <c r="B190" s="145" t="s">
        <v>171</v>
      </c>
      <c r="C190" s="146"/>
      <c r="D190" s="147"/>
      <c r="E190" s="148"/>
      <c r="F190" s="149"/>
      <c r="G190" s="150"/>
    </row>
    <row r="191" spans="1:13" ht="13.5" x14ac:dyDescent="0.2">
      <c r="A191" s="141"/>
      <c r="B191" s="142" t="s">
        <v>466</v>
      </c>
      <c r="C191" s="161" t="s">
        <v>355</v>
      </c>
      <c r="D191" s="91">
        <v>198.8</v>
      </c>
      <c r="E191" s="44"/>
      <c r="F191" s="59"/>
      <c r="G191" s="60">
        <f t="shared" ref="G191:G193" si="34">(D191*E191)+(D191*F191)</f>
        <v>0</v>
      </c>
      <c r="I191" s="28">
        <f>(0.25+0.45)*2*3.55*40</f>
        <v>198.79999999999998</v>
      </c>
    </row>
    <row r="192" spans="1:13" ht="13.5" x14ac:dyDescent="0.2">
      <c r="A192" s="141"/>
      <c r="B192" s="142" t="s">
        <v>472</v>
      </c>
      <c r="C192" s="161" t="s">
        <v>355</v>
      </c>
      <c r="D192" s="91">
        <v>74.55</v>
      </c>
      <c r="E192" s="44"/>
      <c r="F192" s="59"/>
      <c r="G192" s="60">
        <f t="shared" si="34"/>
        <v>0</v>
      </c>
      <c r="I192" s="28">
        <f>(0.25+0.5)*3.55*14*2</f>
        <v>74.549999999999983</v>
      </c>
    </row>
    <row r="193" spans="1:13" ht="13.5" x14ac:dyDescent="0.2">
      <c r="A193" s="141"/>
      <c r="B193" s="142" t="s">
        <v>473</v>
      </c>
      <c r="C193" s="161" t="s">
        <v>355</v>
      </c>
      <c r="D193" s="91">
        <v>31.95</v>
      </c>
      <c r="E193" s="44"/>
      <c r="F193" s="59"/>
      <c r="G193" s="60">
        <f t="shared" si="34"/>
        <v>0</v>
      </c>
      <c r="I193" s="28">
        <f>0.25*4*3.55*9</f>
        <v>31.95</v>
      </c>
    </row>
    <row r="194" spans="1:13" x14ac:dyDescent="0.2">
      <c r="A194" s="144" t="s">
        <v>101</v>
      </c>
      <c r="B194" s="145" t="s">
        <v>196</v>
      </c>
      <c r="C194" s="146"/>
      <c r="D194" s="147"/>
      <c r="E194" s="148"/>
      <c r="F194" s="59"/>
      <c r="G194" s="60">
        <f t="shared" ref="G194:G195" si="35">(D194*E194)+(D194*F194)</f>
        <v>0</v>
      </c>
    </row>
    <row r="195" spans="1:13" ht="13.5" x14ac:dyDescent="0.2">
      <c r="A195" s="141"/>
      <c r="B195" s="142" t="s">
        <v>270</v>
      </c>
      <c r="C195" s="161" t="s">
        <v>355</v>
      </c>
      <c r="D195" s="91">
        <v>21.6</v>
      </c>
      <c r="E195" s="44"/>
      <c r="F195" s="59"/>
      <c r="G195" s="60">
        <f t="shared" si="35"/>
        <v>0</v>
      </c>
      <c r="I195" s="28">
        <f>3.7*1.7*2</f>
        <v>12.58</v>
      </c>
      <c r="J195" s="28">
        <f>3.1*1.3</f>
        <v>4.03</v>
      </c>
      <c r="K195" s="28">
        <f>1.4*0.175*20</f>
        <v>4.8999999999999995</v>
      </c>
      <c r="M195" s="28">
        <f>SUM(I195:L195)</f>
        <v>21.509999999999998</v>
      </c>
    </row>
    <row r="196" spans="1:13" x14ac:dyDescent="0.2">
      <c r="A196" s="132" t="s">
        <v>153</v>
      </c>
      <c r="B196" s="133" t="s">
        <v>71</v>
      </c>
      <c r="C196" s="134"/>
      <c r="D196" s="135"/>
      <c r="E196" s="136"/>
      <c r="F196" s="137"/>
      <c r="G196" s="138"/>
    </row>
    <row r="197" spans="1:13" x14ac:dyDescent="0.2">
      <c r="A197" s="144" t="s">
        <v>104</v>
      </c>
      <c r="B197" s="145" t="s">
        <v>271</v>
      </c>
      <c r="C197" s="146"/>
      <c r="D197" s="147"/>
      <c r="E197" s="148"/>
      <c r="F197" s="149"/>
      <c r="G197" s="150"/>
    </row>
    <row r="198" spans="1:13" ht="13.5" x14ac:dyDescent="0.2">
      <c r="A198" s="141"/>
      <c r="B198" s="142" t="s">
        <v>460</v>
      </c>
      <c r="C198" s="143" t="s">
        <v>354</v>
      </c>
      <c r="D198" s="91">
        <v>65.55</v>
      </c>
      <c r="E198" s="44"/>
      <c r="F198" s="59"/>
      <c r="G198" s="60">
        <f t="shared" ref="G198:G201" si="36">(D198*E198)+(D198*F198)</f>
        <v>0</v>
      </c>
      <c r="I198" s="28">
        <f>7.8*6</f>
        <v>46.8</v>
      </c>
      <c r="J198" s="28">
        <f>I198*1.4</f>
        <v>65.52</v>
      </c>
    </row>
    <row r="199" spans="1:13" ht="13.5" x14ac:dyDescent="0.2">
      <c r="A199" s="141"/>
      <c r="B199" s="142" t="s">
        <v>462</v>
      </c>
      <c r="C199" s="143" t="s">
        <v>354</v>
      </c>
      <c r="D199" s="91">
        <v>172.6</v>
      </c>
      <c r="E199" s="44"/>
      <c r="F199" s="59"/>
      <c r="G199" s="60">
        <f t="shared" si="36"/>
        <v>0</v>
      </c>
      <c r="I199" s="28">
        <f>1.875*3+1.8*2+2.925*4+2.95*4+2.925*4+2.95*4+0.9*3+2.95*2+0.975+2.575+2.5+2.6+4*6+4.025+2.6+3.975*5+2.6+3.975*4+4.025*2+2.6</f>
        <v>153.125</v>
      </c>
      <c r="J199" s="28">
        <f>I199*1</f>
        <v>153.125</v>
      </c>
      <c r="K199" s="28">
        <f>2.575+4*6+3.975*2+1.875*3+1.8+2.925+2.95+2.925+0.9+3.975*2+2.6+2.6</f>
        <v>64.8</v>
      </c>
      <c r="L199" s="28">
        <f>K199*0.3</f>
        <v>19.439999999999998</v>
      </c>
      <c r="M199" s="28">
        <f>L199+J199</f>
        <v>172.565</v>
      </c>
    </row>
    <row r="200" spans="1:13" ht="13.5" x14ac:dyDescent="0.2">
      <c r="A200" s="141"/>
      <c r="B200" s="142" t="s">
        <v>461</v>
      </c>
      <c r="C200" s="143" t="s">
        <v>354</v>
      </c>
      <c r="D200" s="91">
        <v>97.45</v>
      </c>
      <c r="E200" s="44"/>
      <c r="F200" s="59"/>
      <c r="G200" s="60">
        <f t="shared" si="36"/>
        <v>0</v>
      </c>
      <c r="I200" s="28">
        <f>18.4+19.6+13.35+2.6*4</f>
        <v>61.75</v>
      </c>
      <c r="J200" s="28">
        <f>I200*1.35</f>
        <v>83.362500000000011</v>
      </c>
      <c r="K200" s="28">
        <f>1.875*5*1.5</f>
        <v>14.0625</v>
      </c>
      <c r="L200" s="28">
        <f>K200+J200</f>
        <v>97.425000000000011</v>
      </c>
    </row>
    <row r="201" spans="1:13" ht="13.5" x14ac:dyDescent="0.2">
      <c r="A201" s="141"/>
      <c r="B201" s="142" t="s">
        <v>463</v>
      </c>
      <c r="C201" s="143" t="s">
        <v>354</v>
      </c>
      <c r="D201" s="91">
        <v>19</v>
      </c>
      <c r="E201" s="44"/>
      <c r="F201" s="59"/>
      <c r="G201" s="60">
        <f t="shared" si="36"/>
        <v>0</v>
      </c>
      <c r="I201" s="28">
        <f>1.2*4+0.95*5+0.9*5</f>
        <v>14.05</v>
      </c>
      <c r="J201" s="28">
        <f>I201*1.35</f>
        <v>18.967500000000001</v>
      </c>
    </row>
    <row r="202" spans="1:13" x14ac:dyDescent="0.2">
      <c r="A202" s="144" t="s">
        <v>137</v>
      </c>
      <c r="B202" s="145" t="s">
        <v>272</v>
      </c>
      <c r="C202" s="146"/>
      <c r="D202" s="147"/>
      <c r="E202" s="148"/>
      <c r="F202" s="59"/>
      <c r="G202" s="60">
        <f t="shared" ref="G202:G203" si="37">(D202*E202)+(D202*F202)</f>
        <v>0</v>
      </c>
    </row>
    <row r="203" spans="1:13" ht="13.5" x14ac:dyDescent="0.2">
      <c r="A203" s="141"/>
      <c r="B203" s="142" t="s">
        <v>273</v>
      </c>
      <c r="C203" s="161" t="s">
        <v>355</v>
      </c>
      <c r="D203" s="91">
        <v>248.05</v>
      </c>
      <c r="E203" s="44"/>
      <c r="F203" s="59"/>
      <c r="G203" s="60">
        <f t="shared" si="37"/>
        <v>0</v>
      </c>
      <c r="I203" s="28">
        <f>266.54</f>
        <v>266.54000000000002</v>
      </c>
      <c r="J203" s="28">
        <f>3.9*2.6+5.825*1.437</f>
        <v>18.510525000000001</v>
      </c>
      <c r="K203" s="28">
        <f>I203-J203</f>
        <v>248.02947500000002</v>
      </c>
    </row>
    <row r="204" spans="1:13" x14ac:dyDescent="0.2">
      <c r="A204" s="144" t="s">
        <v>138</v>
      </c>
      <c r="B204" s="145" t="s">
        <v>171</v>
      </c>
      <c r="C204" s="146"/>
      <c r="D204" s="147"/>
      <c r="E204" s="148"/>
      <c r="F204" s="149"/>
      <c r="G204" s="150"/>
    </row>
    <row r="205" spans="1:13" ht="13.5" x14ac:dyDescent="0.2">
      <c r="A205" s="141"/>
      <c r="B205" s="142" t="s">
        <v>453</v>
      </c>
      <c r="C205" s="161" t="s">
        <v>355</v>
      </c>
      <c r="D205" s="91">
        <v>196</v>
      </c>
      <c r="E205" s="44"/>
      <c r="F205" s="59"/>
      <c r="G205" s="60">
        <f t="shared" ref="G205:G207" si="38">(D205*E205)+(D205*F205)</f>
        <v>0</v>
      </c>
      <c r="I205" s="28">
        <f>(0.25+0.45)*2*3.5*40</f>
        <v>195.99999999999997</v>
      </c>
    </row>
    <row r="206" spans="1:13" ht="13.5" x14ac:dyDescent="0.2">
      <c r="A206" s="141"/>
      <c r="B206" s="142" t="s">
        <v>454</v>
      </c>
      <c r="C206" s="161" t="s">
        <v>355</v>
      </c>
      <c r="D206" s="91">
        <v>73.5</v>
      </c>
      <c r="E206" s="44"/>
      <c r="F206" s="59"/>
      <c r="G206" s="60">
        <f t="shared" si="38"/>
        <v>0</v>
      </c>
      <c r="I206" s="28">
        <f>(0.25+0.5)*3.5*14*2</f>
        <v>73.5</v>
      </c>
    </row>
    <row r="207" spans="1:13" ht="13.5" x14ac:dyDescent="0.2">
      <c r="A207" s="141"/>
      <c r="B207" s="142" t="s">
        <v>455</v>
      </c>
      <c r="C207" s="161" t="s">
        <v>355</v>
      </c>
      <c r="D207" s="91">
        <v>31.5</v>
      </c>
      <c r="E207" s="44"/>
      <c r="F207" s="59"/>
      <c r="G207" s="60">
        <f t="shared" si="38"/>
        <v>0</v>
      </c>
      <c r="I207" s="28">
        <f>0.25*4*3.5*9</f>
        <v>31.5</v>
      </c>
    </row>
    <row r="208" spans="1:13" x14ac:dyDescent="0.2">
      <c r="A208" s="144" t="s">
        <v>274</v>
      </c>
      <c r="B208" s="145" t="s">
        <v>281</v>
      </c>
      <c r="C208" s="146"/>
      <c r="D208" s="147"/>
      <c r="E208" s="148"/>
      <c r="F208" s="59"/>
      <c r="G208" s="60">
        <f t="shared" ref="G208:G209" si="39">(D208*E208)+(D208*F208)</f>
        <v>0</v>
      </c>
    </row>
    <row r="209" spans="1:13" ht="24" x14ac:dyDescent="0.2">
      <c r="A209" s="141"/>
      <c r="B209" s="142" t="s">
        <v>494</v>
      </c>
      <c r="C209" s="161" t="s">
        <v>355</v>
      </c>
      <c r="D209" s="91">
        <v>100.07</v>
      </c>
      <c r="E209" s="44"/>
      <c r="F209" s="59"/>
      <c r="G209" s="60">
        <f t="shared" si="39"/>
        <v>0</v>
      </c>
      <c r="I209" s="28">
        <f>18.25+13.5*2+1.2*2</f>
        <v>47.65</v>
      </c>
      <c r="J209" s="28">
        <f>I209*1.05*2</f>
        <v>100.065</v>
      </c>
    </row>
    <row r="210" spans="1:13" x14ac:dyDescent="0.2">
      <c r="A210" s="141"/>
      <c r="B210" s="142"/>
      <c r="C210" s="161"/>
      <c r="D210" s="91"/>
      <c r="E210" s="44"/>
      <c r="F210" s="59"/>
      <c r="G210" s="60"/>
    </row>
    <row r="211" spans="1:13" x14ac:dyDescent="0.2">
      <c r="A211" s="132" t="s">
        <v>154</v>
      </c>
      <c r="B211" s="133" t="s">
        <v>254</v>
      </c>
      <c r="C211" s="134"/>
      <c r="D211" s="135"/>
      <c r="E211" s="136"/>
      <c r="F211" s="137"/>
      <c r="G211" s="138"/>
    </row>
    <row r="212" spans="1:13" x14ac:dyDescent="0.2">
      <c r="A212" s="144" t="s">
        <v>110</v>
      </c>
      <c r="B212" s="145" t="s">
        <v>271</v>
      </c>
      <c r="C212" s="146"/>
      <c r="D212" s="147"/>
      <c r="E212" s="148"/>
      <c r="F212" s="149"/>
      <c r="G212" s="150"/>
    </row>
    <row r="213" spans="1:13" ht="13.5" x14ac:dyDescent="0.2">
      <c r="A213" s="141"/>
      <c r="B213" s="142" t="s">
        <v>470</v>
      </c>
      <c r="C213" s="161" t="s">
        <v>355</v>
      </c>
      <c r="D213" s="91">
        <v>206.2</v>
      </c>
      <c r="E213" s="44"/>
      <c r="F213" s="59"/>
      <c r="G213" s="60">
        <f t="shared" ref="G213:G216" si="40">(D213*E213)+(D213*F213)</f>
        <v>0</v>
      </c>
      <c r="I213" s="28">
        <f>15.7*7</f>
        <v>109.89999999999999</v>
      </c>
      <c r="J213" s="28">
        <f>I213*1.85</f>
        <v>203.315</v>
      </c>
      <c r="K213" s="28">
        <f>16.025+2.9</f>
        <v>18.924999999999997</v>
      </c>
      <c r="L213" s="28">
        <f>K213*0.15</f>
        <v>2.8387499999999997</v>
      </c>
      <c r="M213" s="28">
        <f>L213+J213</f>
        <v>206.15375</v>
      </c>
    </row>
    <row r="214" spans="1:13" ht="13.5" x14ac:dyDescent="0.2">
      <c r="A214" s="141"/>
      <c r="B214" s="142" t="s">
        <v>469</v>
      </c>
      <c r="C214" s="161" t="s">
        <v>355</v>
      </c>
      <c r="D214" s="91">
        <v>60.85</v>
      </c>
      <c r="E214" s="44"/>
      <c r="F214" s="59"/>
      <c r="G214" s="60">
        <f t="shared" si="40"/>
        <v>0</v>
      </c>
      <c r="I214" s="28">
        <f>7.8*6</f>
        <v>46.8</v>
      </c>
      <c r="J214" s="28">
        <f>I214*1.3</f>
        <v>60.839999999999996</v>
      </c>
    </row>
    <row r="215" spans="1:13" ht="13.5" x14ac:dyDescent="0.2">
      <c r="A215" s="141"/>
      <c r="B215" s="142" t="s">
        <v>468</v>
      </c>
      <c r="C215" s="161" t="s">
        <v>355</v>
      </c>
      <c r="D215" s="91">
        <v>120.47</v>
      </c>
      <c r="E215" s="44"/>
      <c r="F215" s="59"/>
      <c r="G215" s="60">
        <f t="shared" si="40"/>
        <v>0</v>
      </c>
      <c r="I215" s="28">
        <f>2.945*2+1.85+2.925*6+2.95*6+2.5+0.95*2+3.975*5*2+2.6*2+4.025*2</f>
        <v>100.39</v>
      </c>
      <c r="J215" s="28">
        <f>I215*1.2</f>
        <v>120.46799999999999</v>
      </c>
    </row>
    <row r="216" spans="1:13" ht="13.5" x14ac:dyDescent="0.2">
      <c r="A216" s="141"/>
      <c r="B216" s="142" t="s">
        <v>467</v>
      </c>
      <c r="C216" s="161" t="s">
        <v>355</v>
      </c>
      <c r="D216" s="91">
        <v>20.3</v>
      </c>
      <c r="E216" s="44"/>
      <c r="F216" s="59"/>
      <c r="G216" s="60">
        <f t="shared" si="40"/>
        <v>0</v>
      </c>
      <c r="I216" s="28">
        <f>2.6*6</f>
        <v>15.600000000000001</v>
      </c>
      <c r="J216" s="28">
        <f>I216*1.3</f>
        <v>20.28</v>
      </c>
    </row>
    <row r="217" spans="1:13" x14ac:dyDescent="0.2">
      <c r="A217" s="144" t="s">
        <v>144</v>
      </c>
      <c r="B217" s="145" t="s">
        <v>272</v>
      </c>
      <c r="C217" s="146"/>
      <c r="D217" s="147"/>
      <c r="E217" s="148"/>
      <c r="F217" s="59"/>
      <c r="G217" s="60">
        <f t="shared" ref="G217:G220" si="41">(D217*E217)+(D217*F217)</f>
        <v>0</v>
      </c>
    </row>
    <row r="218" spans="1:13" ht="13.5" x14ac:dyDescent="0.2">
      <c r="A218" s="141"/>
      <c r="B218" s="142" t="s">
        <v>273</v>
      </c>
      <c r="C218" s="161" t="s">
        <v>355</v>
      </c>
      <c r="D218" s="91">
        <v>50.95</v>
      </c>
      <c r="E218" s="44"/>
      <c r="F218" s="59"/>
      <c r="G218" s="60">
        <f t="shared" si="41"/>
        <v>0</v>
      </c>
      <c r="I218" s="28">
        <f>3.05*16.7</f>
        <v>50.934999999999995</v>
      </c>
    </row>
    <row r="219" spans="1:13" x14ac:dyDescent="0.2">
      <c r="A219" s="144" t="s">
        <v>145</v>
      </c>
      <c r="B219" s="145" t="s">
        <v>281</v>
      </c>
      <c r="C219" s="146"/>
      <c r="D219" s="147"/>
      <c r="E219" s="148"/>
      <c r="F219" s="59"/>
      <c r="G219" s="60">
        <f t="shared" si="41"/>
        <v>0</v>
      </c>
    </row>
    <row r="220" spans="1:13" ht="24" x14ac:dyDescent="0.2">
      <c r="A220" s="141"/>
      <c r="B220" s="142" t="s">
        <v>482</v>
      </c>
      <c r="C220" s="161" t="s">
        <v>355</v>
      </c>
      <c r="D220" s="91">
        <v>47.3</v>
      </c>
      <c r="E220" s="44"/>
      <c r="F220" s="59"/>
      <c r="G220" s="60">
        <f t="shared" si="41"/>
        <v>0</v>
      </c>
      <c r="I220" s="28">
        <f>16.7*2+3*2</f>
        <v>39.4</v>
      </c>
      <c r="J220" s="28">
        <f>I220*0.6*2</f>
        <v>47.279999999999994</v>
      </c>
    </row>
    <row r="221" spans="1:13" x14ac:dyDescent="0.2">
      <c r="A221" s="141"/>
      <c r="B221" s="142"/>
      <c r="C221" s="161"/>
      <c r="D221" s="91"/>
      <c r="E221" s="44"/>
      <c r="F221" s="59"/>
      <c r="G221" s="60"/>
    </row>
    <row r="222" spans="1:13" x14ac:dyDescent="0.2">
      <c r="A222" s="141"/>
      <c r="B222" s="142"/>
      <c r="C222" s="161"/>
      <c r="D222" s="91"/>
      <c r="E222" s="44"/>
      <c r="F222" s="59"/>
      <c r="G222" s="60"/>
    </row>
    <row r="223" spans="1:13" x14ac:dyDescent="0.2">
      <c r="A223" s="141"/>
      <c r="B223" s="142"/>
      <c r="C223" s="161"/>
      <c r="D223" s="91"/>
      <c r="E223" s="44"/>
      <c r="F223" s="59"/>
      <c r="G223" s="60"/>
    </row>
    <row r="224" spans="1:13" ht="12.75" thickBot="1" x14ac:dyDescent="0.25">
      <c r="A224" s="151"/>
      <c r="B224" s="152"/>
      <c r="C224" s="383"/>
      <c r="D224" s="154"/>
      <c r="E224" s="77"/>
      <c r="F224" s="155"/>
      <c r="G224" s="156"/>
    </row>
    <row r="225" spans="1:11" x14ac:dyDescent="0.2">
      <c r="A225" s="118" t="s">
        <v>101</v>
      </c>
      <c r="B225" s="157" t="s">
        <v>11</v>
      </c>
      <c r="C225" s="131"/>
      <c r="D225" s="121"/>
      <c r="E225" s="122"/>
      <c r="F225" s="121"/>
      <c r="G225" s="158"/>
    </row>
    <row r="226" spans="1:11" ht="48" customHeight="1" x14ac:dyDescent="0.2">
      <c r="A226" s="101"/>
      <c r="B226" s="62" t="s">
        <v>102</v>
      </c>
      <c r="C226" s="62"/>
      <c r="D226" s="62"/>
      <c r="E226" s="62"/>
      <c r="F226" s="62"/>
      <c r="G226" s="160"/>
    </row>
    <row r="227" spans="1:11" ht="37.5" customHeight="1" x14ac:dyDescent="0.2">
      <c r="A227" s="63"/>
      <c r="B227" s="62" t="s">
        <v>103</v>
      </c>
      <c r="C227" s="62"/>
      <c r="D227" s="62"/>
      <c r="E227" s="62"/>
      <c r="F227" s="62"/>
      <c r="G227" s="160"/>
    </row>
    <row r="228" spans="1:11" ht="59.25" customHeight="1" x14ac:dyDescent="0.2">
      <c r="A228" s="101"/>
      <c r="B228" s="62" t="s">
        <v>267</v>
      </c>
      <c r="C228" s="62"/>
      <c r="D228" s="62"/>
      <c r="E228" s="62"/>
      <c r="F228" s="62"/>
      <c r="G228" s="160"/>
    </row>
    <row r="229" spans="1:11" x14ac:dyDescent="0.2">
      <c r="A229" s="132" t="s">
        <v>104</v>
      </c>
      <c r="B229" s="133" t="s">
        <v>219</v>
      </c>
      <c r="C229" s="162"/>
      <c r="D229" s="163"/>
      <c r="E229" s="164"/>
      <c r="F229" s="165"/>
      <c r="G229" s="166"/>
    </row>
    <row r="230" spans="1:11" x14ac:dyDescent="0.2">
      <c r="A230" s="132" t="s">
        <v>164</v>
      </c>
      <c r="B230" s="133" t="s">
        <v>64</v>
      </c>
      <c r="C230" s="162"/>
      <c r="D230" s="163"/>
      <c r="E230" s="164"/>
      <c r="F230" s="165"/>
      <c r="G230" s="166"/>
    </row>
    <row r="231" spans="1:11" x14ac:dyDescent="0.2">
      <c r="A231" s="141"/>
      <c r="B231" s="167" t="s">
        <v>390</v>
      </c>
      <c r="C231" s="143" t="s">
        <v>136</v>
      </c>
      <c r="D231" s="91">
        <f>I234/1000</f>
        <v>0.240978</v>
      </c>
      <c r="E231" s="92"/>
      <c r="F231" s="59"/>
      <c r="G231" s="60">
        <f t="shared" ref="G231:G234" si="42">(D231*E231)+(D231*F231)</f>
        <v>0</v>
      </c>
    </row>
    <row r="232" spans="1:11" x14ac:dyDescent="0.2">
      <c r="A232" s="141"/>
      <c r="B232" s="142" t="s">
        <v>220</v>
      </c>
      <c r="C232" s="143" t="s">
        <v>8</v>
      </c>
      <c r="D232" s="91">
        <v>18</v>
      </c>
      <c r="E232" s="92"/>
      <c r="F232" s="59"/>
      <c r="G232" s="60">
        <f t="shared" ref="G232" si="43">(D232*E232)+(D232*F232)</f>
        <v>0</v>
      </c>
      <c r="I232" s="139">
        <f>D232*1.58*6</f>
        <v>170.64000000000001</v>
      </c>
      <c r="K232" s="139"/>
    </row>
    <row r="233" spans="1:11" x14ac:dyDescent="0.2">
      <c r="A233" s="141"/>
      <c r="B233" s="142" t="s">
        <v>222</v>
      </c>
      <c r="C233" s="143" t="s">
        <v>8</v>
      </c>
      <c r="D233" s="91">
        <v>19</v>
      </c>
      <c r="E233" s="92"/>
      <c r="F233" s="59"/>
      <c r="G233" s="60">
        <f t="shared" si="42"/>
        <v>0</v>
      </c>
      <c r="I233" s="139">
        <f>D233*0.617*6</f>
        <v>70.337999999999994</v>
      </c>
      <c r="J233" s="28">
        <f>15+16+40+14+22+4</f>
        <v>111</v>
      </c>
      <c r="K233" s="139"/>
    </row>
    <row r="234" spans="1:11" x14ac:dyDescent="0.2">
      <c r="A234" s="141"/>
      <c r="B234" s="142" t="s">
        <v>14</v>
      </c>
      <c r="C234" s="143" t="s">
        <v>9</v>
      </c>
      <c r="D234" s="91">
        <f>D231*20</f>
        <v>4.8195600000000001</v>
      </c>
      <c r="E234" s="92"/>
      <c r="F234" s="59"/>
      <c r="G234" s="60">
        <f t="shared" si="42"/>
        <v>0</v>
      </c>
      <c r="I234" s="139">
        <f>SUM(I231:I233)</f>
        <v>240.97800000000001</v>
      </c>
      <c r="J234" s="139"/>
    </row>
    <row r="235" spans="1:11" x14ac:dyDescent="0.2">
      <c r="A235" s="141"/>
      <c r="B235" s="167" t="s">
        <v>391</v>
      </c>
      <c r="C235" s="143" t="s">
        <v>136</v>
      </c>
      <c r="D235" s="91">
        <f>I238/1000</f>
        <v>0.37857600000000002</v>
      </c>
      <c r="E235" s="92"/>
      <c r="F235" s="59"/>
      <c r="G235" s="60">
        <f t="shared" ref="G235:G238" si="44">(D235*E235)+(D235*F235)</f>
        <v>0</v>
      </c>
      <c r="J235" s="139"/>
    </row>
    <row r="236" spans="1:11" x14ac:dyDescent="0.2">
      <c r="A236" s="141"/>
      <c r="B236" s="142" t="s">
        <v>220</v>
      </c>
      <c r="C236" s="143" t="s">
        <v>8</v>
      </c>
      <c r="D236" s="91">
        <v>29</v>
      </c>
      <c r="E236" s="92"/>
      <c r="F236" s="59"/>
      <c r="G236" s="60">
        <f t="shared" si="44"/>
        <v>0</v>
      </c>
      <c r="I236" s="139">
        <f>D236*1.58*6</f>
        <v>274.92</v>
      </c>
      <c r="J236" s="139"/>
    </row>
    <row r="237" spans="1:11" x14ac:dyDescent="0.2">
      <c r="A237" s="141"/>
      <c r="B237" s="142" t="s">
        <v>222</v>
      </c>
      <c r="C237" s="143" t="s">
        <v>8</v>
      </c>
      <c r="D237" s="91">
        <v>28</v>
      </c>
      <c r="E237" s="92"/>
      <c r="F237" s="59"/>
      <c r="G237" s="60">
        <f t="shared" si="44"/>
        <v>0</v>
      </c>
      <c r="I237" s="139">
        <f>D237*0.617*6</f>
        <v>103.65600000000001</v>
      </c>
      <c r="J237" s="139"/>
    </row>
    <row r="238" spans="1:11" x14ac:dyDescent="0.2">
      <c r="A238" s="141"/>
      <c r="B238" s="142" t="s">
        <v>14</v>
      </c>
      <c r="C238" s="143" t="s">
        <v>9</v>
      </c>
      <c r="D238" s="91">
        <f>D235*20</f>
        <v>7.5715200000000005</v>
      </c>
      <c r="E238" s="92"/>
      <c r="F238" s="59"/>
      <c r="G238" s="60">
        <f t="shared" si="44"/>
        <v>0</v>
      </c>
      <c r="I238" s="139">
        <f>SUM(I235:I237)</f>
        <v>378.57600000000002</v>
      </c>
      <c r="J238" s="139"/>
    </row>
    <row r="239" spans="1:11" x14ac:dyDescent="0.2">
      <c r="A239" s="141"/>
      <c r="B239" s="167" t="s">
        <v>449</v>
      </c>
      <c r="C239" s="143" t="s">
        <v>136</v>
      </c>
      <c r="D239" s="91">
        <f>I242/1000</f>
        <v>2.4949920000000003</v>
      </c>
      <c r="E239" s="92"/>
      <c r="F239" s="59"/>
      <c r="G239" s="60">
        <f t="shared" ref="G239:G242" si="45">(D239*E239)+(D239*F239)</f>
        <v>0</v>
      </c>
      <c r="J239" s="139"/>
    </row>
    <row r="240" spans="1:11" x14ac:dyDescent="0.2">
      <c r="A240" s="141"/>
      <c r="B240" s="142" t="s">
        <v>220</v>
      </c>
      <c r="C240" s="143" t="s">
        <v>8</v>
      </c>
      <c r="D240" s="91">
        <v>112</v>
      </c>
      <c r="E240" s="92"/>
      <c r="F240" s="59"/>
      <c r="G240" s="60">
        <f t="shared" si="45"/>
        <v>0</v>
      </c>
      <c r="I240" s="139">
        <f>D240*1.58*6</f>
        <v>1061.76</v>
      </c>
      <c r="J240" s="139">
        <f>84+28</f>
        <v>112</v>
      </c>
    </row>
    <row r="241" spans="1:14" x14ac:dyDescent="0.2">
      <c r="A241" s="141"/>
      <c r="B241" s="142" t="s">
        <v>221</v>
      </c>
      <c r="C241" s="143" t="s">
        <v>8</v>
      </c>
      <c r="D241" s="91">
        <v>269</v>
      </c>
      <c r="E241" s="92"/>
      <c r="F241" s="59"/>
      <c r="G241" s="60">
        <f t="shared" si="45"/>
        <v>0</v>
      </c>
      <c r="I241" s="139">
        <f>D241*0.888*6</f>
        <v>1433.232</v>
      </c>
      <c r="J241" s="139">
        <f>32+20+54+56+24+43+40</f>
        <v>269</v>
      </c>
    </row>
    <row r="242" spans="1:14" x14ac:dyDescent="0.2">
      <c r="A242" s="141"/>
      <c r="B242" s="142" t="s">
        <v>14</v>
      </c>
      <c r="C242" s="143" t="s">
        <v>9</v>
      </c>
      <c r="D242" s="91">
        <f>D239*20</f>
        <v>49.899840000000005</v>
      </c>
      <c r="E242" s="92"/>
      <c r="F242" s="59"/>
      <c r="G242" s="60">
        <f t="shared" si="45"/>
        <v>0</v>
      </c>
      <c r="I242" s="139">
        <f>SUM(I239:I241)</f>
        <v>2494.9920000000002</v>
      </c>
      <c r="J242" s="139"/>
    </row>
    <row r="243" spans="1:14" x14ac:dyDescent="0.2">
      <c r="A243" s="141"/>
      <c r="B243" s="167" t="s">
        <v>450</v>
      </c>
      <c r="C243" s="143" t="s">
        <v>136</v>
      </c>
      <c r="D243" s="91">
        <f>I246/1000</f>
        <v>1.3959360000000001</v>
      </c>
      <c r="E243" s="92"/>
      <c r="F243" s="59"/>
      <c r="G243" s="60">
        <f t="shared" ref="G243:G246" si="46">(D243*E243)+(D243*F243)</f>
        <v>0</v>
      </c>
      <c r="J243" s="139"/>
    </row>
    <row r="244" spans="1:14" x14ac:dyDescent="0.2">
      <c r="A244" s="141"/>
      <c r="B244" s="142" t="s">
        <v>221</v>
      </c>
      <c r="C244" s="143" t="s">
        <v>8</v>
      </c>
      <c r="D244" s="91">
        <v>213</v>
      </c>
      <c r="E244" s="92"/>
      <c r="F244" s="59"/>
      <c r="G244" s="60">
        <f t="shared" si="46"/>
        <v>0</v>
      </c>
      <c r="I244" s="139">
        <f>D244*0.888*6</f>
        <v>1134.864</v>
      </c>
      <c r="J244" s="139"/>
      <c r="K244" s="28">
        <f>36+39+24+36+24+54</f>
        <v>213</v>
      </c>
    </row>
    <row r="245" spans="1:14" x14ac:dyDescent="0.2">
      <c r="A245" s="141"/>
      <c r="B245" s="142" t="s">
        <v>383</v>
      </c>
      <c r="C245" s="143" t="s">
        <v>8</v>
      </c>
      <c r="D245" s="91">
        <v>196</v>
      </c>
      <c r="E245" s="92"/>
      <c r="F245" s="59"/>
      <c r="G245" s="60">
        <f t="shared" si="46"/>
        <v>0</v>
      </c>
      <c r="I245" s="139">
        <f>D245*0.222*6</f>
        <v>261.072</v>
      </c>
      <c r="J245" s="139"/>
      <c r="K245" s="28">
        <f>31.35*2+16.575*2+8.7*2+18.825+14.5*3</f>
        <v>175.57499999999999</v>
      </c>
      <c r="L245" s="28">
        <f>K245/0.15</f>
        <v>1170.5</v>
      </c>
      <c r="N245" s="28">
        <f>L245/6</f>
        <v>195.08333333333334</v>
      </c>
    </row>
    <row r="246" spans="1:14" x14ac:dyDescent="0.2">
      <c r="A246" s="141"/>
      <c r="B246" s="142" t="s">
        <v>14</v>
      </c>
      <c r="C246" s="143" t="s">
        <v>9</v>
      </c>
      <c r="D246" s="91">
        <f>D243*20</f>
        <v>27.91872</v>
      </c>
      <c r="E246" s="92"/>
      <c r="F246" s="59"/>
      <c r="G246" s="60">
        <f t="shared" si="46"/>
        <v>0</v>
      </c>
      <c r="I246" s="139">
        <f>SUM(I243:I245)</f>
        <v>1395.9360000000001</v>
      </c>
      <c r="J246" s="139"/>
    </row>
    <row r="247" spans="1:14" x14ac:dyDescent="0.2">
      <c r="A247" s="132" t="s">
        <v>137</v>
      </c>
      <c r="B247" s="133" t="s">
        <v>67</v>
      </c>
      <c r="C247" s="162"/>
      <c r="D247" s="163"/>
      <c r="E247" s="164"/>
      <c r="F247" s="165"/>
      <c r="G247" s="166">
        <f t="shared" ref="G247" si="47">(D247*E247)+(D247*F247)</f>
        <v>0</v>
      </c>
    </row>
    <row r="248" spans="1:14" x14ac:dyDescent="0.2">
      <c r="A248" s="169" t="s">
        <v>164</v>
      </c>
      <c r="B248" s="170" t="s">
        <v>171</v>
      </c>
      <c r="C248" s="171"/>
      <c r="D248" s="172"/>
      <c r="E248" s="173"/>
      <c r="F248" s="59"/>
      <c r="G248" s="60"/>
    </row>
    <row r="249" spans="1:14" x14ac:dyDescent="0.2">
      <c r="A249" s="141"/>
      <c r="B249" s="142" t="s">
        <v>451</v>
      </c>
      <c r="C249" s="143" t="s">
        <v>136</v>
      </c>
      <c r="D249" s="91">
        <f>I252/1000</f>
        <v>6.8912999999999993</v>
      </c>
      <c r="E249" s="92"/>
      <c r="F249" s="59"/>
      <c r="G249" s="60">
        <f t="shared" ref="G249" si="48">(D249*E249)+(D249*F249)</f>
        <v>0</v>
      </c>
    </row>
    <row r="250" spans="1:14" x14ac:dyDescent="0.2">
      <c r="A250" s="144"/>
      <c r="B250" s="142" t="s">
        <v>276</v>
      </c>
      <c r="C250" s="143" t="s">
        <v>8</v>
      </c>
      <c r="D250" s="91">
        <v>400</v>
      </c>
      <c r="E250" s="92"/>
      <c r="F250" s="59"/>
      <c r="G250" s="60">
        <f t="shared" ref="G250:G252" si="49">(D250*E250)+(D250*F250)</f>
        <v>0</v>
      </c>
      <c r="I250" s="139">
        <f>D250*2.469*6</f>
        <v>5925.5999999999995</v>
      </c>
    </row>
    <row r="251" spans="1:14" x14ac:dyDescent="0.2">
      <c r="A251" s="141"/>
      <c r="B251" s="142" t="s">
        <v>223</v>
      </c>
      <c r="C251" s="143" t="s">
        <v>8</v>
      </c>
      <c r="D251" s="91">
        <v>725</v>
      </c>
      <c r="E251" s="92"/>
      <c r="F251" s="59"/>
      <c r="G251" s="60">
        <f t="shared" si="49"/>
        <v>0</v>
      </c>
      <c r="I251" s="139">
        <f>0.222*D251*6</f>
        <v>965.69999999999993</v>
      </c>
    </row>
    <row r="252" spans="1:14" x14ac:dyDescent="0.2">
      <c r="A252" s="141"/>
      <c r="B252" s="142" t="s">
        <v>14</v>
      </c>
      <c r="C252" s="143" t="s">
        <v>9</v>
      </c>
      <c r="D252" s="91">
        <f>D249*20</f>
        <v>137.82599999999999</v>
      </c>
      <c r="E252" s="92"/>
      <c r="F252" s="59"/>
      <c r="G252" s="60">
        <f t="shared" si="49"/>
        <v>0</v>
      </c>
      <c r="I252" s="139">
        <f>SUM(I250:I251)</f>
        <v>6891.2999999999993</v>
      </c>
      <c r="J252" s="139"/>
    </row>
    <row r="253" spans="1:14" x14ac:dyDescent="0.2">
      <c r="A253" s="141"/>
      <c r="B253" s="142" t="s">
        <v>456</v>
      </c>
      <c r="C253" s="143" t="s">
        <v>136</v>
      </c>
      <c r="D253" s="91">
        <f>I256/1000</f>
        <v>3.0061799999999992</v>
      </c>
      <c r="E253" s="92"/>
      <c r="F253" s="59"/>
      <c r="G253" s="60">
        <f t="shared" ref="G253:G256" si="50">(D253*E253)+(D253*F253)</f>
        <v>0</v>
      </c>
      <c r="I253" s="139"/>
      <c r="J253" s="139"/>
    </row>
    <row r="254" spans="1:14" x14ac:dyDescent="0.2">
      <c r="A254" s="141"/>
      <c r="B254" s="142" t="s">
        <v>276</v>
      </c>
      <c r="C254" s="143" t="s">
        <v>8</v>
      </c>
      <c r="D254" s="91">
        <v>180</v>
      </c>
      <c r="E254" s="92"/>
      <c r="F254" s="59"/>
      <c r="G254" s="60">
        <f t="shared" si="50"/>
        <v>0</v>
      </c>
      <c r="I254" s="139">
        <f>D254*2.469*6</f>
        <v>2666.5199999999995</v>
      </c>
    </row>
    <row r="255" spans="1:14" x14ac:dyDescent="0.2">
      <c r="A255" s="141"/>
      <c r="B255" s="142" t="s">
        <v>223</v>
      </c>
      <c r="C255" s="143" t="s">
        <v>8</v>
      </c>
      <c r="D255" s="91">
        <v>255</v>
      </c>
      <c r="E255" s="92"/>
      <c r="F255" s="59"/>
      <c r="G255" s="60">
        <f t="shared" si="50"/>
        <v>0</v>
      </c>
      <c r="I255" s="139">
        <f>0.222*D255*6</f>
        <v>339.65999999999997</v>
      </c>
    </row>
    <row r="256" spans="1:14" x14ac:dyDescent="0.2">
      <c r="A256" s="141"/>
      <c r="B256" s="142" t="s">
        <v>14</v>
      </c>
      <c r="C256" s="143" t="s">
        <v>9</v>
      </c>
      <c r="D256" s="91">
        <f>D253*20</f>
        <v>60.123599999999982</v>
      </c>
      <c r="E256" s="92"/>
      <c r="F256" s="59"/>
      <c r="G256" s="60">
        <f t="shared" si="50"/>
        <v>0</v>
      </c>
      <c r="I256" s="139">
        <f>SUM(I254:I255)</f>
        <v>3006.1799999999994</v>
      </c>
      <c r="J256" s="139"/>
    </row>
    <row r="257" spans="1:12" x14ac:dyDescent="0.2">
      <c r="A257" s="141"/>
      <c r="B257" s="142" t="s">
        <v>452</v>
      </c>
      <c r="C257" s="143" t="s">
        <v>136</v>
      </c>
      <c r="D257" s="91">
        <f>I260/1000</f>
        <v>0.39189600000000002</v>
      </c>
      <c r="E257" s="92"/>
      <c r="F257" s="59"/>
      <c r="G257" s="60">
        <f t="shared" ref="G257:G260" si="51">(D257*E257)+(D257*F257)</f>
        <v>0</v>
      </c>
      <c r="I257" s="139"/>
      <c r="J257" s="139"/>
    </row>
    <row r="258" spans="1:12" x14ac:dyDescent="0.2">
      <c r="A258" s="141"/>
      <c r="B258" s="142" t="s">
        <v>220</v>
      </c>
      <c r="C258" s="143" t="s">
        <v>8</v>
      </c>
      <c r="D258" s="91">
        <v>36</v>
      </c>
      <c r="E258" s="92"/>
      <c r="F258" s="59"/>
      <c r="G258" s="60">
        <f t="shared" si="51"/>
        <v>0</v>
      </c>
      <c r="I258" s="139">
        <f>D258*1.58*6</f>
        <v>341.28000000000003</v>
      </c>
    </row>
    <row r="259" spans="1:12" x14ac:dyDescent="0.2">
      <c r="A259" s="141"/>
      <c r="B259" s="142" t="s">
        <v>223</v>
      </c>
      <c r="C259" s="143" t="s">
        <v>8</v>
      </c>
      <c r="D259" s="91">
        <v>38</v>
      </c>
      <c r="E259" s="92"/>
      <c r="F259" s="59"/>
      <c r="G259" s="60">
        <f t="shared" si="51"/>
        <v>0</v>
      </c>
      <c r="I259" s="139">
        <f>0.222*D259*6</f>
        <v>50.616</v>
      </c>
      <c r="J259" s="139"/>
    </row>
    <row r="260" spans="1:12" x14ac:dyDescent="0.2">
      <c r="A260" s="141"/>
      <c r="B260" s="142" t="s">
        <v>14</v>
      </c>
      <c r="C260" s="143" t="s">
        <v>9</v>
      </c>
      <c r="D260" s="91">
        <f>D257*20</f>
        <v>7.8379200000000004</v>
      </c>
      <c r="E260" s="92"/>
      <c r="F260" s="59"/>
      <c r="G260" s="60">
        <f t="shared" si="51"/>
        <v>0</v>
      </c>
      <c r="I260" s="139">
        <f>SUM(I258:I259)</f>
        <v>391.89600000000002</v>
      </c>
      <c r="J260" s="139"/>
    </row>
    <row r="261" spans="1:12" x14ac:dyDescent="0.2">
      <c r="A261" s="169" t="s">
        <v>165</v>
      </c>
      <c r="B261" s="170" t="s">
        <v>196</v>
      </c>
      <c r="C261" s="171" t="s">
        <v>136</v>
      </c>
      <c r="D261" s="172">
        <f>I264/1000</f>
        <v>0.75744600000000006</v>
      </c>
      <c r="E261" s="173"/>
      <c r="F261" s="59"/>
      <c r="G261" s="60">
        <f t="shared" ref="G261:G264" si="52">(D261*E261)+(D261*F261)</f>
        <v>0</v>
      </c>
      <c r="H261" s="174"/>
      <c r="I261" s="175"/>
    </row>
    <row r="262" spans="1:12" x14ac:dyDescent="0.2">
      <c r="A262" s="176" t="s">
        <v>174</v>
      </c>
      <c r="B262" s="142" t="s">
        <v>221</v>
      </c>
      <c r="C262" s="177" t="s">
        <v>8</v>
      </c>
      <c r="D262" s="178">
        <v>97</v>
      </c>
      <c r="E262" s="179"/>
      <c r="F262" s="180"/>
      <c r="G262" s="60">
        <f t="shared" si="52"/>
        <v>0</v>
      </c>
      <c r="H262" s="174"/>
      <c r="I262" s="139">
        <f>0.888*D262*6</f>
        <v>516.81600000000003</v>
      </c>
    </row>
    <row r="263" spans="1:12" x14ac:dyDescent="0.2">
      <c r="A263" s="176"/>
      <c r="B263" s="142" t="s">
        <v>222</v>
      </c>
      <c r="C263" s="177" t="s">
        <v>8</v>
      </c>
      <c r="D263" s="178">
        <v>65</v>
      </c>
      <c r="E263" s="179"/>
      <c r="F263" s="180"/>
      <c r="G263" s="60">
        <f t="shared" ref="G263" si="53">(D263*E263)+(D263*F263)</f>
        <v>0</v>
      </c>
      <c r="H263" s="174"/>
      <c r="I263" s="139">
        <f>0.617*D263*6</f>
        <v>240.63</v>
      </c>
    </row>
    <row r="264" spans="1:12" x14ac:dyDescent="0.2">
      <c r="A264" s="176"/>
      <c r="B264" s="181" t="s">
        <v>14</v>
      </c>
      <c r="C264" s="177" t="s">
        <v>9</v>
      </c>
      <c r="D264" s="178">
        <f>D261*20</f>
        <v>15.14892</v>
      </c>
      <c r="E264" s="179"/>
      <c r="F264" s="180"/>
      <c r="G264" s="60">
        <f t="shared" si="52"/>
        <v>0</v>
      </c>
      <c r="H264" s="174"/>
      <c r="I264" s="139">
        <f>SUM(I262:I263)</f>
        <v>757.44600000000003</v>
      </c>
    </row>
    <row r="265" spans="1:12" x14ac:dyDescent="0.2">
      <c r="A265" s="144" t="s">
        <v>175</v>
      </c>
      <c r="B265" s="145" t="s">
        <v>204</v>
      </c>
      <c r="C265" s="146" t="s">
        <v>136</v>
      </c>
      <c r="D265" s="147">
        <f>I267/1000</f>
        <v>3.7797420000000002</v>
      </c>
      <c r="E265" s="148"/>
      <c r="F265" s="59"/>
      <c r="G265" s="60">
        <f t="shared" ref="G265:G267" si="54">(D265*E265)+(D265*F265)</f>
        <v>0</v>
      </c>
    </row>
    <row r="266" spans="1:12" x14ac:dyDescent="0.2">
      <c r="A266" s="144"/>
      <c r="B266" s="142" t="s">
        <v>316</v>
      </c>
      <c r="C266" s="143" t="s">
        <v>8</v>
      </c>
      <c r="D266" s="91">
        <v>1021</v>
      </c>
      <c r="E266" s="92"/>
      <c r="F266" s="59"/>
      <c r="G266" s="60">
        <f t="shared" si="54"/>
        <v>0</v>
      </c>
      <c r="I266" s="139">
        <f>0.617*D266*6</f>
        <v>3779.7420000000002</v>
      </c>
      <c r="K266" s="28">
        <f>726.65*7.66*110%</f>
        <v>6122.7529000000004</v>
      </c>
      <c r="L266" s="28">
        <f>K266/6</f>
        <v>1020.4588166666667</v>
      </c>
    </row>
    <row r="267" spans="1:12" x14ac:dyDescent="0.2">
      <c r="A267" s="141"/>
      <c r="B267" s="142" t="s">
        <v>14</v>
      </c>
      <c r="C267" s="143" t="s">
        <v>9</v>
      </c>
      <c r="D267" s="91">
        <f>D265*20</f>
        <v>75.594840000000005</v>
      </c>
      <c r="E267" s="92"/>
      <c r="F267" s="59"/>
      <c r="G267" s="60">
        <f t="shared" si="54"/>
        <v>0</v>
      </c>
      <c r="I267" s="139">
        <f>SUM(I265:I266)</f>
        <v>3779.7420000000002</v>
      </c>
    </row>
    <row r="268" spans="1:12" x14ac:dyDescent="0.2">
      <c r="A268" s="132" t="s">
        <v>138</v>
      </c>
      <c r="B268" s="133" t="s">
        <v>69</v>
      </c>
      <c r="C268" s="162"/>
      <c r="D268" s="163"/>
      <c r="E268" s="164"/>
      <c r="F268" s="165"/>
      <c r="G268" s="166"/>
    </row>
    <row r="269" spans="1:12" x14ac:dyDescent="0.2">
      <c r="A269" s="169" t="s">
        <v>164</v>
      </c>
      <c r="B269" s="170" t="s">
        <v>275</v>
      </c>
      <c r="C269" s="171"/>
      <c r="D269" s="172"/>
      <c r="E269" s="173"/>
      <c r="F269" s="59"/>
      <c r="G269" s="60"/>
    </row>
    <row r="270" spans="1:12" x14ac:dyDescent="0.2">
      <c r="A270" s="141"/>
      <c r="B270" s="142" t="s">
        <v>460</v>
      </c>
      <c r="C270" s="143" t="s">
        <v>136</v>
      </c>
      <c r="D270" s="91">
        <f>I274/1000</f>
        <v>9.7961940000000016</v>
      </c>
      <c r="E270" s="92"/>
      <c r="F270" s="59"/>
      <c r="G270" s="60">
        <f t="shared" ref="G270:G286" si="55">(D270*E270)+(D270*F270)</f>
        <v>0</v>
      </c>
    </row>
    <row r="271" spans="1:12" x14ac:dyDescent="0.2">
      <c r="A271" s="144"/>
      <c r="B271" s="142" t="s">
        <v>276</v>
      </c>
      <c r="C271" s="143" t="s">
        <v>8</v>
      </c>
      <c r="D271" s="91">
        <v>237</v>
      </c>
      <c r="E271" s="92"/>
      <c r="F271" s="59"/>
      <c r="G271" s="60">
        <f t="shared" si="55"/>
        <v>0</v>
      </c>
      <c r="I271" s="139">
        <f>D271*2.469*6</f>
        <v>3510.9180000000001</v>
      </c>
      <c r="J271" s="139">
        <f>6.1*3</f>
        <v>18.299999999999997</v>
      </c>
      <c r="K271" s="168">
        <f>J271/0.1</f>
        <v>182.99999999999997</v>
      </c>
      <c r="L271" s="168">
        <f>K271/4</f>
        <v>45.749999999999993</v>
      </c>
    </row>
    <row r="272" spans="1:12" x14ac:dyDescent="0.2">
      <c r="A272" s="144"/>
      <c r="B272" s="142" t="s">
        <v>277</v>
      </c>
      <c r="C272" s="143" t="s">
        <v>8</v>
      </c>
      <c r="D272" s="91">
        <v>237</v>
      </c>
      <c r="E272" s="92"/>
      <c r="F272" s="59"/>
      <c r="G272" s="60">
        <f t="shared" si="55"/>
        <v>0</v>
      </c>
      <c r="I272" s="139">
        <f>D272*3.858*6</f>
        <v>5486.076</v>
      </c>
    </row>
    <row r="273" spans="1:14" x14ac:dyDescent="0.2">
      <c r="A273" s="141"/>
      <c r="B273" s="142" t="s">
        <v>223</v>
      </c>
      <c r="C273" s="143" t="s">
        <v>8</v>
      </c>
      <c r="D273" s="91">
        <v>600</v>
      </c>
      <c r="E273" s="92"/>
      <c r="F273" s="59"/>
      <c r="G273" s="60">
        <f t="shared" si="55"/>
        <v>0</v>
      </c>
      <c r="I273" s="139">
        <f>0.222*D273*6</f>
        <v>799.19999999999993</v>
      </c>
      <c r="J273" s="28">
        <f>25.8*2+12.975*2+16.275+6.6</f>
        <v>100.42499999999998</v>
      </c>
      <c r="K273" s="28">
        <f>J273/0.1</f>
        <v>1004.2499999999998</v>
      </c>
      <c r="L273" s="28">
        <f>K273/4</f>
        <v>251.06249999999994</v>
      </c>
    </row>
    <row r="274" spans="1:14" ht="12.75" thickBot="1" x14ac:dyDescent="0.25">
      <c r="A274" s="151"/>
      <c r="B274" s="152" t="s">
        <v>14</v>
      </c>
      <c r="C274" s="153" t="s">
        <v>9</v>
      </c>
      <c r="D274" s="154">
        <f>D270*20</f>
        <v>195.92388000000003</v>
      </c>
      <c r="E274" s="182"/>
      <c r="F274" s="155"/>
      <c r="G274" s="156">
        <f t="shared" si="55"/>
        <v>0</v>
      </c>
      <c r="I274" s="139">
        <f>SUM(I271:I273)</f>
        <v>9796.1940000000013</v>
      </c>
      <c r="J274" s="139"/>
    </row>
    <row r="275" spans="1:14" x14ac:dyDescent="0.2">
      <c r="A275" s="386"/>
      <c r="B275" s="387"/>
      <c r="C275" s="319"/>
      <c r="D275" s="320"/>
      <c r="E275" s="321"/>
      <c r="F275" s="190"/>
      <c r="G275" s="191"/>
      <c r="I275" s="139"/>
      <c r="J275" s="139"/>
    </row>
    <row r="276" spans="1:14" x14ac:dyDescent="0.2">
      <c r="A276" s="141"/>
      <c r="B276" s="142" t="s">
        <v>476</v>
      </c>
      <c r="C276" s="143" t="s">
        <v>136</v>
      </c>
      <c r="D276" s="91">
        <f>I279/1000</f>
        <v>2.1911640000000001</v>
      </c>
      <c r="E276" s="92"/>
      <c r="F276" s="59"/>
      <c r="G276" s="60">
        <f t="shared" ref="G276:G279" si="56">(D276*E276)+(D276*F276)</f>
        <v>0</v>
      </c>
      <c r="I276" s="139"/>
      <c r="J276" s="139"/>
    </row>
    <row r="277" spans="1:14" x14ac:dyDescent="0.2">
      <c r="A277" s="141"/>
      <c r="B277" s="142" t="s">
        <v>220</v>
      </c>
      <c r="C277" s="143" t="s">
        <v>8</v>
      </c>
      <c r="D277" s="91">
        <v>188</v>
      </c>
      <c r="E277" s="92"/>
      <c r="F277" s="59"/>
      <c r="G277" s="60">
        <f t="shared" ref="G277:G278" si="57">(D277*E277)+(D277*F277)</f>
        <v>0</v>
      </c>
      <c r="I277" s="139">
        <f>D277*1.58*6</f>
        <v>1782.2400000000002</v>
      </c>
      <c r="J277" s="28">
        <f>12.7</f>
        <v>12.7</v>
      </c>
      <c r="K277" s="28">
        <f>J277/0.15</f>
        <v>84.666666666666671</v>
      </c>
      <c r="L277" s="28">
        <f>K277/2</f>
        <v>42.333333333333336</v>
      </c>
    </row>
    <row r="278" spans="1:14" x14ac:dyDescent="0.2">
      <c r="A278" s="141"/>
      <c r="B278" s="142" t="s">
        <v>223</v>
      </c>
      <c r="C278" s="143" t="s">
        <v>8</v>
      </c>
      <c r="D278" s="91">
        <v>307</v>
      </c>
      <c r="E278" s="92"/>
      <c r="F278" s="59"/>
      <c r="G278" s="60">
        <f t="shared" si="57"/>
        <v>0</v>
      </c>
      <c r="I278" s="139">
        <f>0.222*D278*6</f>
        <v>408.92399999999998</v>
      </c>
      <c r="J278" s="28">
        <f>25.8*2+12.975*2+16.275+6.6</f>
        <v>100.42499999999998</v>
      </c>
      <c r="K278" s="28">
        <f>J278/0.1</f>
        <v>1004.2499999999998</v>
      </c>
      <c r="L278" s="28">
        <f>K278/4</f>
        <v>251.06249999999994</v>
      </c>
    </row>
    <row r="279" spans="1:14" x14ac:dyDescent="0.2">
      <c r="A279" s="141"/>
      <c r="B279" s="142" t="s">
        <v>14</v>
      </c>
      <c r="C279" s="143" t="s">
        <v>9</v>
      </c>
      <c r="D279" s="91">
        <f>D276*20</f>
        <v>43.823280000000004</v>
      </c>
      <c r="E279" s="92"/>
      <c r="F279" s="59"/>
      <c r="G279" s="60">
        <f t="shared" si="56"/>
        <v>0</v>
      </c>
      <c r="I279" s="139">
        <f>SUM(I277:I278)</f>
        <v>2191.1640000000002</v>
      </c>
      <c r="J279" s="139"/>
    </row>
    <row r="280" spans="1:14" x14ac:dyDescent="0.2">
      <c r="A280" s="141"/>
      <c r="B280" s="142" t="s">
        <v>477</v>
      </c>
      <c r="C280" s="143" t="s">
        <v>136</v>
      </c>
      <c r="D280" s="91">
        <f>I283/1000</f>
        <v>0.56780999999999993</v>
      </c>
      <c r="E280" s="92"/>
      <c r="F280" s="59"/>
      <c r="G280" s="60">
        <f t="shared" ref="G280:G283" si="58">(D280*E280)+(D280*F280)</f>
        <v>0</v>
      </c>
      <c r="I280" s="139"/>
      <c r="J280" s="139"/>
    </row>
    <row r="281" spans="1:14" x14ac:dyDescent="0.2">
      <c r="A281" s="141"/>
      <c r="B281" s="142" t="s">
        <v>276</v>
      </c>
      <c r="C281" s="143" t="s">
        <v>8</v>
      </c>
      <c r="D281" s="91">
        <v>27</v>
      </c>
      <c r="E281" s="92"/>
      <c r="F281" s="59"/>
      <c r="G281" s="60">
        <f t="shared" ref="G281" si="59">(D281*E281)+(D281*F281)</f>
        <v>0</v>
      </c>
      <c r="I281" s="139">
        <f>D281*2.469*6</f>
        <v>399.97799999999995</v>
      </c>
      <c r="J281" s="139">
        <f>6.1*3</f>
        <v>18.299999999999997</v>
      </c>
      <c r="K281" s="168">
        <f>J281/0.1</f>
        <v>182.99999999999997</v>
      </c>
      <c r="L281" s="168">
        <f>K281/4</f>
        <v>45.749999999999993</v>
      </c>
    </row>
    <row r="282" spans="1:14" x14ac:dyDescent="0.2">
      <c r="A282" s="141"/>
      <c r="B282" s="142" t="s">
        <v>223</v>
      </c>
      <c r="C282" s="143" t="s">
        <v>8</v>
      </c>
      <c r="D282" s="91">
        <v>126</v>
      </c>
      <c r="E282" s="92"/>
      <c r="F282" s="59"/>
      <c r="G282" s="60">
        <f t="shared" si="58"/>
        <v>0</v>
      </c>
      <c r="I282" s="139">
        <f>0.222*D282*6</f>
        <v>167.83199999999999</v>
      </c>
      <c r="J282" s="139"/>
    </row>
    <row r="283" spans="1:14" x14ac:dyDescent="0.2">
      <c r="A283" s="141"/>
      <c r="B283" s="142" t="s">
        <v>14</v>
      </c>
      <c r="C283" s="143" t="s">
        <v>9</v>
      </c>
      <c r="D283" s="91">
        <f>D280*20</f>
        <v>11.356199999999998</v>
      </c>
      <c r="E283" s="92"/>
      <c r="F283" s="59"/>
      <c r="G283" s="60">
        <f t="shared" si="58"/>
        <v>0</v>
      </c>
      <c r="I283" s="139">
        <f>SUM(I281:I282)</f>
        <v>567.80999999999995</v>
      </c>
      <c r="J283" s="139"/>
    </row>
    <row r="284" spans="1:14" x14ac:dyDescent="0.2">
      <c r="A284" s="169" t="s">
        <v>165</v>
      </c>
      <c r="B284" s="170" t="s">
        <v>272</v>
      </c>
      <c r="C284" s="171" t="s">
        <v>136</v>
      </c>
      <c r="D284" s="172">
        <f>I286/1000</f>
        <v>11.720531999999999</v>
      </c>
      <c r="E284" s="173"/>
      <c r="F284" s="59"/>
      <c r="G284" s="60">
        <f t="shared" si="55"/>
        <v>0</v>
      </c>
      <c r="H284" s="174"/>
      <c r="I284" s="175"/>
    </row>
    <row r="285" spans="1:14" x14ac:dyDescent="0.2">
      <c r="A285" s="176" t="s">
        <v>174</v>
      </c>
      <c r="B285" s="142" t="s">
        <v>222</v>
      </c>
      <c r="C285" s="177" t="s">
        <v>8</v>
      </c>
      <c r="D285" s="178">
        <v>3166</v>
      </c>
      <c r="E285" s="179"/>
      <c r="F285" s="180"/>
      <c r="G285" s="60">
        <f t="shared" si="55"/>
        <v>0</v>
      </c>
      <c r="H285" s="174"/>
      <c r="I285" s="139">
        <f>0.617*D285*6</f>
        <v>11720.531999999999</v>
      </c>
      <c r="J285" s="28">
        <v>708.4</v>
      </c>
      <c r="K285" s="28">
        <f>J285*15.32</f>
        <v>10852.688</v>
      </c>
      <c r="L285" s="28">
        <f>K285*75%</f>
        <v>8139.5159999999996</v>
      </c>
      <c r="M285" s="28">
        <f>SUM(K285:L285)</f>
        <v>18992.203999999998</v>
      </c>
      <c r="N285" s="28">
        <f>M285/6</f>
        <v>3165.3673333333331</v>
      </c>
    </row>
    <row r="286" spans="1:14" x14ac:dyDescent="0.2">
      <c r="A286" s="176"/>
      <c r="B286" s="181" t="s">
        <v>14</v>
      </c>
      <c r="C286" s="177" t="s">
        <v>9</v>
      </c>
      <c r="D286" s="178">
        <f>D284*20</f>
        <v>234.41063999999997</v>
      </c>
      <c r="E286" s="179"/>
      <c r="F286" s="180"/>
      <c r="G286" s="60">
        <f t="shared" si="55"/>
        <v>0</v>
      </c>
      <c r="H286" s="174"/>
      <c r="I286" s="139">
        <f>SUM(I284:I285)</f>
        <v>11720.531999999999</v>
      </c>
    </row>
    <row r="287" spans="1:14" x14ac:dyDescent="0.2">
      <c r="A287" s="169" t="s">
        <v>175</v>
      </c>
      <c r="B287" s="170" t="s">
        <v>171</v>
      </c>
      <c r="C287" s="171"/>
      <c r="D287" s="172"/>
      <c r="E287" s="173"/>
      <c r="F287" s="59"/>
      <c r="G287" s="60"/>
    </row>
    <row r="288" spans="1:14" x14ac:dyDescent="0.2">
      <c r="A288" s="141"/>
      <c r="B288" s="142" t="s">
        <v>451</v>
      </c>
      <c r="C288" s="143" t="s">
        <v>136</v>
      </c>
      <c r="D288" s="91">
        <f>I291/1000</f>
        <v>6.6075840000000001</v>
      </c>
      <c r="E288" s="92"/>
      <c r="F288" s="59"/>
      <c r="G288" s="60">
        <f t="shared" ref="G288:G303" si="60">(D288*E288)+(D288*F288)</f>
        <v>0</v>
      </c>
    </row>
    <row r="289" spans="1:17" x14ac:dyDescent="0.2">
      <c r="A289" s="144"/>
      <c r="B289" s="142" t="s">
        <v>276</v>
      </c>
      <c r="C289" s="143" t="s">
        <v>8</v>
      </c>
      <c r="D289" s="91">
        <v>400</v>
      </c>
      <c r="E289" s="92"/>
      <c r="F289" s="59"/>
      <c r="G289" s="60">
        <f t="shared" si="60"/>
        <v>0</v>
      </c>
      <c r="I289" s="139">
        <f>D289*2.469*6</f>
        <v>5925.5999999999995</v>
      </c>
      <c r="L289" s="28">
        <f>3.36/0.15</f>
        <v>22.4</v>
      </c>
      <c r="M289" s="28">
        <f>L289*5</f>
        <v>112</v>
      </c>
      <c r="N289" s="28">
        <f>M289/8</f>
        <v>14</v>
      </c>
    </row>
    <row r="290" spans="1:17" x14ac:dyDescent="0.2">
      <c r="A290" s="141"/>
      <c r="B290" s="142" t="s">
        <v>223</v>
      </c>
      <c r="C290" s="143" t="s">
        <v>8</v>
      </c>
      <c r="D290" s="91">
        <v>512</v>
      </c>
      <c r="E290" s="92"/>
      <c r="F290" s="59"/>
      <c r="G290" s="60">
        <f t="shared" si="60"/>
        <v>0</v>
      </c>
      <c r="I290" s="139">
        <f>0.222*D290*6</f>
        <v>681.98400000000004</v>
      </c>
    </row>
    <row r="291" spans="1:17" x14ac:dyDescent="0.2">
      <c r="A291" s="141"/>
      <c r="B291" s="142" t="s">
        <v>14</v>
      </c>
      <c r="C291" s="143" t="s">
        <v>9</v>
      </c>
      <c r="D291" s="91">
        <f>D288*20</f>
        <v>132.15168</v>
      </c>
      <c r="E291" s="92"/>
      <c r="F291" s="59"/>
      <c r="G291" s="60">
        <f t="shared" si="60"/>
        <v>0</v>
      </c>
      <c r="I291" s="139">
        <f>SUM(I289:I290)</f>
        <v>6607.5839999999998</v>
      </c>
      <c r="J291" s="139"/>
    </row>
    <row r="292" spans="1:17" x14ac:dyDescent="0.2">
      <c r="A292" s="141"/>
      <c r="B292" s="142" t="s">
        <v>456</v>
      </c>
      <c r="C292" s="143" t="s">
        <v>136</v>
      </c>
      <c r="D292" s="91">
        <f>I295/1000</f>
        <v>2.8982879999999995</v>
      </c>
      <c r="E292" s="92"/>
      <c r="F292" s="59"/>
      <c r="G292" s="60">
        <f t="shared" si="60"/>
        <v>0</v>
      </c>
      <c r="I292" s="139"/>
      <c r="J292" s="139"/>
    </row>
    <row r="293" spans="1:17" x14ac:dyDescent="0.2">
      <c r="A293" s="141"/>
      <c r="B293" s="142" t="s">
        <v>276</v>
      </c>
      <c r="C293" s="143" t="s">
        <v>8</v>
      </c>
      <c r="D293" s="91">
        <v>180</v>
      </c>
      <c r="E293" s="92"/>
      <c r="F293" s="59"/>
      <c r="G293" s="60">
        <f t="shared" ref="G293" si="61">(D293*E293)+(D293*F293)</f>
        <v>0</v>
      </c>
      <c r="I293" s="139">
        <f>D293*2.469*6</f>
        <v>2666.5199999999995</v>
      </c>
      <c r="L293" s="28">
        <f>23*18</f>
        <v>414</v>
      </c>
      <c r="M293" s="28">
        <f>L293/2</f>
        <v>207</v>
      </c>
      <c r="N293" s="28">
        <f>L293*2</f>
        <v>828</v>
      </c>
      <c r="O293" s="28">
        <f>N293-M293*2</f>
        <v>414</v>
      </c>
      <c r="P293" s="28">
        <f>O293/4</f>
        <v>103.5</v>
      </c>
      <c r="Q293" s="28">
        <f>P293+M293</f>
        <v>310.5</v>
      </c>
    </row>
    <row r="294" spans="1:17" x14ac:dyDescent="0.2">
      <c r="A294" s="141"/>
      <c r="B294" s="142" t="s">
        <v>223</v>
      </c>
      <c r="C294" s="143" t="s">
        <v>8</v>
      </c>
      <c r="D294" s="91">
        <v>174</v>
      </c>
      <c r="E294" s="92"/>
      <c r="F294" s="59"/>
      <c r="G294" s="60">
        <f t="shared" si="60"/>
        <v>0</v>
      </c>
      <c r="I294" s="139">
        <f>0.222*D294*6</f>
        <v>231.768</v>
      </c>
    </row>
    <row r="295" spans="1:17" x14ac:dyDescent="0.2">
      <c r="A295" s="141"/>
      <c r="B295" s="142" t="s">
        <v>14</v>
      </c>
      <c r="C295" s="143" t="s">
        <v>9</v>
      </c>
      <c r="D295" s="91">
        <f>D292*20</f>
        <v>57.965759999999989</v>
      </c>
      <c r="E295" s="92"/>
      <c r="F295" s="59"/>
      <c r="G295" s="60">
        <f t="shared" si="60"/>
        <v>0</v>
      </c>
      <c r="I295" s="139">
        <f>SUM(I293:I294)</f>
        <v>2898.2879999999996</v>
      </c>
      <c r="J295" s="139"/>
    </row>
    <row r="296" spans="1:17" x14ac:dyDescent="0.2">
      <c r="A296" s="141"/>
      <c r="B296" s="142" t="s">
        <v>452</v>
      </c>
      <c r="C296" s="143" t="s">
        <v>136</v>
      </c>
      <c r="D296" s="91">
        <f>I299/1000</f>
        <v>0.37591200000000002</v>
      </c>
      <c r="E296" s="92"/>
      <c r="F296" s="59"/>
      <c r="G296" s="60">
        <f t="shared" si="60"/>
        <v>0</v>
      </c>
      <c r="I296" s="139"/>
      <c r="J296" s="139"/>
    </row>
    <row r="297" spans="1:17" x14ac:dyDescent="0.2">
      <c r="A297" s="141"/>
      <c r="B297" s="142" t="s">
        <v>220</v>
      </c>
      <c r="C297" s="143" t="s">
        <v>8</v>
      </c>
      <c r="D297" s="91">
        <v>36</v>
      </c>
      <c r="E297" s="92"/>
      <c r="F297" s="59"/>
      <c r="G297" s="60">
        <f t="shared" si="60"/>
        <v>0</v>
      </c>
      <c r="I297" s="139">
        <f>D297*1.58*6</f>
        <v>341.28000000000003</v>
      </c>
    </row>
    <row r="298" spans="1:17" x14ac:dyDescent="0.2">
      <c r="A298" s="141"/>
      <c r="B298" s="142" t="s">
        <v>223</v>
      </c>
      <c r="C298" s="143" t="s">
        <v>8</v>
      </c>
      <c r="D298" s="91">
        <v>26</v>
      </c>
      <c r="E298" s="92"/>
      <c r="F298" s="59"/>
      <c r="G298" s="60">
        <f t="shared" si="60"/>
        <v>0</v>
      </c>
      <c r="I298" s="139">
        <f>0.222*D298*6</f>
        <v>34.632000000000005</v>
      </c>
      <c r="J298" s="139"/>
    </row>
    <row r="299" spans="1:17" x14ac:dyDescent="0.2">
      <c r="A299" s="141"/>
      <c r="B299" s="142" t="s">
        <v>14</v>
      </c>
      <c r="C299" s="143" t="s">
        <v>9</v>
      </c>
      <c r="D299" s="91">
        <f>D296*20</f>
        <v>7.5182400000000005</v>
      </c>
      <c r="E299" s="92"/>
      <c r="F299" s="59"/>
      <c r="G299" s="60">
        <f t="shared" si="60"/>
        <v>0</v>
      </c>
      <c r="I299" s="139">
        <f>SUM(I297:I298)</f>
        <v>375.91200000000003</v>
      </c>
      <c r="J299" s="139"/>
    </row>
    <row r="300" spans="1:17" x14ac:dyDescent="0.2">
      <c r="A300" s="169" t="s">
        <v>176</v>
      </c>
      <c r="B300" s="170" t="s">
        <v>196</v>
      </c>
      <c r="C300" s="171" t="s">
        <v>136</v>
      </c>
      <c r="D300" s="172">
        <f>I303/1000</f>
        <v>0.385764</v>
      </c>
      <c r="E300" s="173"/>
      <c r="F300" s="59"/>
      <c r="G300" s="60">
        <f t="shared" si="60"/>
        <v>0</v>
      </c>
      <c r="H300" s="174"/>
      <c r="I300" s="175"/>
    </row>
    <row r="301" spans="1:17" x14ac:dyDescent="0.2">
      <c r="A301" s="176" t="s">
        <v>174</v>
      </c>
      <c r="B301" s="142" t="s">
        <v>221</v>
      </c>
      <c r="C301" s="177" t="s">
        <v>8</v>
      </c>
      <c r="D301" s="178">
        <v>46</v>
      </c>
      <c r="E301" s="179"/>
      <c r="F301" s="180"/>
      <c r="G301" s="60">
        <f t="shared" si="60"/>
        <v>0</v>
      </c>
      <c r="H301" s="174"/>
      <c r="I301" s="139">
        <f>0.888*D301*6</f>
        <v>245.08799999999999</v>
      </c>
    </row>
    <row r="302" spans="1:17" x14ac:dyDescent="0.2">
      <c r="A302" s="176"/>
      <c r="B302" s="142" t="s">
        <v>222</v>
      </c>
      <c r="C302" s="177" t="s">
        <v>8</v>
      </c>
      <c r="D302" s="178">
        <v>38</v>
      </c>
      <c r="E302" s="179"/>
      <c r="F302" s="180"/>
      <c r="G302" s="60">
        <f t="shared" si="60"/>
        <v>0</v>
      </c>
      <c r="H302" s="174"/>
      <c r="I302" s="139">
        <f>0.617*D302*6</f>
        <v>140.67599999999999</v>
      </c>
    </row>
    <row r="303" spans="1:17" x14ac:dyDescent="0.2">
      <c r="A303" s="176"/>
      <c r="B303" s="181" t="s">
        <v>14</v>
      </c>
      <c r="C303" s="177" t="s">
        <v>9</v>
      </c>
      <c r="D303" s="178">
        <f>D300*20</f>
        <v>7.7152799999999999</v>
      </c>
      <c r="E303" s="179"/>
      <c r="F303" s="180"/>
      <c r="G303" s="60">
        <f t="shared" si="60"/>
        <v>0</v>
      </c>
      <c r="H303" s="174"/>
      <c r="I303" s="139">
        <f>SUM(I301:I302)</f>
        <v>385.76400000000001</v>
      </c>
    </row>
    <row r="304" spans="1:17" x14ac:dyDescent="0.2">
      <c r="A304" s="132" t="s">
        <v>274</v>
      </c>
      <c r="B304" s="133" t="s">
        <v>71</v>
      </c>
      <c r="C304" s="162"/>
      <c r="D304" s="163"/>
      <c r="E304" s="164"/>
      <c r="F304" s="165"/>
      <c r="G304" s="166"/>
    </row>
    <row r="305" spans="1:12" x14ac:dyDescent="0.2">
      <c r="A305" s="169" t="s">
        <v>164</v>
      </c>
      <c r="B305" s="170" t="s">
        <v>275</v>
      </c>
      <c r="C305" s="171"/>
      <c r="D305" s="172"/>
      <c r="E305" s="173"/>
      <c r="F305" s="59"/>
      <c r="G305" s="60"/>
    </row>
    <row r="306" spans="1:12" x14ac:dyDescent="0.2">
      <c r="A306" s="141"/>
      <c r="B306" s="142" t="s">
        <v>460</v>
      </c>
      <c r="C306" s="143" t="s">
        <v>136</v>
      </c>
      <c r="D306" s="91">
        <f>I310/1000</f>
        <v>2.9650320000000003</v>
      </c>
      <c r="E306" s="92"/>
      <c r="F306" s="59"/>
      <c r="G306" s="60">
        <f t="shared" ref="G306:G318" si="62">(D306*E306)+(D306*F306)</f>
        <v>0</v>
      </c>
    </row>
    <row r="307" spans="1:12" x14ac:dyDescent="0.2">
      <c r="A307" s="144"/>
      <c r="B307" s="142" t="s">
        <v>276</v>
      </c>
      <c r="C307" s="143" t="s">
        <v>8</v>
      </c>
      <c r="D307" s="91">
        <v>72</v>
      </c>
      <c r="E307" s="92"/>
      <c r="F307" s="59"/>
      <c r="G307" s="60">
        <f t="shared" si="62"/>
        <v>0</v>
      </c>
      <c r="I307" s="139">
        <f>D307*2.469*6</f>
        <v>1066.6079999999999</v>
      </c>
      <c r="J307" s="139">
        <f>8.7*6</f>
        <v>52.199999999999996</v>
      </c>
      <c r="K307" s="168">
        <f>J307/0.1</f>
        <v>521.99999999999989</v>
      </c>
      <c r="L307" s="168">
        <f>K307/4</f>
        <v>130.49999999999997</v>
      </c>
    </row>
    <row r="308" spans="1:12" x14ac:dyDescent="0.2">
      <c r="A308" s="144"/>
      <c r="B308" s="142" t="s">
        <v>277</v>
      </c>
      <c r="C308" s="143" t="s">
        <v>8</v>
      </c>
      <c r="D308" s="91">
        <v>72</v>
      </c>
      <c r="E308" s="92"/>
      <c r="F308" s="59"/>
      <c r="G308" s="60">
        <f t="shared" si="62"/>
        <v>0</v>
      </c>
      <c r="I308" s="139">
        <f>D308*3.858*6</f>
        <v>1666.6559999999999</v>
      </c>
    </row>
    <row r="309" spans="1:12" x14ac:dyDescent="0.2">
      <c r="A309" s="141"/>
      <c r="B309" s="142" t="s">
        <v>223</v>
      </c>
      <c r="C309" s="143" t="s">
        <v>8</v>
      </c>
      <c r="D309" s="91">
        <v>174</v>
      </c>
      <c r="E309" s="92"/>
      <c r="F309" s="59"/>
      <c r="G309" s="60">
        <f t="shared" si="62"/>
        <v>0</v>
      </c>
      <c r="I309" s="139">
        <f>0.222*D309*6</f>
        <v>231.768</v>
      </c>
      <c r="J309" s="28">
        <f>25.8*2+12.975*2+16.275+6.6</f>
        <v>100.42499999999998</v>
      </c>
      <c r="K309" s="28">
        <f>J309/0.1</f>
        <v>1004.2499999999998</v>
      </c>
      <c r="L309" s="28">
        <f>K309/4</f>
        <v>251.06249999999994</v>
      </c>
    </row>
    <row r="310" spans="1:12" x14ac:dyDescent="0.2">
      <c r="A310" s="141"/>
      <c r="B310" s="142" t="s">
        <v>14</v>
      </c>
      <c r="C310" s="143" t="s">
        <v>9</v>
      </c>
      <c r="D310" s="91">
        <f>D306*20</f>
        <v>59.300640000000008</v>
      </c>
      <c r="E310" s="92"/>
      <c r="F310" s="59"/>
      <c r="G310" s="60">
        <f t="shared" si="62"/>
        <v>0</v>
      </c>
      <c r="I310" s="139">
        <f>SUM(I307:I309)</f>
        <v>2965.0320000000002</v>
      </c>
      <c r="J310" s="139"/>
    </row>
    <row r="311" spans="1:12" x14ac:dyDescent="0.2">
      <c r="A311" s="141"/>
      <c r="B311" s="142" t="s">
        <v>476</v>
      </c>
      <c r="C311" s="143" t="s">
        <v>136</v>
      </c>
      <c r="D311" s="91">
        <f>I314/1000</f>
        <v>1.2744120000000001</v>
      </c>
      <c r="E311" s="92"/>
      <c r="F311" s="59"/>
      <c r="G311" s="60">
        <f t="shared" si="62"/>
        <v>0</v>
      </c>
      <c r="I311" s="139"/>
      <c r="J311" s="139"/>
    </row>
    <row r="312" spans="1:12" x14ac:dyDescent="0.2">
      <c r="A312" s="141"/>
      <c r="B312" s="142" t="s">
        <v>220</v>
      </c>
      <c r="C312" s="143" t="s">
        <v>8</v>
      </c>
      <c r="D312" s="91">
        <v>109</v>
      </c>
      <c r="E312" s="92"/>
      <c r="F312" s="59"/>
      <c r="G312" s="60">
        <f t="shared" si="62"/>
        <v>0</v>
      </c>
      <c r="I312" s="139">
        <f>D312*1.58*6</f>
        <v>1033.32</v>
      </c>
      <c r="J312" s="28">
        <f>12.7</f>
        <v>12.7</v>
      </c>
      <c r="K312" s="28">
        <f>J312/0.15</f>
        <v>84.666666666666671</v>
      </c>
      <c r="L312" s="28">
        <f>K312/2</f>
        <v>42.333333333333336</v>
      </c>
    </row>
    <row r="313" spans="1:12" x14ac:dyDescent="0.2">
      <c r="A313" s="141"/>
      <c r="B313" s="142" t="s">
        <v>223</v>
      </c>
      <c r="C313" s="143" t="s">
        <v>8</v>
      </c>
      <c r="D313" s="91">
        <v>181</v>
      </c>
      <c r="E313" s="92"/>
      <c r="F313" s="59"/>
      <c r="G313" s="60">
        <f t="shared" si="62"/>
        <v>0</v>
      </c>
      <c r="I313" s="139">
        <f>0.222*D313*6</f>
        <v>241.09200000000001</v>
      </c>
      <c r="J313" s="28">
        <f>25.8*2+12.975*2+16.275+6.6</f>
        <v>100.42499999999998</v>
      </c>
      <c r="K313" s="28">
        <f>J313/0.1</f>
        <v>1004.2499999999998</v>
      </c>
      <c r="L313" s="28">
        <f>K313/4</f>
        <v>251.06249999999994</v>
      </c>
    </row>
    <row r="314" spans="1:12" x14ac:dyDescent="0.2">
      <c r="A314" s="141"/>
      <c r="B314" s="142" t="s">
        <v>14</v>
      </c>
      <c r="C314" s="143" t="s">
        <v>9</v>
      </c>
      <c r="D314" s="91">
        <f>D311*20</f>
        <v>25.488240000000001</v>
      </c>
      <c r="E314" s="92"/>
      <c r="F314" s="59"/>
      <c r="G314" s="60">
        <f t="shared" si="62"/>
        <v>0</v>
      </c>
      <c r="I314" s="139">
        <f>SUM(I312:I313)</f>
        <v>1274.412</v>
      </c>
      <c r="J314" s="139"/>
    </row>
    <row r="315" spans="1:12" x14ac:dyDescent="0.2">
      <c r="A315" s="141"/>
      <c r="B315" s="142" t="s">
        <v>477</v>
      </c>
      <c r="C315" s="143" t="s">
        <v>136</v>
      </c>
      <c r="D315" s="91">
        <f>I318/1000</f>
        <v>1.62279</v>
      </c>
      <c r="E315" s="92"/>
      <c r="F315" s="59"/>
      <c r="G315" s="60">
        <f t="shared" si="62"/>
        <v>0</v>
      </c>
      <c r="I315" s="139"/>
      <c r="J315" s="139"/>
    </row>
    <row r="316" spans="1:12" x14ac:dyDescent="0.2">
      <c r="A316" s="141"/>
      <c r="B316" s="142" t="s">
        <v>276</v>
      </c>
      <c r="C316" s="143" t="s">
        <v>8</v>
      </c>
      <c r="D316" s="91">
        <v>93</v>
      </c>
      <c r="E316" s="92"/>
      <c r="F316" s="59"/>
      <c r="G316" s="60">
        <f t="shared" si="62"/>
        <v>0</v>
      </c>
      <c r="I316" s="139">
        <f>D316*2.469*6</f>
        <v>1377.702</v>
      </c>
      <c r="J316" s="139">
        <f>6.1*3</f>
        <v>18.299999999999997</v>
      </c>
      <c r="K316" s="168">
        <f>J316/0.1</f>
        <v>182.99999999999997</v>
      </c>
      <c r="L316" s="168">
        <f>K316/4</f>
        <v>45.749999999999993</v>
      </c>
    </row>
    <row r="317" spans="1:12" x14ac:dyDescent="0.2">
      <c r="A317" s="141"/>
      <c r="B317" s="142" t="s">
        <v>223</v>
      </c>
      <c r="C317" s="143" t="s">
        <v>8</v>
      </c>
      <c r="D317" s="91">
        <v>184</v>
      </c>
      <c r="E317" s="92"/>
      <c r="F317" s="59"/>
      <c r="G317" s="60">
        <f t="shared" si="62"/>
        <v>0</v>
      </c>
      <c r="I317" s="139">
        <f>0.222*D317*6</f>
        <v>245.08799999999999</v>
      </c>
      <c r="J317" s="139"/>
    </row>
    <row r="318" spans="1:12" x14ac:dyDescent="0.2">
      <c r="A318" s="141"/>
      <c r="B318" s="142" t="s">
        <v>14</v>
      </c>
      <c r="C318" s="143" t="s">
        <v>9</v>
      </c>
      <c r="D318" s="91">
        <f>D315*20</f>
        <v>32.455799999999996</v>
      </c>
      <c r="E318" s="92"/>
      <c r="F318" s="59"/>
      <c r="G318" s="60">
        <f t="shared" si="62"/>
        <v>0</v>
      </c>
      <c r="I318" s="139">
        <f>SUM(I316:I317)</f>
        <v>1622.79</v>
      </c>
      <c r="J318" s="139"/>
    </row>
    <row r="319" spans="1:12" x14ac:dyDescent="0.2">
      <c r="A319" s="141"/>
      <c r="B319" s="142" t="s">
        <v>392</v>
      </c>
      <c r="C319" s="143" t="s">
        <v>136</v>
      </c>
      <c r="D319" s="91">
        <f>I322/1000</f>
        <v>1.038708</v>
      </c>
      <c r="E319" s="92"/>
      <c r="F319" s="59"/>
      <c r="G319" s="60">
        <f t="shared" ref="G319:G322" si="63">(D319*E319)+(D319*F319)</f>
        <v>0</v>
      </c>
      <c r="I319" s="139"/>
      <c r="J319" s="139"/>
    </row>
    <row r="320" spans="1:12" x14ac:dyDescent="0.2">
      <c r="A320" s="141"/>
      <c r="B320" s="142" t="s">
        <v>276</v>
      </c>
      <c r="C320" s="143" t="s">
        <v>8</v>
      </c>
      <c r="D320" s="91">
        <v>56</v>
      </c>
      <c r="E320" s="92"/>
      <c r="F320" s="59"/>
      <c r="G320" s="60">
        <f t="shared" si="63"/>
        <v>0</v>
      </c>
      <c r="I320" s="139">
        <f>D320*2.469*6</f>
        <v>829.58399999999983</v>
      </c>
      <c r="J320" s="139">
        <f>6.1*3</f>
        <v>18.299999999999997</v>
      </c>
      <c r="K320" s="168">
        <f>J320/0.1</f>
        <v>182.99999999999997</v>
      </c>
      <c r="L320" s="168">
        <f>K320/4</f>
        <v>45.749999999999993</v>
      </c>
    </row>
    <row r="321" spans="1:18" x14ac:dyDescent="0.2">
      <c r="A321" s="141"/>
      <c r="B321" s="142" t="s">
        <v>223</v>
      </c>
      <c r="C321" s="143" t="s">
        <v>8</v>
      </c>
      <c r="D321" s="91">
        <v>157</v>
      </c>
      <c r="E321" s="92"/>
      <c r="F321" s="59"/>
      <c r="G321" s="60">
        <f t="shared" si="63"/>
        <v>0</v>
      </c>
      <c r="I321" s="139">
        <f>0.222*D321*6</f>
        <v>209.124</v>
      </c>
      <c r="J321" s="139"/>
    </row>
    <row r="322" spans="1:18" x14ac:dyDescent="0.2">
      <c r="A322" s="141"/>
      <c r="B322" s="142" t="s">
        <v>14</v>
      </c>
      <c r="C322" s="143" t="s">
        <v>9</v>
      </c>
      <c r="D322" s="91">
        <f>D319*20</f>
        <v>20.774159999999998</v>
      </c>
      <c r="E322" s="92"/>
      <c r="F322" s="59"/>
      <c r="G322" s="60">
        <f t="shared" si="63"/>
        <v>0</v>
      </c>
      <c r="I322" s="139">
        <f>SUM(I320:I321)</f>
        <v>1038.7079999999999</v>
      </c>
      <c r="J322" s="139"/>
    </row>
    <row r="323" spans="1:18" x14ac:dyDescent="0.2">
      <c r="A323" s="169" t="s">
        <v>165</v>
      </c>
      <c r="B323" s="170" t="s">
        <v>272</v>
      </c>
      <c r="C323" s="171" t="s">
        <v>136</v>
      </c>
      <c r="D323" s="172">
        <f>I326/1000</f>
        <v>4.4342280000000001</v>
      </c>
      <c r="E323" s="173"/>
      <c r="F323" s="59"/>
      <c r="G323" s="60">
        <f t="shared" ref="G323:G326" si="64">(D323*E323)+(D323*F323)</f>
        <v>0</v>
      </c>
      <c r="H323" s="174"/>
      <c r="I323" s="175"/>
      <c r="J323" s="28">
        <v>248.05</v>
      </c>
      <c r="K323" s="28">
        <f>J323*15.34</f>
        <v>3805.087</v>
      </c>
      <c r="L323" s="28">
        <f>K323*75%</f>
        <v>2853.8152500000001</v>
      </c>
      <c r="M323" s="28">
        <f>SUM(K323:L323)</f>
        <v>6658.9022500000001</v>
      </c>
      <c r="N323" s="28">
        <f>M323/6</f>
        <v>1109.8170416666667</v>
      </c>
      <c r="R323" s="28">
        <f>Q323/6</f>
        <v>0</v>
      </c>
    </row>
    <row r="324" spans="1:18" x14ac:dyDescent="0.2">
      <c r="A324" s="176" t="s">
        <v>174</v>
      </c>
      <c r="B324" s="142" t="s">
        <v>222</v>
      </c>
      <c r="C324" s="177" t="s">
        <v>8</v>
      </c>
      <c r="D324" s="178">
        <v>1110</v>
      </c>
      <c r="E324" s="179"/>
      <c r="F324" s="180"/>
      <c r="G324" s="60">
        <f t="shared" si="64"/>
        <v>0</v>
      </c>
      <c r="H324" s="174"/>
      <c r="I324" s="139">
        <f>0.617*D324*6</f>
        <v>4109.22</v>
      </c>
    </row>
    <row r="325" spans="1:18" x14ac:dyDescent="0.2">
      <c r="A325" s="176"/>
      <c r="B325" s="142" t="s">
        <v>221</v>
      </c>
      <c r="C325" s="177" t="s">
        <v>8</v>
      </c>
      <c r="D325" s="178">
        <v>61</v>
      </c>
      <c r="E325" s="179"/>
      <c r="F325" s="180"/>
      <c r="G325" s="60">
        <f t="shared" ref="G325" si="65">(D325*E325)+(D325*F325)</f>
        <v>0</v>
      </c>
      <c r="H325" s="174"/>
      <c r="I325" s="139">
        <f>0.888*D325*6</f>
        <v>325.00799999999998</v>
      </c>
    </row>
    <row r="326" spans="1:18" x14ac:dyDescent="0.2">
      <c r="A326" s="176"/>
      <c r="B326" s="181" t="s">
        <v>14</v>
      </c>
      <c r="C326" s="177" t="s">
        <v>9</v>
      </c>
      <c r="D326" s="178">
        <f>D323*20</f>
        <v>88.684560000000005</v>
      </c>
      <c r="E326" s="179"/>
      <c r="F326" s="180"/>
      <c r="G326" s="60">
        <f t="shared" si="64"/>
        <v>0</v>
      </c>
      <c r="H326" s="174"/>
      <c r="I326" s="139">
        <f>SUM(I324:I325)</f>
        <v>4434.2280000000001</v>
      </c>
    </row>
    <row r="327" spans="1:18" x14ac:dyDescent="0.2">
      <c r="A327" s="169" t="s">
        <v>175</v>
      </c>
      <c r="B327" s="170" t="s">
        <v>171</v>
      </c>
      <c r="C327" s="171"/>
      <c r="D327" s="172"/>
      <c r="E327" s="173"/>
      <c r="F327" s="59"/>
      <c r="G327" s="60"/>
    </row>
    <row r="328" spans="1:18" x14ac:dyDescent="0.2">
      <c r="A328" s="141"/>
      <c r="B328" s="142" t="s">
        <v>451</v>
      </c>
      <c r="C328" s="143" t="s">
        <v>136</v>
      </c>
      <c r="D328" s="91">
        <f>I331/1000</f>
        <v>3.6447839999999996</v>
      </c>
      <c r="E328" s="92"/>
      <c r="F328" s="59"/>
      <c r="G328" s="60">
        <f t="shared" ref="G328:G335" si="66">(D328*E328)+(D328*F328)</f>
        <v>0</v>
      </c>
    </row>
    <row r="329" spans="1:18" x14ac:dyDescent="0.2">
      <c r="A329" s="144"/>
      <c r="B329" s="142" t="s">
        <v>276</v>
      </c>
      <c r="C329" s="143" t="s">
        <v>8</v>
      </c>
      <c r="D329" s="91">
        <v>200</v>
      </c>
      <c r="E329" s="92"/>
      <c r="F329" s="59"/>
      <c r="G329" s="60">
        <f t="shared" si="66"/>
        <v>0</v>
      </c>
      <c r="I329" s="139">
        <f>D329*2.469*6</f>
        <v>2962.7999999999997</v>
      </c>
      <c r="J329" s="28">
        <f>4*5</f>
        <v>20</v>
      </c>
      <c r="L329" s="28">
        <f>3.36/0.15</f>
        <v>22.4</v>
      </c>
      <c r="M329" s="28">
        <f>L329*5</f>
        <v>112</v>
      </c>
      <c r="N329" s="28">
        <f>M329/8</f>
        <v>14</v>
      </c>
    </row>
    <row r="330" spans="1:18" x14ac:dyDescent="0.2">
      <c r="A330" s="141"/>
      <c r="B330" s="142" t="s">
        <v>223</v>
      </c>
      <c r="C330" s="143" t="s">
        <v>8</v>
      </c>
      <c r="D330" s="91">
        <v>512</v>
      </c>
      <c r="E330" s="92"/>
      <c r="F330" s="59"/>
      <c r="G330" s="60">
        <f t="shared" si="66"/>
        <v>0</v>
      </c>
      <c r="I330" s="139">
        <f>0.222*D330*6</f>
        <v>681.98400000000004</v>
      </c>
    </row>
    <row r="331" spans="1:18" x14ac:dyDescent="0.2">
      <c r="A331" s="141"/>
      <c r="B331" s="142" t="s">
        <v>14</v>
      </c>
      <c r="C331" s="143" t="s">
        <v>9</v>
      </c>
      <c r="D331" s="91">
        <f>D328*20</f>
        <v>72.895679999999999</v>
      </c>
      <c r="E331" s="92"/>
      <c r="F331" s="59"/>
      <c r="G331" s="60">
        <f t="shared" si="66"/>
        <v>0</v>
      </c>
      <c r="I331" s="139">
        <f>SUM(I329:I330)</f>
        <v>3644.7839999999997</v>
      </c>
      <c r="J331" s="139"/>
    </row>
    <row r="332" spans="1:18" x14ac:dyDescent="0.2">
      <c r="A332" s="141"/>
      <c r="B332" s="142" t="s">
        <v>456</v>
      </c>
      <c r="C332" s="143" t="s">
        <v>136</v>
      </c>
      <c r="D332" s="91">
        <f>I335/1000</f>
        <v>1.5650279999999999</v>
      </c>
      <c r="E332" s="92"/>
      <c r="F332" s="59"/>
      <c r="G332" s="60">
        <f t="shared" si="66"/>
        <v>0</v>
      </c>
      <c r="I332" s="139"/>
      <c r="J332" s="139"/>
    </row>
    <row r="333" spans="1:18" ht="12.75" thickBot="1" x14ac:dyDescent="0.25">
      <c r="A333" s="151"/>
      <c r="B333" s="152" t="s">
        <v>276</v>
      </c>
      <c r="C333" s="153" t="s">
        <v>8</v>
      </c>
      <c r="D333" s="154">
        <v>90</v>
      </c>
      <c r="E333" s="182"/>
      <c r="F333" s="155"/>
      <c r="G333" s="156">
        <f t="shared" ref="G333" si="67">(D333*E333)+(D333*F333)</f>
        <v>0</v>
      </c>
      <c r="I333" s="139">
        <f>D333*2.469*6</f>
        <v>1333.2599999999998</v>
      </c>
      <c r="J333" s="28">
        <v>180</v>
      </c>
      <c r="L333" s="28">
        <f>23*18</f>
        <v>414</v>
      </c>
      <c r="M333" s="28">
        <f>L333/2</f>
        <v>207</v>
      </c>
      <c r="N333" s="28">
        <f>L333*2</f>
        <v>828</v>
      </c>
      <c r="O333" s="28">
        <f>N333-M333*2</f>
        <v>414</v>
      </c>
      <c r="P333" s="28">
        <f>O333/4</f>
        <v>103.5</v>
      </c>
      <c r="Q333" s="28">
        <f>P333+M333</f>
        <v>310.5</v>
      </c>
    </row>
    <row r="334" spans="1:18" x14ac:dyDescent="0.2">
      <c r="A334" s="386"/>
      <c r="B334" s="387" t="s">
        <v>223</v>
      </c>
      <c r="C334" s="319" t="s">
        <v>8</v>
      </c>
      <c r="D334" s="320">
        <v>174</v>
      </c>
      <c r="E334" s="321"/>
      <c r="F334" s="190"/>
      <c r="G334" s="191">
        <f t="shared" si="66"/>
        <v>0</v>
      </c>
      <c r="I334" s="139">
        <f>0.222*D334*6</f>
        <v>231.768</v>
      </c>
    </row>
    <row r="335" spans="1:18" x14ac:dyDescent="0.2">
      <c r="A335" s="141"/>
      <c r="B335" s="142" t="s">
        <v>14</v>
      </c>
      <c r="C335" s="143" t="s">
        <v>9</v>
      </c>
      <c r="D335" s="91">
        <f>D332*20</f>
        <v>31.300559999999997</v>
      </c>
      <c r="E335" s="92"/>
      <c r="F335" s="59"/>
      <c r="G335" s="60">
        <f t="shared" si="66"/>
        <v>0</v>
      </c>
      <c r="I335" s="139">
        <f>SUM(I333:I334)</f>
        <v>1565.0279999999998</v>
      </c>
      <c r="J335" s="139"/>
    </row>
    <row r="336" spans="1:18" x14ac:dyDescent="0.2">
      <c r="A336" s="141"/>
      <c r="B336" s="142"/>
      <c r="C336" s="143"/>
      <c r="D336" s="91"/>
      <c r="E336" s="92"/>
      <c r="F336" s="59"/>
      <c r="G336" s="60"/>
      <c r="I336" s="139"/>
      <c r="J336" s="139"/>
    </row>
    <row r="337" spans="1:15" x14ac:dyDescent="0.2">
      <c r="A337" s="144" t="s">
        <v>176</v>
      </c>
      <c r="B337" s="145" t="s">
        <v>281</v>
      </c>
      <c r="C337" s="146"/>
      <c r="D337" s="147"/>
      <c r="E337" s="148"/>
      <c r="F337" s="59"/>
      <c r="G337" s="60">
        <f t="shared" ref="G337" si="68">(D337*E337)+(D337*F337)</f>
        <v>0</v>
      </c>
      <c r="J337" s="139"/>
    </row>
    <row r="338" spans="1:15" ht="24" x14ac:dyDescent="0.2">
      <c r="A338" s="141"/>
      <c r="B338" s="142" t="s">
        <v>493</v>
      </c>
      <c r="C338" s="143" t="s">
        <v>136</v>
      </c>
      <c r="D338" s="91">
        <f>I340/1000</f>
        <v>0.56270399999999998</v>
      </c>
      <c r="E338" s="44"/>
      <c r="F338" s="59"/>
      <c r="G338" s="60">
        <f>(D338*E338)+(D338*F338)</f>
        <v>0</v>
      </c>
    </row>
    <row r="339" spans="1:15" x14ac:dyDescent="0.2">
      <c r="A339" s="144"/>
      <c r="B339" s="142" t="s">
        <v>222</v>
      </c>
      <c r="C339" s="177" t="s">
        <v>8</v>
      </c>
      <c r="D339" s="178">
        <v>152</v>
      </c>
      <c r="E339" s="179"/>
      <c r="F339" s="180"/>
      <c r="G339" s="60">
        <f t="shared" ref="G339:G340" si="69">(D339*E339)+(D339*F339)</f>
        <v>0</v>
      </c>
      <c r="H339" s="174"/>
      <c r="I339" s="139">
        <f>0.617*D339*6</f>
        <v>562.70399999999995</v>
      </c>
      <c r="K339" s="28">
        <f>18.25+13.5*2+1.2*2</f>
        <v>47.65</v>
      </c>
      <c r="L339" s="28">
        <f>K339/0.15</f>
        <v>317.66666666666669</v>
      </c>
      <c r="M339" s="28">
        <f>L339/4</f>
        <v>79.416666666666671</v>
      </c>
      <c r="N339" s="28">
        <v>72</v>
      </c>
      <c r="O339" s="28">
        <f>SUM(M339:N339)</f>
        <v>151.41666666666669</v>
      </c>
    </row>
    <row r="340" spans="1:15" x14ac:dyDescent="0.2">
      <c r="A340" s="141"/>
      <c r="B340" s="181" t="s">
        <v>14</v>
      </c>
      <c r="C340" s="177" t="s">
        <v>9</v>
      </c>
      <c r="D340" s="178">
        <f>D338*20</f>
        <v>11.25408</v>
      </c>
      <c r="E340" s="179"/>
      <c r="F340" s="180"/>
      <c r="G340" s="60">
        <f t="shared" si="69"/>
        <v>0</v>
      </c>
      <c r="H340" s="174"/>
      <c r="I340" s="139">
        <f>SUM(I339:I339)</f>
        <v>562.70399999999995</v>
      </c>
    </row>
    <row r="341" spans="1:15" x14ac:dyDescent="0.2">
      <c r="A341" s="132" t="s">
        <v>278</v>
      </c>
      <c r="B341" s="133" t="s">
        <v>254</v>
      </c>
      <c r="C341" s="162"/>
      <c r="D341" s="163"/>
      <c r="E341" s="164"/>
      <c r="F341" s="165"/>
      <c r="G341" s="166"/>
    </row>
    <row r="342" spans="1:15" x14ac:dyDescent="0.2">
      <c r="A342" s="169" t="s">
        <v>164</v>
      </c>
      <c r="B342" s="170" t="s">
        <v>275</v>
      </c>
      <c r="C342" s="171"/>
      <c r="D342" s="172"/>
      <c r="E342" s="173"/>
      <c r="F342" s="59"/>
      <c r="G342" s="60"/>
    </row>
    <row r="343" spans="1:15" x14ac:dyDescent="0.2">
      <c r="A343" s="141"/>
      <c r="B343" s="142" t="s">
        <v>478</v>
      </c>
      <c r="C343" s="143" t="s">
        <v>136</v>
      </c>
      <c r="D343" s="91">
        <f>I346/1000</f>
        <v>6.948156</v>
      </c>
      <c r="E343" s="92"/>
      <c r="F343" s="59"/>
      <c r="G343" s="60">
        <f t="shared" ref="G343" si="70">(D343*E343)+(D343*F343)</f>
        <v>0</v>
      </c>
    </row>
    <row r="344" spans="1:15" x14ac:dyDescent="0.2">
      <c r="A344" s="144"/>
      <c r="B344" s="142" t="s">
        <v>277</v>
      </c>
      <c r="C344" s="143" t="s">
        <v>8</v>
      </c>
      <c r="D344" s="91">
        <v>217</v>
      </c>
      <c r="E344" s="92"/>
      <c r="F344" s="59"/>
      <c r="G344" s="60">
        <f t="shared" ref="G344:G346" si="71">(D344*E344)+(D344*F344)</f>
        <v>0</v>
      </c>
      <c r="I344" s="139">
        <f>D344*3.858*6</f>
        <v>5023.116</v>
      </c>
      <c r="J344" s="28">
        <f>48*9</f>
        <v>432</v>
      </c>
    </row>
    <row r="345" spans="1:15" x14ac:dyDescent="0.2">
      <c r="A345" s="141"/>
      <c r="B345" s="142" t="s">
        <v>222</v>
      </c>
      <c r="C345" s="177" t="s">
        <v>8</v>
      </c>
      <c r="D345" s="178">
        <v>520</v>
      </c>
      <c r="E345" s="179"/>
      <c r="F345" s="180"/>
      <c r="G345" s="60">
        <f t="shared" si="71"/>
        <v>0</v>
      </c>
      <c r="H345" s="174"/>
      <c r="I345" s="139">
        <f>0.617*D345*6</f>
        <v>1925.04</v>
      </c>
      <c r="J345" s="28">
        <f>32.2*2.2</f>
        <v>70.840000000000018</v>
      </c>
    </row>
    <row r="346" spans="1:15" x14ac:dyDescent="0.2">
      <c r="A346" s="141"/>
      <c r="B346" s="142" t="s">
        <v>14</v>
      </c>
      <c r="C346" s="143" t="s">
        <v>9</v>
      </c>
      <c r="D346" s="91">
        <f>D343*20</f>
        <v>138.96312</v>
      </c>
      <c r="E346" s="92"/>
      <c r="F346" s="59"/>
      <c r="G346" s="60">
        <f t="shared" si="71"/>
        <v>0</v>
      </c>
      <c r="I346" s="139">
        <f>SUM(I344:I345)</f>
        <v>6948.1559999999999</v>
      </c>
      <c r="J346" s="139"/>
    </row>
    <row r="347" spans="1:15" x14ac:dyDescent="0.2">
      <c r="A347" s="141"/>
      <c r="B347" s="142" t="s">
        <v>479</v>
      </c>
      <c r="C347" s="143" t="s">
        <v>136</v>
      </c>
      <c r="D347" s="91">
        <f>I350/1000</f>
        <v>1.00332</v>
      </c>
      <c r="E347" s="92"/>
      <c r="F347" s="59"/>
      <c r="G347" s="60">
        <f t="shared" ref="G347:G350" si="72">(D347*E347)+(D347*F347)</f>
        <v>0</v>
      </c>
    </row>
    <row r="348" spans="1:15" x14ac:dyDescent="0.2">
      <c r="A348" s="141"/>
      <c r="B348" s="142" t="s">
        <v>220</v>
      </c>
      <c r="C348" s="143" t="s">
        <v>8</v>
      </c>
      <c r="D348" s="91">
        <v>96</v>
      </c>
      <c r="E348" s="92"/>
      <c r="F348" s="59"/>
      <c r="G348" s="60">
        <f t="shared" si="72"/>
        <v>0</v>
      </c>
      <c r="I348" s="139">
        <f>D348*1.58*6</f>
        <v>910.08</v>
      </c>
      <c r="J348" s="28">
        <f>12.7</f>
        <v>12.7</v>
      </c>
      <c r="K348" s="28">
        <f>J348/0.15</f>
        <v>84.666666666666671</v>
      </c>
      <c r="L348" s="28">
        <f>K348/2</f>
        <v>42.333333333333336</v>
      </c>
    </row>
    <row r="349" spans="1:15" x14ac:dyDescent="0.2">
      <c r="A349" s="141"/>
      <c r="B349" s="142" t="s">
        <v>223</v>
      </c>
      <c r="C349" s="143" t="s">
        <v>8</v>
      </c>
      <c r="D349" s="91">
        <v>70</v>
      </c>
      <c r="E349" s="92"/>
      <c r="F349" s="59"/>
      <c r="G349" s="60">
        <f t="shared" si="72"/>
        <v>0</v>
      </c>
      <c r="I349" s="139">
        <f>0.222*D349*6</f>
        <v>93.240000000000009</v>
      </c>
      <c r="J349" s="28">
        <f>25.8*2+12.975*2+16.275+6.6</f>
        <v>100.42499999999998</v>
      </c>
      <c r="K349" s="28">
        <f>J349/0.1</f>
        <v>1004.2499999999998</v>
      </c>
      <c r="L349" s="28">
        <f>K349/4</f>
        <v>251.06249999999994</v>
      </c>
    </row>
    <row r="350" spans="1:15" x14ac:dyDescent="0.2">
      <c r="A350" s="141"/>
      <c r="B350" s="142" t="s">
        <v>14</v>
      </c>
      <c r="C350" s="143" t="s">
        <v>9</v>
      </c>
      <c r="D350" s="91">
        <f>D347*20</f>
        <v>20.066400000000002</v>
      </c>
      <c r="E350" s="92"/>
      <c r="F350" s="59"/>
      <c r="G350" s="60">
        <f t="shared" si="72"/>
        <v>0</v>
      </c>
      <c r="I350" s="139">
        <f>SUM(I348:I349)</f>
        <v>1003.32</v>
      </c>
      <c r="J350" s="139"/>
    </row>
    <row r="351" spans="1:15" x14ac:dyDescent="0.2">
      <c r="A351" s="141"/>
      <c r="B351" s="142" t="s">
        <v>481</v>
      </c>
      <c r="C351" s="143" t="s">
        <v>136</v>
      </c>
      <c r="D351" s="91">
        <f>I354/1000</f>
        <v>1.0110839999999999</v>
      </c>
      <c r="E351" s="92"/>
      <c r="F351" s="59"/>
      <c r="G351" s="60">
        <f t="shared" ref="G351:G354" si="73">(D351*E351)+(D351*F351)</f>
        <v>0</v>
      </c>
    </row>
    <row r="352" spans="1:15" x14ac:dyDescent="0.2">
      <c r="A352" s="141"/>
      <c r="B352" s="142" t="s">
        <v>220</v>
      </c>
      <c r="C352" s="143" t="s">
        <v>8</v>
      </c>
      <c r="D352" s="91">
        <v>86</v>
      </c>
      <c r="E352" s="92"/>
      <c r="F352" s="59"/>
      <c r="G352" s="60">
        <f t="shared" si="73"/>
        <v>0</v>
      </c>
      <c r="I352" s="139">
        <f>D352*1.58*6</f>
        <v>815.28</v>
      </c>
      <c r="J352" s="28">
        <f>12.7</f>
        <v>12.7</v>
      </c>
      <c r="K352" s="28">
        <f>J352/0.15</f>
        <v>84.666666666666671</v>
      </c>
      <c r="L352" s="28">
        <f>K352/2</f>
        <v>42.333333333333336</v>
      </c>
    </row>
    <row r="353" spans="1:16" x14ac:dyDescent="0.2">
      <c r="A353" s="141"/>
      <c r="B353" s="142" t="s">
        <v>223</v>
      </c>
      <c r="C353" s="143" t="s">
        <v>8</v>
      </c>
      <c r="D353" s="91">
        <v>147</v>
      </c>
      <c r="E353" s="92"/>
      <c r="F353" s="59"/>
      <c r="G353" s="60">
        <f t="shared" si="73"/>
        <v>0</v>
      </c>
      <c r="I353" s="139">
        <f>0.222*D353*6</f>
        <v>195.804</v>
      </c>
      <c r="J353" s="28">
        <f>25.8*2+12.975*2+16.275+6.6</f>
        <v>100.42499999999998</v>
      </c>
      <c r="K353" s="28">
        <f>J353/0.1</f>
        <v>1004.2499999999998</v>
      </c>
      <c r="L353" s="28">
        <f>K353/4</f>
        <v>251.06249999999994</v>
      </c>
    </row>
    <row r="354" spans="1:16" x14ac:dyDescent="0.2">
      <c r="A354" s="141"/>
      <c r="B354" s="142" t="s">
        <v>14</v>
      </c>
      <c r="C354" s="143" t="s">
        <v>9</v>
      </c>
      <c r="D354" s="91">
        <f>D351*20</f>
        <v>20.221679999999999</v>
      </c>
      <c r="E354" s="92"/>
      <c r="F354" s="59"/>
      <c r="G354" s="60">
        <f t="shared" si="73"/>
        <v>0</v>
      </c>
      <c r="I354" s="139">
        <f>SUM(I352:I353)</f>
        <v>1011.0839999999999</v>
      </c>
      <c r="J354" s="139"/>
    </row>
    <row r="355" spans="1:16" x14ac:dyDescent="0.2">
      <c r="A355" s="141"/>
      <c r="B355" s="142" t="s">
        <v>480</v>
      </c>
      <c r="C355" s="143" t="s">
        <v>136</v>
      </c>
      <c r="D355" s="91">
        <f>I358/1000</f>
        <v>1.096392</v>
      </c>
      <c r="E355" s="92"/>
      <c r="F355" s="59"/>
      <c r="G355" s="60">
        <f t="shared" ref="G355:G358" si="74">(D355*E355)+(D355*F355)</f>
        <v>0</v>
      </c>
    </row>
    <row r="356" spans="1:16" x14ac:dyDescent="0.2">
      <c r="A356" s="141"/>
      <c r="B356" s="142" t="s">
        <v>220</v>
      </c>
      <c r="C356" s="143" t="s">
        <v>8</v>
      </c>
      <c r="D356" s="91">
        <v>112</v>
      </c>
      <c r="E356" s="92"/>
      <c r="F356" s="59"/>
      <c r="G356" s="60">
        <f t="shared" si="74"/>
        <v>0</v>
      </c>
      <c r="I356" s="139">
        <f>D356*1.58*6</f>
        <v>1061.76</v>
      </c>
    </row>
    <row r="357" spans="1:16" x14ac:dyDescent="0.2">
      <c r="A357" s="141"/>
      <c r="B357" s="142" t="s">
        <v>223</v>
      </c>
      <c r="C357" s="143" t="s">
        <v>8</v>
      </c>
      <c r="D357" s="91">
        <v>26</v>
      </c>
      <c r="E357" s="92"/>
      <c r="F357" s="59"/>
      <c r="G357" s="60">
        <f t="shared" si="74"/>
        <v>0</v>
      </c>
      <c r="I357" s="139">
        <f>0.222*D357*6</f>
        <v>34.632000000000005</v>
      </c>
    </row>
    <row r="358" spans="1:16" x14ac:dyDescent="0.2">
      <c r="A358" s="141"/>
      <c r="B358" s="142" t="s">
        <v>14</v>
      </c>
      <c r="C358" s="143" t="s">
        <v>9</v>
      </c>
      <c r="D358" s="91">
        <f>D355*20</f>
        <v>21.92784</v>
      </c>
      <c r="E358" s="92"/>
      <c r="F358" s="59"/>
      <c r="G358" s="60">
        <f t="shared" si="74"/>
        <v>0</v>
      </c>
      <c r="I358" s="139">
        <f>SUM(I356:I357)</f>
        <v>1096.3920000000001</v>
      </c>
      <c r="J358" s="139"/>
    </row>
    <row r="359" spans="1:16" ht="15.75" customHeight="1" x14ac:dyDescent="0.2">
      <c r="A359" s="169" t="s">
        <v>165</v>
      </c>
      <c r="B359" s="170" t="s">
        <v>272</v>
      </c>
      <c r="C359" s="171" t="s">
        <v>136</v>
      </c>
      <c r="D359" s="172">
        <f>I361/1000</f>
        <v>0.84405599999999992</v>
      </c>
      <c r="E359" s="173"/>
      <c r="F359" s="59"/>
      <c r="G359" s="60">
        <f t="shared" ref="G359:G362" si="75">(D359*E359)+(D359*F359)</f>
        <v>0</v>
      </c>
      <c r="H359" s="174"/>
      <c r="I359" s="175"/>
    </row>
    <row r="360" spans="1:16" x14ac:dyDescent="0.2">
      <c r="A360" s="176" t="s">
        <v>174</v>
      </c>
      <c r="B360" s="142" t="s">
        <v>222</v>
      </c>
      <c r="C360" s="177" t="s">
        <v>8</v>
      </c>
      <c r="D360" s="178">
        <v>228</v>
      </c>
      <c r="E360" s="179"/>
      <c r="F360" s="180"/>
      <c r="G360" s="60">
        <f t="shared" si="75"/>
        <v>0</v>
      </c>
      <c r="H360" s="174"/>
      <c r="I360" s="139">
        <f>0.617*D360*6</f>
        <v>844.05599999999993</v>
      </c>
      <c r="K360" s="28">
        <f>I218</f>
        <v>50.934999999999995</v>
      </c>
      <c r="L360" s="28">
        <f>K360*15.34</f>
        <v>781.34289999999987</v>
      </c>
      <c r="M360" s="28">
        <f>L360*75%</f>
        <v>586.00717499999996</v>
      </c>
      <c r="N360" s="28">
        <f>SUM(L360:M360)</f>
        <v>1367.3500749999998</v>
      </c>
      <c r="O360" s="28">
        <f>N360/6</f>
        <v>227.89167916666665</v>
      </c>
    </row>
    <row r="361" spans="1:16" x14ac:dyDescent="0.2">
      <c r="A361" s="176"/>
      <c r="B361" s="181" t="s">
        <v>14</v>
      </c>
      <c r="C361" s="177" t="s">
        <v>9</v>
      </c>
      <c r="D361" s="178">
        <f>D359*20</f>
        <v>16.881119999999999</v>
      </c>
      <c r="E361" s="179"/>
      <c r="F361" s="180"/>
      <c r="G361" s="60">
        <f t="shared" si="75"/>
        <v>0</v>
      </c>
      <c r="H361" s="174"/>
      <c r="I361" s="139">
        <f>SUM(I360:I360)</f>
        <v>844.05599999999993</v>
      </c>
    </row>
    <row r="362" spans="1:16" x14ac:dyDescent="0.2">
      <c r="A362" s="144" t="s">
        <v>175</v>
      </c>
      <c r="B362" s="145" t="s">
        <v>281</v>
      </c>
      <c r="C362" s="146"/>
      <c r="D362" s="147"/>
      <c r="E362" s="148"/>
      <c r="F362" s="59"/>
      <c r="G362" s="60">
        <f t="shared" si="75"/>
        <v>0</v>
      </c>
    </row>
    <row r="363" spans="1:16" ht="24" x14ac:dyDescent="0.2">
      <c r="A363" s="141"/>
      <c r="B363" s="142" t="s">
        <v>482</v>
      </c>
      <c r="C363" s="143" t="s">
        <v>136</v>
      </c>
      <c r="D363" s="91">
        <f>I365/1000</f>
        <v>0.53308800000000001</v>
      </c>
      <c r="E363" s="44"/>
      <c r="F363" s="59"/>
      <c r="G363" s="60">
        <f>(D363*E363)+(D363*F363)</f>
        <v>0</v>
      </c>
    </row>
    <row r="364" spans="1:16" x14ac:dyDescent="0.2">
      <c r="A364" s="144"/>
      <c r="B364" s="142" t="s">
        <v>222</v>
      </c>
      <c r="C364" s="177" t="s">
        <v>8</v>
      </c>
      <c r="D364" s="178">
        <v>144</v>
      </c>
      <c r="E364" s="179"/>
      <c r="F364" s="180"/>
      <c r="G364" s="60">
        <f t="shared" ref="G364:G365" si="76">(D364*E364)+(D364*F364)</f>
        <v>0</v>
      </c>
      <c r="H364" s="174"/>
      <c r="I364" s="139">
        <f>0.617*D364*6</f>
        <v>533.08799999999997</v>
      </c>
      <c r="K364" s="28">
        <v>39.4</v>
      </c>
      <c r="L364" s="28">
        <f>K364/0.15</f>
        <v>262.66666666666669</v>
      </c>
      <c r="M364" s="28">
        <f>L364*2</f>
        <v>525.33333333333337</v>
      </c>
      <c r="N364" s="28">
        <f>M364/6</f>
        <v>87.555555555555557</v>
      </c>
      <c r="O364" s="28">
        <v>56</v>
      </c>
      <c r="P364" s="28">
        <f>SUM(N364:O364)</f>
        <v>143.55555555555554</v>
      </c>
    </row>
    <row r="365" spans="1:16" x14ac:dyDescent="0.2">
      <c r="A365" s="141"/>
      <c r="B365" s="181" t="s">
        <v>14</v>
      </c>
      <c r="C365" s="177" t="s">
        <v>9</v>
      </c>
      <c r="D365" s="178">
        <f>D363*20</f>
        <v>10.661760000000001</v>
      </c>
      <c r="E365" s="179"/>
      <c r="F365" s="180"/>
      <c r="G365" s="60">
        <f t="shared" si="76"/>
        <v>0</v>
      </c>
      <c r="H365" s="174"/>
      <c r="I365" s="139">
        <f>SUM(I364:I364)</f>
        <v>533.08799999999997</v>
      </c>
    </row>
    <row r="366" spans="1:16" x14ac:dyDescent="0.2">
      <c r="A366" s="132" t="s">
        <v>154</v>
      </c>
      <c r="B366" s="133" t="s">
        <v>199</v>
      </c>
      <c r="C366" s="162"/>
      <c r="D366" s="163"/>
      <c r="E366" s="164"/>
      <c r="F366" s="165"/>
      <c r="G366" s="166">
        <f>(D366*E366)+(D366*F366)</f>
        <v>0</v>
      </c>
    </row>
    <row r="367" spans="1:16" x14ac:dyDescent="0.2">
      <c r="A367" s="185" t="s">
        <v>184</v>
      </c>
      <c r="B367" s="145" t="s">
        <v>279</v>
      </c>
      <c r="C367" s="143"/>
      <c r="D367" s="91"/>
      <c r="E367" s="92"/>
      <c r="F367" s="59"/>
      <c r="G367" s="60">
        <f t="shared" ref="G367:G381" si="77">(D367*E367)+(D367*F367)</f>
        <v>0</v>
      </c>
    </row>
    <row r="368" spans="1:16" ht="49.5" customHeight="1" x14ac:dyDescent="0.2">
      <c r="A368" s="186"/>
      <c r="B368" s="142" t="s">
        <v>280</v>
      </c>
      <c r="C368" s="143" t="s">
        <v>354</v>
      </c>
      <c r="D368" s="91">
        <v>18.7</v>
      </c>
      <c r="E368" s="92"/>
      <c r="F368" s="59"/>
      <c r="G368" s="60">
        <f t="shared" si="77"/>
        <v>0</v>
      </c>
      <c r="I368" s="28">
        <f>90.7*2*0.2*0.2</f>
        <v>7.2560000000000002</v>
      </c>
      <c r="J368" s="28">
        <f>0.45*0.125*90.7*2</f>
        <v>10.203750000000001</v>
      </c>
      <c r="L368" s="28">
        <f>33*0.15*0.15*1.55</f>
        <v>1.1508750000000001</v>
      </c>
      <c r="M368" s="28">
        <f>SUM(I368:L368)</f>
        <v>18.610624999999999</v>
      </c>
      <c r="O368" s="28">
        <f>12.9*2+1.2+2.36*6+2.36*14+16.07</f>
        <v>90.269999999999982</v>
      </c>
    </row>
    <row r="369" spans="1:13" ht="12" customHeight="1" x14ac:dyDescent="0.2">
      <c r="A369" s="185" t="s">
        <v>185</v>
      </c>
      <c r="B369" s="145" t="s">
        <v>281</v>
      </c>
      <c r="C369" s="143"/>
      <c r="D369" s="91"/>
      <c r="E369" s="92"/>
      <c r="F369" s="59"/>
      <c r="G369" s="60">
        <f t="shared" ref="G369:G370" si="78">(D369*E369)+(D369*F369)</f>
        <v>0</v>
      </c>
    </row>
    <row r="370" spans="1:13" ht="49.5" customHeight="1" x14ac:dyDescent="0.2">
      <c r="A370" s="186"/>
      <c r="B370" s="142" t="s">
        <v>559</v>
      </c>
      <c r="C370" s="143" t="s">
        <v>354</v>
      </c>
      <c r="D370" s="91">
        <v>2.2610000000000001</v>
      </c>
      <c r="E370" s="92"/>
      <c r="F370" s="59"/>
      <c r="G370" s="60">
        <f t="shared" si="78"/>
        <v>0</v>
      </c>
      <c r="I370" s="28">
        <f>4*6+2.6</f>
        <v>26.6</v>
      </c>
      <c r="J370" s="28">
        <f>I370*0.85*0.1</f>
        <v>2.2610000000000001</v>
      </c>
    </row>
    <row r="371" spans="1:13" ht="12" customHeight="1" x14ac:dyDescent="0.2">
      <c r="A371" s="185" t="s">
        <v>186</v>
      </c>
      <c r="B371" s="145" t="s">
        <v>325</v>
      </c>
      <c r="C371" s="143"/>
      <c r="D371" s="91"/>
      <c r="E371" s="92"/>
      <c r="F371" s="59"/>
      <c r="G371" s="60">
        <f>(D371*E371)+(D371*F371)</f>
        <v>0</v>
      </c>
    </row>
    <row r="372" spans="1:13" ht="61.5" customHeight="1" x14ac:dyDescent="0.2">
      <c r="A372" s="186"/>
      <c r="B372" s="187" t="s">
        <v>326</v>
      </c>
      <c r="C372" s="143" t="s">
        <v>354</v>
      </c>
      <c r="D372" s="188">
        <v>1.6</v>
      </c>
      <c r="E372" s="44"/>
      <c r="F372" s="59"/>
      <c r="G372" s="60">
        <f t="shared" ref="G372" si="79">(D372*E372)+(D372*F372)</f>
        <v>0</v>
      </c>
    </row>
    <row r="373" spans="1:13" ht="16.5" customHeight="1" x14ac:dyDescent="0.2">
      <c r="A373" s="185" t="s">
        <v>186</v>
      </c>
      <c r="B373" s="145" t="s">
        <v>563</v>
      </c>
      <c r="C373" s="143"/>
      <c r="D373" s="91"/>
      <c r="E373" s="92"/>
      <c r="F373" s="59"/>
      <c r="G373" s="60">
        <f>(D373*E373)+(D373*F373)</f>
        <v>0</v>
      </c>
    </row>
    <row r="374" spans="1:13" ht="36" customHeight="1" x14ac:dyDescent="0.2">
      <c r="A374" s="186"/>
      <c r="B374" s="187" t="s">
        <v>564</v>
      </c>
      <c r="C374" s="143" t="s">
        <v>354</v>
      </c>
      <c r="D374" s="188">
        <v>3.6</v>
      </c>
      <c r="E374" s="44"/>
      <c r="F374" s="59"/>
      <c r="G374" s="60">
        <f t="shared" ref="G374" si="80">(D374*E374)+(D374*F374)</f>
        <v>0</v>
      </c>
      <c r="I374" s="139">
        <f>7*2+6.4*2+7.7*2+5.2</f>
        <v>47.400000000000006</v>
      </c>
      <c r="J374" s="139">
        <f>I374*1*0.075</f>
        <v>3.5550000000000002</v>
      </c>
    </row>
    <row r="375" spans="1:13" ht="12" customHeight="1" x14ac:dyDescent="0.2">
      <c r="A375" s="186"/>
      <c r="B375" s="187"/>
      <c r="C375" s="143"/>
      <c r="D375" s="188"/>
      <c r="E375" s="44"/>
      <c r="F375" s="59"/>
      <c r="G375" s="60"/>
    </row>
    <row r="376" spans="1:13" ht="12" customHeight="1" x14ac:dyDescent="0.2">
      <c r="A376" s="186"/>
      <c r="B376" s="187"/>
      <c r="C376" s="143"/>
      <c r="D376" s="188"/>
      <c r="E376" s="44"/>
      <c r="F376" s="59"/>
      <c r="G376" s="60"/>
    </row>
    <row r="377" spans="1:13" ht="12" customHeight="1" thickBot="1" x14ac:dyDescent="0.25">
      <c r="A377" s="385"/>
      <c r="B377" s="373"/>
      <c r="C377" s="153"/>
      <c r="D377" s="375"/>
      <c r="E377" s="77"/>
      <c r="F377" s="155"/>
      <c r="G377" s="156"/>
    </row>
    <row r="378" spans="1:13" ht="12" customHeight="1" x14ac:dyDescent="0.2">
      <c r="A378" s="186"/>
      <c r="B378" s="187"/>
      <c r="C378" s="143"/>
      <c r="D378" s="188"/>
      <c r="E378" s="44"/>
      <c r="F378" s="59"/>
      <c r="G378" s="60"/>
    </row>
    <row r="379" spans="1:13" x14ac:dyDescent="0.2">
      <c r="A379" s="144" t="s">
        <v>155</v>
      </c>
      <c r="B379" s="145" t="s">
        <v>247</v>
      </c>
      <c r="C379" s="143"/>
      <c r="D379" s="91"/>
      <c r="E379" s="92"/>
      <c r="F379" s="59"/>
      <c r="G379" s="60">
        <f t="shared" si="77"/>
        <v>0</v>
      </c>
    </row>
    <row r="380" spans="1:13" ht="36.75" customHeight="1" x14ac:dyDescent="0.2">
      <c r="A380" s="186" t="s">
        <v>65</v>
      </c>
      <c r="B380" s="142" t="s">
        <v>356</v>
      </c>
      <c r="C380" s="143" t="s">
        <v>357</v>
      </c>
      <c r="D380" s="91">
        <f>D88+D422+306.9</f>
        <v>950.5</v>
      </c>
      <c r="E380" s="92"/>
      <c r="F380" s="59"/>
      <c r="G380" s="60">
        <f t="shared" si="77"/>
        <v>0</v>
      </c>
      <c r="J380" s="139"/>
    </row>
    <row r="381" spans="1:13" ht="38.25" customHeight="1" x14ac:dyDescent="0.2">
      <c r="A381" s="186" t="s">
        <v>66</v>
      </c>
      <c r="B381" s="142" t="s">
        <v>358</v>
      </c>
      <c r="C381" s="143" t="s">
        <v>15</v>
      </c>
      <c r="D381" s="91">
        <v>1</v>
      </c>
      <c r="E381" s="92"/>
      <c r="F381" s="59"/>
      <c r="G381" s="60">
        <f t="shared" si="77"/>
        <v>0</v>
      </c>
      <c r="I381" s="139"/>
      <c r="J381" s="168"/>
      <c r="K381" s="168"/>
      <c r="L381" s="139"/>
      <c r="M381" s="168"/>
    </row>
    <row r="382" spans="1:13" ht="36" x14ac:dyDescent="0.2">
      <c r="A382" s="186" t="s">
        <v>70</v>
      </c>
      <c r="B382" s="142" t="s">
        <v>359</v>
      </c>
      <c r="C382" s="143" t="s">
        <v>15</v>
      </c>
      <c r="D382" s="91">
        <v>1</v>
      </c>
      <c r="E382" s="92"/>
      <c r="F382" s="59"/>
      <c r="G382" s="60"/>
      <c r="I382" s="168"/>
      <c r="J382" s="168"/>
      <c r="K382" s="168"/>
      <c r="L382" s="168"/>
      <c r="M382" s="168"/>
    </row>
    <row r="383" spans="1:13" x14ac:dyDescent="0.2">
      <c r="A383" s="141"/>
      <c r="B383" s="189"/>
      <c r="C383" s="146"/>
      <c r="D383" s="147"/>
      <c r="E383" s="92"/>
      <c r="F383" s="59"/>
      <c r="G383" s="60"/>
      <c r="I383" s="168"/>
      <c r="J383" s="168"/>
      <c r="K383" s="168"/>
      <c r="L383" s="168"/>
      <c r="M383" s="168"/>
    </row>
    <row r="384" spans="1:13" ht="12.75" thickBot="1" x14ac:dyDescent="0.25">
      <c r="A384" s="141"/>
      <c r="B384" s="189"/>
      <c r="C384" s="146"/>
      <c r="D384" s="147"/>
      <c r="E384" s="92"/>
      <c r="F384" s="59"/>
      <c r="G384" s="60"/>
      <c r="I384" s="168"/>
      <c r="J384" s="168"/>
      <c r="K384" s="168"/>
      <c r="L384" s="168"/>
      <c r="M384" s="168"/>
    </row>
    <row r="385" spans="1:15" x14ac:dyDescent="0.2">
      <c r="A385" s="68"/>
      <c r="B385" s="69" t="s">
        <v>150</v>
      </c>
      <c r="C385" s="113"/>
      <c r="D385" s="71"/>
      <c r="E385" s="72"/>
      <c r="F385" s="190"/>
      <c r="G385" s="191"/>
    </row>
    <row r="386" spans="1:15" ht="12.75" thickBot="1" x14ac:dyDescent="0.25">
      <c r="A386" s="73"/>
      <c r="B386" s="74" t="s">
        <v>172</v>
      </c>
      <c r="C386" s="114"/>
      <c r="D386" s="76"/>
      <c r="E386" s="77"/>
      <c r="F386" s="155"/>
      <c r="G386" s="192">
        <f>SUM(G88:G381)</f>
        <v>0</v>
      </c>
    </row>
    <row r="387" spans="1:15" x14ac:dyDescent="0.2">
      <c r="A387" s="40"/>
      <c r="B387" s="80"/>
      <c r="C387" s="56"/>
      <c r="D387" s="57"/>
      <c r="E387" s="44"/>
      <c r="F387" s="59"/>
      <c r="G387" s="150"/>
    </row>
    <row r="388" spans="1:15" x14ac:dyDescent="0.2">
      <c r="A388" s="40"/>
      <c r="B388" s="41" t="s">
        <v>105</v>
      </c>
      <c r="C388" s="56"/>
      <c r="D388" s="57"/>
      <c r="E388" s="44"/>
      <c r="F388" s="59"/>
      <c r="G388" s="60"/>
    </row>
    <row r="389" spans="1:15" x14ac:dyDescent="0.2">
      <c r="A389" s="40"/>
      <c r="B389" s="49" t="s">
        <v>106</v>
      </c>
      <c r="C389" s="56"/>
      <c r="D389" s="57"/>
      <c r="E389" s="44"/>
      <c r="F389" s="59"/>
      <c r="G389" s="60"/>
    </row>
    <row r="390" spans="1:15" x14ac:dyDescent="0.2">
      <c r="A390" s="193">
        <v>4.0999999999999996</v>
      </c>
      <c r="B390" s="55" t="s">
        <v>41</v>
      </c>
      <c r="C390" s="56"/>
      <c r="D390" s="57"/>
      <c r="E390" s="44"/>
      <c r="F390" s="59"/>
      <c r="G390" s="60"/>
    </row>
    <row r="391" spans="1:15" ht="54.75" customHeight="1" x14ac:dyDescent="0.2">
      <c r="A391" s="40"/>
      <c r="B391" s="408" t="s">
        <v>373</v>
      </c>
      <c r="C391" s="409"/>
      <c r="D391" s="410"/>
      <c r="E391" s="62"/>
      <c r="F391" s="62"/>
      <c r="G391" s="160"/>
    </row>
    <row r="392" spans="1:15" ht="49.5" customHeight="1" x14ac:dyDescent="0.2">
      <c r="A392" s="40"/>
      <c r="B392" s="411" t="s">
        <v>374</v>
      </c>
      <c r="C392" s="412"/>
      <c r="D392" s="413"/>
      <c r="E392" s="194"/>
      <c r="F392" s="194"/>
      <c r="G392" s="195"/>
    </row>
    <row r="393" spans="1:15" ht="39" customHeight="1" x14ac:dyDescent="0.2">
      <c r="A393" s="40"/>
      <c r="B393" s="414" t="s">
        <v>253</v>
      </c>
      <c r="C393" s="415"/>
      <c r="D393" s="416"/>
      <c r="E393" s="194"/>
      <c r="F393" s="194"/>
      <c r="G393" s="195"/>
    </row>
    <row r="394" spans="1:15" x14ac:dyDescent="0.2">
      <c r="A394" s="144" t="s">
        <v>137</v>
      </c>
      <c r="B394" s="196" t="s">
        <v>140</v>
      </c>
      <c r="C394" s="143"/>
      <c r="D394" s="91"/>
      <c r="E394" s="92"/>
      <c r="F394" s="59"/>
      <c r="G394" s="60"/>
    </row>
    <row r="395" spans="1:15" x14ac:dyDescent="0.2">
      <c r="A395" s="132" t="s">
        <v>151</v>
      </c>
      <c r="B395" s="197" t="s">
        <v>139</v>
      </c>
      <c r="C395" s="134"/>
      <c r="D395" s="135"/>
      <c r="E395" s="136"/>
      <c r="F395" s="137"/>
      <c r="G395" s="138"/>
      <c r="I395" s="139"/>
    </row>
    <row r="396" spans="1:15" x14ac:dyDescent="0.2">
      <c r="A396" s="144"/>
      <c r="B396" s="198" t="s">
        <v>195</v>
      </c>
      <c r="C396" s="146"/>
      <c r="D396" s="147"/>
      <c r="E396" s="148"/>
      <c r="F396" s="149"/>
      <c r="G396" s="60"/>
    </row>
    <row r="397" spans="1:15" ht="24" x14ac:dyDescent="0.2">
      <c r="A397" s="141"/>
      <c r="B397" s="142" t="s">
        <v>240</v>
      </c>
      <c r="C397" s="143" t="s">
        <v>357</v>
      </c>
      <c r="D397" s="91">
        <v>193.9</v>
      </c>
      <c r="E397" s="92"/>
      <c r="F397" s="59"/>
      <c r="G397" s="60">
        <f t="shared" ref="G397" si="81">(D397*E397)+(D397*F397)</f>
        <v>0</v>
      </c>
      <c r="I397" s="168">
        <v>228.07499999999999</v>
      </c>
      <c r="J397" s="168">
        <f>I397*0.85</f>
        <v>193.86374999999998</v>
      </c>
    </row>
    <row r="398" spans="1:15" x14ac:dyDescent="0.2">
      <c r="A398" s="132" t="s">
        <v>152</v>
      </c>
      <c r="B398" s="197" t="s">
        <v>67</v>
      </c>
      <c r="C398" s="134"/>
      <c r="D398" s="135"/>
      <c r="E398" s="136"/>
      <c r="F398" s="137"/>
      <c r="G398" s="138"/>
    </row>
    <row r="399" spans="1:15" x14ac:dyDescent="0.2">
      <c r="A399" s="144" t="s">
        <v>164</v>
      </c>
      <c r="B399" s="198" t="s">
        <v>283</v>
      </c>
      <c r="C399" s="146"/>
      <c r="D399" s="147"/>
      <c r="E399" s="148"/>
      <c r="F399" s="149"/>
      <c r="G399" s="60">
        <f t="shared" ref="G399:G401" si="82">(D399*E399)+(D399*F399)</f>
        <v>0</v>
      </c>
    </row>
    <row r="400" spans="1:15" ht="24" x14ac:dyDescent="0.2">
      <c r="A400" s="186" t="s">
        <v>184</v>
      </c>
      <c r="B400" s="142" t="s">
        <v>393</v>
      </c>
      <c r="C400" s="143" t="s">
        <v>357</v>
      </c>
      <c r="D400" s="91">
        <v>375.8</v>
      </c>
      <c r="E400" s="92"/>
      <c r="F400" s="59"/>
      <c r="G400" s="60">
        <f t="shared" si="82"/>
        <v>0</v>
      </c>
      <c r="I400" s="28">
        <f>13+15.3+8.7*3+2.3+28.5+1.4*2+17.2+13*2+9.8*2</f>
        <v>150.79999999999998</v>
      </c>
      <c r="J400" s="28">
        <f>I400*2.95</f>
        <v>444.85999999999996</v>
      </c>
      <c r="K400" s="28">
        <v>96.43</v>
      </c>
      <c r="L400" s="28">
        <f>J400-K400</f>
        <v>348.42999999999995</v>
      </c>
      <c r="M400" s="28">
        <f>1.725*0.45*10</f>
        <v>7.7625000000000011</v>
      </c>
      <c r="N400" s="28">
        <f>SUM(L400:M400)</f>
        <v>356.19249999999994</v>
      </c>
      <c r="O400" s="28">
        <f>N400*105%</f>
        <v>374.00212499999998</v>
      </c>
    </row>
    <row r="401" spans="1:15" x14ac:dyDescent="0.2">
      <c r="A401" s="144" t="s">
        <v>165</v>
      </c>
      <c r="B401" s="198" t="s">
        <v>282</v>
      </c>
      <c r="C401" s="146"/>
      <c r="D401" s="147"/>
      <c r="E401" s="148"/>
      <c r="F401" s="149"/>
      <c r="G401" s="60">
        <f t="shared" si="82"/>
        <v>0</v>
      </c>
    </row>
    <row r="402" spans="1:15" ht="24" x14ac:dyDescent="0.2">
      <c r="A402" s="186" t="s">
        <v>184</v>
      </c>
      <c r="B402" s="142" t="s">
        <v>393</v>
      </c>
      <c r="C402" s="143" t="s">
        <v>357</v>
      </c>
      <c r="D402" s="91">
        <v>165.8</v>
      </c>
      <c r="E402" s="92"/>
      <c r="F402" s="59"/>
      <c r="G402" s="60">
        <f t="shared" ref="G402" si="83">(D402*E402)+(D402*F402)</f>
        <v>0</v>
      </c>
      <c r="I402" s="28">
        <f>9.3+7.8+8.05+7.8+3*2+7.8+4+2.1+2.42*2</f>
        <v>57.69</v>
      </c>
      <c r="J402" s="28">
        <f>I402*2.95</f>
        <v>170.18549999999999</v>
      </c>
      <c r="K402" s="28">
        <v>12.3</v>
      </c>
      <c r="L402" s="28">
        <f>J402-K402</f>
        <v>157.88549999999998</v>
      </c>
      <c r="M402" s="28">
        <f>L402*105%</f>
        <v>165.77977499999997</v>
      </c>
    </row>
    <row r="403" spans="1:15" x14ac:dyDescent="0.2">
      <c r="A403" s="132" t="s">
        <v>57</v>
      </c>
      <c r="B403" s="197" t="s">
        <v>69</v>
      </c>
      <c r="C403" s="134"/>
      <c r="D403" s="135"/>
      <c r="E403" s="136"/>
      <c r="F403" s="137"/>
      <c r="G403" s="138"/>
    </row>
    <row r="404" spans="1:15" x14ac:dyDescent="0.2">
      <c r="A404" s="144" t="s">
        <v>164</v>
      </c>
      <c r="B404" s="198" t="s">
        <v>283</v>
      </c>
      <c r="C404" s="146"/>
      <c r="D404" s="147"/>
      <c r="E404" s="148"/>
      <c r="F404" s="149"/>
      <c r="G404" s="60">
        <f t="shared" ref="G404:G407" si="84">(D404*E404)+(D404*F404)</f>
        <v>0</v>
      </c>
    </row>
    <row r="405" spans="1:15" ht="24" x14ac:dyDescent="0.2">
      <c r="A405" s="186" t="s">
        <v>184</v>
      </c>
      <c r="B405" s="142" t="s">
        <v>393</v>
      </c>
      <c r="C405" s="143" t="s">
        <v>357</v>
      </c>
      <c r="D405" s="91">
        <v>362</v>
      </c>
      <c r="E405" s="92"/>
      <c r="F405" s="59"/>
      <c r="G405" s="60">
        <f t="shared" si="84"/>
        <v>0</v>
      </c>
      <c r="I405" s="28">
        <f>9.8+14.525+39.8*2+1.23+14.8+18.8+1.4</f>
        <v>140.155</v>
      </c>
      <c r="J405" s="28">
        <f>3.1*I405</f>
        <v>434.48050000000001</v>
      </c>
      <c r="K405" s="28">
        <v>107.68</v>
      </c>
      <c r="L405" s="28">
        <f>J405-K405</f>
        <v>326.8005</v>
      </c>
      <c r="M405" s="28">
        <f>1.725*0.45*19</f>
        <v>14.748750000000001</v>
      </c>
      <c r="N405" s="28">
        <f>SUM(L405:M405)</f>
        <v>341.54925000000003</v>
      </c>
      <c r="O405" s="28">
        <f>N405*105%</f>
        <v>358.62671250000005</v>
      </c>
    </row>
    <row r="406" spans="1:15" x14ac:dyDescent="0.2">
      <c r="A406" s="144" t="s">
        <v>165</v>
      </c>
      <c r="B406" s="198" t="s">
        <v>282</v>
      </c>
      <c r="C406" s="146"/>
      <c r="D406" s="147"/>
      <c r="E406" s="148"/>
      <c r="F406" s="149"/>
      <c r="G406" s="60">
        <f t="shared" si="84"/>
        <v>0</v>
      </c>
    </row>
    <row r="407" spans="1:15" ht="24" x14ac:dyDescent="0.2">
      <c r="A407" s="186" t="s">
        <v>184</v>
      </c>
      <c r="B407" s="142" t="s">
        <v>393</v>
      </c>
      <c r="C407" s="143" t="s">
        <v>357</v>
      </c>
      <c r="D407" s="91">
        <v>32.1</v>
      </c>
      <c r="E407" s="92"/>
      <c r="F407" s="59"/>
      <c r="G407" s="60">
        <f t="shared" si="84"/>
        <v>0</v>
      </c>
      <c r="I407" s="28">
        <f>8.3+1.2*2</f>
        <v>10.700000000000001</v>
      </c>
      <c r="J407" s="28">
        <f>I407*3</f>
        <v>32.1</v>
      </c>
    </row>
    <row r="408" spans="1:15" x14ac:dyDescent="0.2">
      <c r="A408" s="132" t="s">
        <v>153</v>
      </c>
      <c r="B408" s="197" t="s">
        <v>71</v>
      </c>
      <c r="C408" s="134"/>
      <c r="D408" s="135"/>
      <c r="E408" s="136"/>
      <c r="F408" s="137"/>
      <c r="G408" s="138"/>
    </row>
    <row r="409" spans="1:15" x14ac:dyDescent="0.2">
      <c r="A409" s="144" t="s">
        <v>164</v>
      </c>
      <c r="B409" s="198" t="s">
        <v>283</v>
      </c>
      <c r="C409" s="146"/>
      <c r="D409" s="147"/>
      <c r="E409" s="148"/>
      <c r="F409" s="149"/>
      <c r="G409" s="60">
        <f t="shared" ref="G409:G412" si="85">(D409*E409)+(D409*F409)</f>
        <v>0</v>
      </c>
    </row>
    <row r="410" spans="1:15" ht="24" x14ac:dyDescent="0.2">
      <c r="A410" s="186" t="s">
        <v>184</v>
      </c>
      <c r="B410" s="142" t="s">
        <v>393</v>
      </c>
      <c r="C410" s="143" t="s">
        <v>357</v>
      </c>
      <c r="D410" s="91">
        <v>303</v>
      </c>
      <c r="E410" s="92"/>
      <c r="F410" s="59"/>
      <c r="G410" s="60">
        <f t="shared" si="85"/>
        <v>0</v>
      </c>
      <c r="I410" s="28">
        <f>16.2+39.8*2+16.7+0.9+1.4</f>
        <v>114.80000000000001</v>
      </c>
      <c r="J410" s="28">
        <f>I410*3.05</f>
        <v>350.14</v>
      </c>
      <c r="K410" s="28">
        <v>61.6</v>
      </c>
      <c r="L410" s="28">
        <f>J410-K410</f>
        <v>288.53999999999996</v>
      </c>
      <c r="M410" s="28">
        <f>L410*105%</f>
        <v>302.96699999999998</v>
      </c>
    </row>
    <row r="411" spans="1:15" x14ac:dyDescent="0.2">
      <c r="A411" s="144" t="s">
        <v>165</v>
      </c>
      <c r="B411" s="198" t="s">
        <v>282</v>
      </c>
      <c r="C411" s="146"/>
      <c r="D411" s="147"/>
      <c r="E411" s="148"/>
      <c r="F411" s="149"/>
      <c r="G411" s="60">
        <f t="shared" si="85"/>
        <v>0</v>
      </c>
      <c r="M411" s="28">
        <f t="shared" ref="M411:M412" si="86">L411*105%</f>
        <v>0</v>
      </c>
    </row>
    <row r="412" spans="1:15" ht="24" x14ac:dyDescent="0.2">
      <c r="A412" s="186" t="s">
        <v>184</v>
      </c>
      <c r="B412" s="142" t="s">
        <v>393</v>
      </c>
      <c r="C412" s="143" t="s">
        <v>357</v>
      </c>
      <c r="D412" s="91">
        <v>119.3</v>
      </c>
      <c r="E412" s="92"/>
      <c r="F412" s="59"/>
      <c r="G412" s="60">
        <f t="shared" si="85"/>
        <v>0</v>
      </c>
      <c r="I412" s="28">
        <f>8.3*2+1.85*2+2.925*4+2.95*4</f>
        <v>43.8</v>
      </c>
      <c r="J412" s="28">
        <f>I412*3.05</f>
        <v>133.58999999999997</v>
      </c>
      <c r="K412" s="28">
        <v>20.04</v>
      </c>
      <c r="L412" s="28">
        <f>J412-K412</f>
        <v>113.54999999999998</v>
      </c>
      <c r="M412" s="28">
        <f t="shared" si="86"/>
        <v>119.22749999999999</v>
      </c>
    </row>
    <row r="413" spans="1:15" x14ac:dyDescent="0.2">
      <c r="A413" s="141"/>
      <c r="B413" s="199"/>
      <c r="C413" s="143"/>
      <c r="D413" s="91"/>
      <c r="E413" s="92"/>
      <c r="F413" s="59"/>
      <c r="G413" s="60"/>
      <c r="K413" s="139"/>
    </row>
    <row r="414" spans="1:15" ht="12.75" thickBot="1" x14ac:dyDescent="0.25">
      <c r="A414" s="151"/>
      <c r="B414" s="384"/>
      <c r="C414" s="153"/>
      <c r="D414" s="154"/>
      <c r="E414" s="182"/>
      <c r="F414" s="155"/>
      <c r="G414" s="156"/>
      <c r="K414" s="139"/>
    </row>
    <row r="415" spans="1:15" x14ac:dyDescent="0.2">
      <c r="A415" s="141"/>
      <c r="B415" s="199"/>
      <c r="C415" s="143"/>
      <c r="D415" s="91"/>
      <c r="E415" s="92"/>
      <c r="F415" s="59"/>
      <c r="G415" s="60"/>
      <c r="K415" s="139"/>
    </row>
    <row r="416" spans="1:15" x14ac:dyDescent="0.2">
      <c r="A416" s="118">
        <v>4.3</v>
      </c>
      <c r="B416" s="200" t="s">
        <v>107</v>
      </c>
      <c r="C416" s="131"/>
      <c r="D416" s="121"/>
      <c r="E416" s="122"/>
      <c r="F416" s="121"/>
      <c r="G416" s="201"/>
      <c r="K416" s="139"/>
    </row>
    <row r="417" spans="1:18" ht="109.5" customHeight="1" x14ac:dyDescent="0.2">
      <c r="A417" s="40"/>
      <c r="B417" s="62" t="s">
        <v>360</v>
      </c>
      <c r="C417" s="62"/>
      <c r="D417" s="62"/>
      <c r="E417" s="62"/>
      <c r="F417" s="62"/>
      <c r="G417" s="195"/>
    </row>
    <row r="418" spans="1:18" ht="40.5" customHeight="1" x14ac:dyDescent="0.2">
      <c r="A418" s="40"/>
      <c r="B418" s="62" t="s">
        <v>159</v>
      </c>
      <c r="C418" s="62"/>
      <c r="D418" s="62"/>
      <c r="E418" s="62"/>
      <c r="F418" s="194"/>
      <c r="G418" s="195"/>
    </row>
    <row r="419" spans="1:18" ht="51" customHeight="1" x14ac:dyDescent="0.2">
      <c r="A419" s="40"/>
      <c r="B419" s="62" t="s">
        <v>252</v>
      </c>
      <c r="C419" s="62"/>
      <c r="D419" s="62"/>
      <c r="E419" s="62"/>
      <c r="F419" s="194"/>
      <c r="G419" s="195"/>
    </row>
    <row r="420" spans="1:18" x14ac:dyDescent="0.2">
      <c r="A420" s="132" t="s">
        <v>151</v>
      </c>
      <c r="B420" s="197" t="s">
        <v>139</v>
      </c>
      <c r="C420" s="134"/>
      <c r="D420" s="135"/>
      <c r="E420" s="136"/>
      <c r="F420" s="137"/>
      <c r="G420" s="138"/>
    </row>
    <row r="421" spans="1:18" x14ac:dyDescent="0.2">
      <c r="A421" s="141" t="s">
        <v>164</v>
      </c>
      <c r="B421" s="196" t="s">
        <v>241</v>
      </c>
      <c r="C421" s="146"/>
      <c r="D421" s="147"/>
      <c r="E421" s="148"/>
      <c r="F421" s="149"/>
      <c r="G421" s="60"/>
    </row>
    <row r="422" spans="1:18" ht="13.5" x14ac:dyDescent="0.2">
      <c r="A422" s="141"/>
      <c r="B422" s="199" t="s">
        <v>239</v>
      </c>
      <c r="C422" s="143" t="s">
        <v>357</v>
      </c>
      <c r="D422" s="91">
        <f>D397*2</f>
        <v>387.8</v>
      </c>
      <c r="E422" s="92"/>
      <c r="F422" s="59"/>
      <c r="G422" s="60">
        <f t="shared" ref="G422" si="87">(D422*E422)+(D422*F422)</f>
        <v>0</v>
      </c>
    </row>
    <row r="423" spans="1:18" x14ac:dyDescent="0.2">
      <c r="A423" s="132" t="s">
        <v>152</v>
      </c>
      <c r="B423" s="197" t="s">
        <v>67</v>
      </c>
      <c r="C423" s="134"/>
      <c r="D423" s="135"/>
      <c r="E423" s="136"/>
      <c r="F423" s="137"/>
      <c r="G423" s="138"/>
    </row>
    <row r="424" spans="1:18" s="203" customFormat="1" ht="15" customHeight="1" x14ac:dyDescent="0.2">
      <c r="A424" s="144" t="s">
        <v>164</v>
      </c>
      <c r="B424" s="198" t="s">
        <v>236</v>
      </c>
      <c r="C424" s="146"/>
      <c r="D424" s="147"/>
      <c r="E424" s="148"/>
      <c r="F424" s="202"/>
      <c r="G424" s="60">
        <f t="shared" ref="G424:G425" si="88">(D424*E424)+(D424*F424)</f>
        <v>0</v>
      </c>
      <c r="I424" s="28">
        <f>13+15.3+8.7*3+2.3+28.5+1.4*2+17.2+13*2+9.8*2</f>
        <v>150.79999999999998</v>
      </c>
      <c r="J424" s="28">
        <f>I424*3.6</f>
        <v>542.88</v>
      </c>
      <c r="K424" s="28">
        <v>96.43</v>
      </c>
      <c r="L424" s="28">
        <f>J424-K424</f>
        <v>446.45</v>
      </c>
      <c r="M424" s="28">
        <f>2.1*0.45*10*2</f>
        <v>18.900000000000002</v>
      </c>
      <c r="N424" s="28">
        <f>SUM(L424:M424)</f>
        <v>465.34999999999997</v>
      </c>
      <c r="O424" s="28">
        <f>N424*105%</f>
        <v>488.61750000000001</v>
      </c>
      <c r="P424" s="28">
        <f>28.3+1.4+31.35+39.8+2.1+3.195</f>
        <v>106.14499999999998</v>
      </c>
      <c r="Q424" s="28">
        <f>P424*0.7</f>
        <v>74.301499999999976</v>
      </c>
      <c r="R424" s="28"/>
    </row>
    <row r="425" spans="1:18" ht="13.5" x14ac:dyDescent="0.2">
      <c r="A425" s="141"/>
      <c r="B425" s="199" t="s">
        <v>141</v>
      </c>
      <c r="C425" s="143" t="s">
        <v>357</v>
      </c>
      <c r="D425" s="91">
        <v>595.4</v>
      </c>
      <c r="E425" s="92"/>
      <c r="F425" s="59"/>
      <c r="G425" s="60">
        <f t="shared" si="88"/>
        <v>0</v>
      </c>
      <c r="I425" s="28">
        <f>1.4*2.95*15+1*3.05*9</f>
        <v>89.399999999999991</v>
      </c>
      <c r="J425" s="28">
        <f>I425+Q3922+O424</f>
        <v>578.01750000000004</v>
      </c>
      <c r="K425" s="28">
        <f>J425*103%</f>
        <v>595.35802500000011</v>
      </c>
    </row>
    <row r="426" spans="1:18" x14ac:dyDescent="0.2">
      <c r="A426" s="185" t="s">
        <v>165</v>
      </c>
      <c r="B426" s="189" t="s">
        <v>237</v>
      </c>
      <c r="C426" s="146"/>
      <c r="D426" s="147"/>
      <c r="E426" s="148"/>
      <c r="F426" s="149"/>
      <c r="G426" s="60">
        <f t="shared" ref="G426:G427" si="89">(D426*E426)+(D426*F426)</f>
        <v>0</v>
      </c>
    </row>
    <row r="427" spans="1:18" ht="25.5" customHeight="1" x14ac:dyDescent="0.2">
      <c r="A427" s="141"/>
      <c r="B427" s="142" t="s">
        <v>238</v>
      </c>
      <c r="C427" s="143" t="s">
        <v>357</v>
      </c>
      <c r="D427" s="91">
        <v>809.2</v>
      </c>
      <c r="E427" s="92"/>
      <c r="F427" s="59"/>
      <c r="G427" s="60">
        <f t="shared" si="89"/>
        <v>0</v>
      </c>
      <c r="I427" s="28">
        <f>9.3+7.8+8.05+7.8+3*2+7.8+4+2.1+2.42*2</f>
        <v>57.69</v>
      </c>
      <c r="J427" s="28">
        <f>I427*3.35</f>
        <v>193.26149999999998</v>
      </c>
      <c r="K427" s="28">
        <v>12.3</v>
      </c>
      <c r="L427" s="28">
        <f>J427-K427</f>
        <v>180.96149999999997</v>
      </c>
      <c r="M427" s="28">
        <f>L427*2</f>
        <v>361.92299999999994</v>
      </c>
      <c r="N427" s="28">
        <f>I424*3.35</f>
        <v>505.17999999999995</v>
      </c>
      <c r="O427" s="28">
        <f>N427-K424</f>
        <v>408.74999999999994</v>
      </c>
      <c r="P427" s="28">
        <f>O427+M427</f>
        <v>770.67299999999989</v>
      </c>
      <c r="Q427" s="28">
        <f>P427*105%</f>
        <v>809.20664999999997</v>
      </c>
    </row>
    <row r="428" spans="1:18" x14ac:dyDescent="0.2">
      <c r="A428" s="132" t="s">
        <v>57</v>
      </c>
      <c r="B428" s="197" t="s">
        <v>69</v>
      </c>
      <c r="C428" s="134"/>
      <c r="D428" s="135"/>
      <c r="E428" s="136"/>
      <c r="F428" s="137"/>
      <c r="G428" s="138"/>
    </row>
    <row r="429" spans="1:18" x14ac:dyDescent="0.2">
      <c r="A429" s="144" t="s">
        <v>164</v>
      </c>
      <c r="B429" s="198" t="s">
        <v>236</v>
      </c>
      <c r="C429" s="146"/>
      <c r="D429" s="147"/>
      <c r="E429" s="148"/>
      <c r="F429" s="202"/>
      <c r="G429" s="60">
        <f t="shared" ref="G429:G432" si="90">(D429*E429)+(D429*F429)</f>
        <v>0</v>
      </c>
    </row>
    <row r="430" spans="1:18" ht="13.5" x14ac:dyDescent="0.2">
      <c r="A430" s="141"/>
      <c r="B430" s="199" t="s">
        <v>141</v>
      </c>
      <c r="C430" s="143" t="s">
        <v>357</v>
      </c>
      <c r="D430" s="91">
        <v>472</v>
      </c>
      <c r="E430" s="92"/>
      <c r="F430" s="59"/>
      <c r="G430" s="60">
        <f t="shared" si="90"/>
        <v>0</v>
      </c>
      <c r="I430" s="28">
        <f>9.8+14.525+39.8*2+1.23+14.8+18.8+1.4</f>
        <v>140.155</v>
      </c>
      <c r="J430" s="28">
        <f>I430*3.55</f>
        <v>497.55025000000001</v>
      </c>
      <c r="K430" s="28">
        <v>107.68</v>
      </c>
      <c r="L430" s="28">
        <f>J430-K430</f>
        <v>389.87025</v>
      </c>
      <c r="M430" s="28">
        <f>2*0.45*19*2</f>
        <v>34.200000000000003</v>
      </c>
      <c r="N430" s="28">
        <f>(4*6+2.6)*1.8</f>
        <v>47.88</v>
      </c>
      <c r="O430" s="28">
        <f>L430+M430+N430</f>
        <v>471.95024999999998</v>
      </c>
    </row>
    <row r="431" spans="1:18" x14ac:dyDescent="0.2">
      <c r="A431" s="185" t="s">
        <v>165</v>
      </c>
      <c r="B431" s="189" t="s">
        <v>237</v>
      </c>
      <c r="C431" s="146"/>
      <c r="D431" s="147"/>
      <c r="E431" s="148"/>
      <c r="F431" s="149"/>
      <c r="G431" s="60">
        <f t="shared" si="90"/>
        <v>0</v>
      </c>
    </row>
    <row r="432" spans="1:18" ht="24" x14ac:dyDescent="0.2">
      <c r="A432" s="141"/>
      <c r="B432" s="142" t="s">
        <v>238</v>
      </c>
      <c r="C432" s="143" t="s">
        <v>357</v>
      </c>
      <c r="D432" s="91">
        <v>463.7</v>
      </c>
      <c r="E432" s="92"/>
      <c r="F432" s="59"/>
      <c r="G432" s="60">
        <f t="shared" si="90"/>
        <v>0</v>
      </c>
      <c r="I432" s="28">
        <f>8.3+1.2*2</f>
        <v>10.700000000000001</v>
      </c>
      <c r="J432" s="28">
        <f>I432*3.4*2</f>
        <v>72.760000000000005</v>
      </c>
      <c r="K432" s="28">
        <f>I430*3.4</f>
        <v>476.52699999999999</v>
      </c>
      <c r="L432" s="28">
        <f>K432-K430</f>
        <v>368.84699999999998</v>
      </c>
      <c r="M432" s="28">
        <f>L432+J432</f>
        <v>441.60699999999997</v>
      </c>
      <c r="N432" s="28">
        <f>M432*105%</f>
        <v>463.68734999999998</v>
      </c>
    </row>
    <row r="433" spans="1:19" x14ac:dyDescent="0.2">
      <c r="A433" s="132" t="s">
        <v>153</v>
      </c>
      <c r="B433" s="197" t="s">
        <v>71</v>
      </c>
      <c r="C433" s="134"/>
      <c r="D433" s="135"/>
      <c r="E433" s="136"/>
      <c r="F433" s="137"/>
      <c r="G433" s="138"/>
    </row>
    <row r="434" spans="1:19" x14ac:dyDescent="0.2">
      <c r="A434" s="144" t="s">
        <v>164</v>
      </c>
      <c r="B434" s="198" t="s">
        <v>236</v>
      </c>
      <c r="C434" s="146"/>
      <c r="D434" s="147"/>
      <c r="E434" s="148"/>
      <c r="F434" s="202"/>
      <c r="G434" s="60">
        <f t="shared" ref="G434:G437" si="91">(D434*E434)+(D434*F434)</f>
        <v>0</v>
      </c>
    </row>
    <row r="435" spans="1:19" ht="13.5" x14ac:dyDescent="0.2">
      <c r="A435" s="141"/>
      <c r="B435" s="199" t="s">
        <v>141</v>
      </c>
      <c r="C435" s="143" t="s">
        <v>357</v>
      </c>
      <c r="D435" s="91">
        <v>344.4</v>
      </c>
      <c r="E435" s="92"/>
      <c r="F435" s="59"/>
      <c r="G435" s="60">
        <f t="shared" si="91"/>
        <v>0</v>
      </c>
      <c r="I435" s="28">
        <f>16.2+39.8*2+16.7+0.9+1.4</f>
        <v>114.80000000000001</v>
      </c>
      <c r="J435" s="28">
        <f>I435*3.5</f>
        <v>401.80000000000007</v>
      </c>
      <c r="K435" s="28">
        <v>61.6</v>
      </c>
      <c r="L435" s="28">
        <f>J435-K435</f>
        <v>340.20000000000005</v>
      </c>
      <c r="M435" s="28">
        <f>L435*105%</f>
        <v>357.21000000000004</v>
      </c>
    </row>
    <row r="436" spans="1:19" x14ac:dyDescent="0.2">
      <c r="A436" s="185" t="s">
        <v>165</v>
      </c>
      <c r="B436" s="189" t="s">
        <v>237</v>
      </c>
      <c r="C436" s="146"/>
      <c r="D436" s="147"/>
      <c r="E436" s="148"/>
      <c r="F436" s="149"/>
      <c r="G436" s="60">
        <f t="shared" si="91"/>
        <v>0</v>
      </c>
      <c r="M436" s="28">
        <f t="shared" ref="M436" si="92">L436*105%</f>
        <v>0</v>
      </c>
    </row>
    <row r="437" spans="1:19" ht="24" x14ac:dyDescent="0.2">
      <c r="A437" s="141"/>
      <c r="B437" s="142" t="s">
        <v>238</v>
      </c>
      <c r="C437" s="143" t="s">
        <v>357</v>
      </c>
      <c r="D437" s="91">
        <v>747.15</v>
      </c>
      <c r="E437" s="92"/>
      <c r="F437" s="59"/>
      <c r="G437" s="60">
        <f t="shared" si="91"/>
        <v>0</v>
      </c>
      <c r="I437" s="28">
        <f>8.3*2+1.85*2+2.925*4+2.95*4</f>
        <v>43.8</v>
      </c>
      <c r="J437" s="28">
        <f>I437*3.5</f>
        <v>153.29999999999998</v>
      </c>
      <c r="K437" s="28">
        <v>20.04</v>
      </c>
      <c r="L437" s="28">
        <f>J437-K437</f>
        <v>133.26</v>
      </c>
      <c r="M437" s="28">
        <f>L437*2</f>
        <v>266.52</v>
      </c>
      <c r="N437" s="28">
        <f>I435*3.5</f>
        <v>401.80000000000007</v>
      </c>
      <c r="O437" s="28">
        <f>N437-K435</f>
        <v>340.20000000000005</v>
      </c>
      <c r="P437" s="28">
        <f>O437+M437</f>
        <v>606.72</v>
      </c>
      <c r="Q437" s="28">
        <f>K339*2.2</f>
        <v>104.83</v>
      </c>
      <c r="R437" s="28">
        <f>SUM(P437:Q437)</f>
        <v>711.55000000000007</v>
      </c>
      <c r="S437" s="28">
        <f>R437*105%</f>
        <v>747.12750000000005</v>
      </c>
    </row>
    <row r="438" spans="1:19" x14ac:dyDescent="0.2">
      <c r="A438" s="132" t="s">
        <v>154</v>
      </c>
      <c r="B438" s="197" t="s">
        <v>254</v>
      </c>
      <c r="C438" s="134"/>
      <c r="D438" s="135"/>
      <c r="E438" s="136"/>
      <c r="F438" s="137"/>
      <c r="G438" s="138"/>
    </row>
    <row r="439" spans="1:19" x14ac:dyDescent="0.2">
      <c r="A439" s="144" t="s">
        <v>164</v>
      </c>
      <c r="B439" s="198" t="s">
        <v>236</v>
      </c>
      <c r="C439" s="146"/>
      <c r="D439" s="147"/>
      <c r="E439" s="148"/>
      <c r="F439" s="202"/>
      <c r="G439" s="60">
        <f t="shared" ref="G439:G440" si="93">(D439*E439)+(D439*F439)</f>
        <v>0</v>
      </c>
    </row>
    <row r="440" spans="1:19" ht="13.5" x14ac:dyDescent="0.2">
      <c r="A440" s="141"/>
      <c r="B440" s="199" t="s">
        <v>141</v>
      </c>
      <c r="C440" s="143" t="s">
        <v>357</v>
      </c>
      <c r="D440" s="91">
        <v>55.2</v>
      </c>
      <c r="E440" s="92"/>
      <c r="F440" s="59"/>
      <c r="G440" s="60">
        <f t="shared" si="93"/>
        <v>0</v>
      </c>
      <c r="I440" s="28">
        <f>K364*1.4</f>
        <v>55.16</v>
      </c>
      <c r="K440" s="139"/>
      <c r="L440" s="139"/>
      <c r="O440" s="139"/>
    </row>
    <row r="441" spans="1:19" x14ac:dyDescent="0.2">
      <c r="A441" s="141"/>
      <c r="B441" s="142"/>
      <c r="C441" s="143"/>
      <c r="D441" s="91"/>
      <c r="E441" s="92"/>
      <c r="F441" s="59"/>
      <c r="G441" s="60"/>
      <c r="K441" s="139"/>
      <c r="L441" s="139"/>
      <c r="M441" s="139"/>
      <c r="N441" s="139"/>
    </row>
    <row r="442" spans="1:19" x14ac:dyDescent="0.2">
      <c r="A442" s="144" t="s">
        <v>274</v>
      </c>
      <c r="B442" s="196" t="s">
        <v>342</v>
      </c>
      <c r="C442" s="143"/>
      <c r="D442" s="91"/>
      <c r="E442" s="92"/>
      <c r="F442" s="59"/>
      <c r="G442" s="60"/>
    </row>
    <row r="443" spans="1:19" ht="33.75" customHeight="1" x14ac:dyDescent="0.2">
      <c r="A443" s="141"/>
      <c r="B443" s="142" t="s">
        <v>361</v>
      </c>
      <c r="C443" s="143" t="s">
        <v>15</v>
      </c>
      <c r="D443" s="91">
        <v>1</v>
      </c>
      <c r="E443" s="92"/>
      <c r="F443" s="59"/>
      <c r="G443" s="60">
        <f t="shared" ref="G443" si="94">(D443*E443)+(D443*F443)</f>
        <v>0</v>
      </c>
    </row>
    <row r="444" spans="1:19" x14ac:dyDescent="0.2">
      <c r="A444" s="185"/>
      <c r="B444" s="189"/>
      <c r="C444" s="143"/>
      <c r="D444" s="91"/>
      <c r="E444" s="92"/>
      <c r="F444" s="59"/>
      <c r="G444" s="60"/>
    </row>
    <row r="445" spans="1:19" x14ac:dyDescent="0.2">
      <c r="A445" s="185"/>
      <c r="B445" s="189"/>
      <c r="C445" s="143"/>
      <c r="D445" s="91"/>
      <c r="E445" s="92"/>
      <c r="F445" s="59"/>
      <c r="G445" s="60"/>
    </row>
    <row r="446" spans="1:19" x14ac:dyDescent="0.2">
      <c r="A446" s="185"/>
      <c r="B446" s="189"/>
      <c r="C446" s="143"/>
      <c r="D446" s="91"/>
      <c r="E446" s="92"/>
      <c r="F446" s="59"/>
      <c r="G446" s="60"/>
    </row>
    <row r="447" spans="1:19" x14ac:dyDescent="0.2">
      <c r="A447" s="185"/>
      <c r="B447" s="189"/>
      <c r="C447" s="143"/>
      <c r="D447" s="91"/>
      <c r="E447" s="92"/>
      <c r="F447" s="59"/>
      <c r="G447" s="60"/>
    </row>
    <row r="448" spans="1:19" x14ac:dyDescent="0.2">
      <c r="A448" s="185"/>
      <c r="B448" s="189"/>
      <c r="C448" s="143"/>
      <c r="D448" s="91"/>
      <c r="E448" s="92"/>
      <c r="F448" s="59"/>
      <c r="G448" s="60"/>
    </row>
    <row r="449" spans="1:15" x14ac:dyDescent="0.2">
      <c r="A449" s="185"/>
      <c r="B449" s="189"/>
      <c r="C449" s="143"/>
      <c r="D449" s="91"/>
      <c r="E449" s="92"/>
      <c r="F449" s="59"/>
      <c r="G449" s="60"/>
    </row>
    <row r="450" spans="1:15" x14ac:dyDescent="0.2">
      <c r="A450" s="185"/>
      <c r="B450" s="189"/>
      <c r="C450" s="143"/>
      <c r="D450" s="91"/>
      <c r="E450" s="92"/>
      <c r="F450" s="59"/>
      <c r="G450" s="60"/>
    </row>
    <row r="451" spans="1:15" ht="12.75" thickBot="1" x14ac:dyDescent="0.25">
      <c r="A451" s="185"/>
      <c r="B451" s="189"/>
      <c r="C451" s="143"/>
      <c r="D451" s="91"/>
      <c r="E451" s="92"/>
      <c r="F451" s="59"/>
      <c r="G451" s="60"/>
    </row>
    <row r="452" spans="1:15" x14ac:dyDescent="0.2">
      <c r="A452" s="68"/>
      <c r="B452" s="69" t="s">
        <v>149</v>
      </c>
      <c r="C452" s="113"/>
      <c r="D452" s="71"/>
      <c r="E452" s="72"/>
      <c r="F452" s="190"/>
      <c r="G452" s="191"/>
    </row>
    <row r="453" spans="1:15" ht="12.75" thickBot="1" x14ac:dyDescent="0.25">
      <c r="A453" s="73"/>
      <c r="B453" s="74" t="s">
        <v>197</v>
      </c>
      <c r="C453" s="114"/>
      <c r="D453" s="76"/>
      <c r="E453" s="77"/>
      <c r="F453" s="155"/>
      <c r="G453" s="192">
        <f>SUM(G396:G437)</f>
        <v>0</v>
      </c>
    </row>
    <row r="454" spans="1:15" x14ac:dyDescent="0.2">
      <c r="A454" s="40"/>
      <c r="B454" s="80"/>
      <c r="C454" s="56"/>
      <c r="D454" s="57"/>
      <c r="E454" s="44"/>
      <c r="F454" s="59"/>
      <c r="G454" s="150"/>
      <c r="K454" s="28">
        <f>(30.53+10.025+22.025+11.525)*2</f>
        <v>148.21</v>
      </c>
      <c r="L454" s="28">
        <f>5.525*8</f>
        <v>44.2</v>
      </c>
      <c r="M454" s="28">
        <f>K454-L454</f>
        <v>104.01</v>
      </c>
    </row>
    <row r="455" spans="1:15" x14ac:dyDescent="0.2">
      <c r="A455" s="204"/>
      <c r="B455" s="205" t="s">
        <v>108</v>
      </c>
      <c r="C455" s="206"/>
      <c r="D455" s="43"/>
      <c r="E455" s="207"/>
      <c r="F455" s="59"/>
      <c r="G455" s="60"/>
      <c r="K455" s="28">
        <f>18.45*2+11.45*2</f>
        <v>59.8</v>
      </c>
      <c r="N455" s="28">
        <f>M454+K455</f>
        <v>163.81</v>
      </c>
      <c r="O455" s="28">
        <f>N455/0.74</f>
        <v>221.36486486486487</v>
      </c>
    </row>
    <row r="456" spans="1:15" x14ac:dyDescent="0.2">
      <c r="A456" s="204"/>
      <c r="B456" s="208" t="s">
        <v>109</v>
      </c>
      <c r="C456" s="206"/>
      <c r="D456" s="43"/>
      <c r="E456" s="207"/>
      <c r="F456" s="59"/>
      <c r="G456" s="60"/>
      <c r="K456" s="28">
        <f>SUM(K454:K455)</f>
        <v>208.01</v>
      </c>
      <c r="L456" s="28">
        <f>K456*5.8</f>
        <v>1206.4579999999999</v>
      </c>
      <c r="M456" s="28">
        <f>L456/18.3</f>
        <v>65.926666666666662</v>
      </c>
    </row>
    <row r="457" spans="1:15" x14ac:dyDescent="0.2">
      <c r="A457" s="193" t="s">
        <v>110</v>
      </c>
      <c r="B457" s="51" t="s">
        <v>41</v>
      </c>
      <c r="C457" s="42"/>
      <c r="D457" s="43"/>
      <c r="E457" s="44"/>
      <c r="F457" s="59"/>
      <c r="G457" s="60"/>
    </row>
    <row r="458" spans="1:15" ht="49.5" customHeight="1" x14ac:dyDescent="0.2">
      <c r="A458" s="193"/>
      <c r="B458" s="62" t="s">
        <v>142</v>
      </c>
      <c r="C458" s="62"/>
      <c r="D458" s="62"/>
      <c r="E458" s="62"/>
      <c r="F458" s="62"/>
      <c r="G458" s="160"/>
    </row>
    <row r="459" spans="1:15" x14ac:dyDescent="0.2">
      <c r="A459" s="209" t="s">
        <v>144</v>
      </c>
      <c r="B459" s="210" t="s">
        <v>200</v>
      </c>
      <c r="C459" s="211"/>
      <c r="D459" s="212"/>
      <c r="E459" s="213"/>
      <c r="F459" s="214"/>
      <c r="G459" s="215"/>
    </row>
    <row r="460" spans="1:15" x14ac:dyDescent="0.2">
      <c r="A460" s="332"/>
      <c r="B460" s="333" t="s">
        <v>207</v>
      </c>
      <c r="C460" s="334"/>
      <c r="D460" s="335"/>
      <c r="E460" s="207"/>
      <c r="F460" s="180"/>
      <c r="G460" s="216"/>
    </row>
    <row r="461" spans="1:15" x14ac:dyDescent="0.2">
      <c r="A461" s="336" t="s">
        <v>151</v>
      </c>
      <c r="B461" s="337" t="s">
        <v>67</v>
      </c>
      <c r="C461" s="338"/>
      <c r="D461" s="339"/>
      <c r="E461" s="164"/>
      <c r="F461" s="165"/>
      <c r="G461" s="166">
        <f t="shared" ref="G461:G469" si="95">(D461*E461)+(D461*F461)</f>
        <v>0</v>
      </c>
    </row>
    <row r="462" spans="1:15" ht="13.5" x14ac:dyDescent="0.2">
      <c r="A462" s="332"/>
      <c r="B462" s="340" t="s">
        <v>284</v>
      </c>
      <c r="C462" s="334" t="s">
        <v>355</v>
      </c>
      <c r="D462" s="335">
        <v>205.84</v>
      </c>
      <c r="E462" s="179"/>
      <c r="F462" s="180"/>
      <c r="G462" s="216">
        <f t="shared" si="95"/>
        <v>0</v>
      </c>
      <c r="I462" s="28">
        <f>8.3*6.2*4</f>
        <v>205.84000000000003</v>
      </c>
      <c r="J462" s="28">
        <v>72.5</v>
      </c>
    </row>
    <row r="463" spans="1:15" ht="13.5" x14ac:dyDescent="0.2">
      <c r="A463" s="332"/>
      <c r="B463" s="340" t="s">
        <v>498</v>
      </c>
      <c r="C463" s="334" t="s">
        <v>355</v>
      </c>
      <c r="D463" s="335">
        <v>156.04</v>
      </c>
      <c r="E463" s="179"/>
      <c r="F463" s="180"/>
      <c r="G463" s="216">
        <f t="shared" ref="G463:G465" si="96">(D463*E463)+(D463*F463)</f>
        <v>0</v>
      </c>
      <c r="I463" s="28">
        <f>8.3*9.4*2</f>
        <v>156.04000000000002</v>
      </c>
      <c r="M463" s="139">
        <f>D462+D463+D464+D465+D467+D468+D469+D470+D466</f>
        <v>702.34999999999991</v>
      </c>
      <c r="N463" s="139">
        <f>M463-D470</f>
        <v>687.19999999999993</v>
      </c>
    </row>
    <row r="464" spans="1:15" ht="13.5" x14ac:dyDescent="0.2">
      <c r="A464" s="332"/>
      <c r="B464" s="340" t="s">
        <v>499</v>
      </c>
      <c r="C464" s="334" t="s">
        <v>355</v>
      </c>
      <c r="D464" s="335">
        <v>33.6</v>
      </c>
      <c r="E464" s="179"/>
      <c r="F464" s="180"/>
      <c r="G464" s="216">
        <f t="shared" si="96"/>
        <v>0</v>
      </c>
      <c r="I464" s="28">
        <f>5.6*3*2</f>
        <v>33.599999999999994</v>
      </c>
    </row>
    <row r="465" spans="1:14" ht="13.5" x14ac:dyDescent="0.2">
      <c r="A465" s="332"/>
      <c r="B465" s="340" t="s">
        <v>500</v>
      </c>
      <c r="C465" s="334" t="s">
        <v>355</v>
      </c>
      <c r="D465" s="335">
        <v>15.6</v>
      </c>
      <c r="E465" s="179"/>
      <c r="F465" s="180"/>
      <c r="G465" s="216">
        <f t="shared" si="96"/>
        <v>0</v>
      </c>
      <c r="I465" s="28">
        <f>5.2*3</f>
        <v>15.600000000000001</v>
      </c>
    </row>
    <row r="466" spans="1:14" ht="13.5" x14ac:dyDescent="0.2">
      <c r="A466" s="332"/>
      <c r="B466" s="340" t="s">
        <v>394</v>
      </c>
      <c r="C466" s="334" t="s">
        <v>355</v>
      </c>
      <c r="D466" s="335">
        <v>252.63</v>
      </c>
      <c r="E466" s="179"/>
      <c r="F466" s="180"/>
      <c r="G466" s="216">
        <f t="shared" si="95"/>
        <v>0</v>
      </c>
      <c r="I466" s="28">
        <f>3.2*8.7+31.1*4.15+13*2.6*2+28.3*1.4</f>
        <v>264.12500000000006</v>
      </c>
      <c r="J466" s="28">
        <f>0.925*1.3+4.475*2.3</f>
        <v>11.494999999999999</v>
      </c>
      <c r="K466" s="28">
        <f>I466-J466</f>
        <v>252.63000000000005</v>
      </c>
    </row>
    <row r="467" spans="1:14" ht="13.5" x14ac:dyDescent="0.2">
      <c r="A467" s="332"/>
      <c r="B467" s="340" t="s">
        <v>501</v>
      </c>
      <c r="C467" s="334" t="s">
        <v>355</v>
      </c>
      <c r="D467" s="335">
        <v>8.0150000000000006</v>
      </c>
      <c r="E467" s="179"/>
      <c r="F467" s="180"/>
      <c r="G467" s="216">
        <f t="shared" ref="G467:G468" si="97">(D467*E467)+(D467*F467)</f>
        <v>0</v>
      </c>
      <c r="I467" s="28">
        <f>2.425*2.1+1.425*1.025*2</f>
        <v>8.0137499999999999</v>
      </c>
    </row>
    <row r="468" spans="1:14" ht="13.5" x14ac:dyDescent="0.2">
      <c r="A468" s="332"/>
      <c r="B468" s="340" t="s">
        <v>503</v>
      </c>
      <c r="C468" s="334" t="s">
        <v>355</v>
      </c>
      <c r="D468" s="335">
        <v>0.77500000000000002</v>
      </c>
      <c r="E468" s="179"/>
      <c r="F468" s="180"/>
      <c r="G468" s="216">
        <f t="shared" si="97"/>
        <v>0</v>
      </c>
    </row>
    <row r="469" spans="1:14" ht="13.5" x14ac:dyDescent="0.2">
      <c r="A469" s="332"/>
      <c r="B469" s="340" t="s">
        <v>496</v>
      </c>
      <c r="C469" s="334" t="s">
        <v>355</v>
      </c>
      <c r="D469" s="335">
        <v>14.7</v>
      </c>
      <c r="E469" s="179"/>
      <c r="F469" s="180"/>
      <c r="G469" s="216">
        <f t="shared" si="95"/>
        <v>0</v>
      </c>
      <c r="I469" s="139">
        <f>3.9*2.6</f>
        <v>10.14</v>
      </c>
      <c r="J469" s="28">
        <f>1.3*0.175*20</f>
        <v>4.55</v>
      </c>
      <c r="K469" s="139"/>
      <c r="L469" s="139">
        <f>SUM(I469:K469)</f>
        <v>14.690000000000001</v>
      </c>
    </row>
    <row r="470" spans="1:14" ht="13.5" x14ac:dyDescent="0.2">
      <c r="A470" s="332"/>
      <c r="B470" s="340" t="s">
        <v>497</v>
      </c>
      <c r="C470" s="334" t="s">
        <v>355</v>
      </c>
      <c r="D470" s="335">
        <v>15.15</v>
      </c>
      <c r="E470" s="179"/>
      <c r="F470" s="180"/>
      <c r="G470" s="216">
        <f t="shared" ref="G470" si="98">(D470*E470)+(D470*F470)</f>
        <v>0</v>
      </c>
      <c r="I470" s="139"/>
      <c r="K470" s="139"/>
      <c r="L470" s="139"/>
    </row>
    <row r="471" spans="1:14" ht="13.5" x14ac:dyDescent="0.2">
      <c r="A471" s="332"/>
      <c r="B471" s="340" t="s">
        <v>502</v>
      </c>
      <c r="C471" s="334" t="s">
        <v>355</v>
      </c>
      <c r="D471" s="335">
        <v>23.12</v>
      </c>
      <c r="E471" s="179"/>
      <c r="F471" s="180"/>
      <c r="G471" s="216">
        <f t="shared" ref="G471" si="99">(D471*E471)+(D471*F471)</f>
        <v>0</v>
      </c>
      <c r="I471" s="139">
        <f>2.95+31.1+1.875+2.6</f>
        <v>38.525000000000006</v>
      </c>
      <c r="J471" s="139">
        <f>I471*0.6</f>
        <v>23.115000000000002</v>
      </c>
      <c r="K471" s="139"/>
      <c r="L471" s="139"/>
    </row>
    <row r="472" spans="1:14" x14ac:dyDescent="0.2">
      <c r="A472" s="332"/>
      <c r="B472" s="340"/>
      <c r="C472" s="334"/>
      <c r="D472" s="335"/>
      <c r="E472" s="179"/>
      <c r="F472" s="180"/>
      <c r="G472" s="216"/>
      <c r="I472" s="139"/>
      <c r="K472" s="139"/>
    </row>
    <row r="473" spans="1:14" x14ac:dyDescent="0.2">
      <c r="A473" s="336" t="s">
        <v>152</v>
      </c>
      <c r="B473" s="337" t="s">
        <v>69</v>
      </c>
      <c r="C473" s="338"/>
      <c r="D473" s="339"/>
      <c r="E473" s="164"/>
      <c r="F473" s="165"/>
      <c r="G473" s="166">
        <f t="shared" ref="G473:G479" si="100">(D473*E473)+(D473*F473)</f>
        <v>0</v>
      </c>
    </row>
    <row r="474" spans="1:14" ht="13.5" x14ac:dyDescent="0.2">
      <c r="A474" s="332"/>
      <c r="B474" s="340" t="s">
        <v>284</v>
      </c>
      <c r="C474" s="334" t="s">
        <v>355</v>
      </c>
      <c r="D474" s="335">
        <v>102.92</v>
      </c>
      <c r="E474" s="179"/>
      <c r="F474" s="180"/>
      <c r="G474" s="216">
        <f t="shared" si="100"/>
        <v>0</v>
      </c>
      <c r="I474" s="28">
        <f>8.3*6.2*2</f>
        <v>102.92000000000002</v>
      </c>
      <c r="J474" s="28">
        <v>72.5</v>
      </c>
    </row>
    <row r="475" spans="1:14" ht="13.5" x14ac:dyDescent="0.2">
      <c r="A475" s="332"/>
      <c r="B475" s="340" t="s">
        <v>505</v>
      </c>
      <c r="C475" s="334" t="s">
        <v>355</v>
      </c>
      <c r="D475" s="335">
        <v>458</v>
      </c>
      <c r="E475" s="179"/>
      <c r="F475" s="180"/>
      <c r="G475" s="216">
        <f t="shared" si="100"/>
        <v>0</v>
      </c>
      <c r="I475" s="28">
        <f>28.1*16.3</f>
        <v>458.03000000000003</v>
      </c>
    </row>
    <row r="476" spans="1:14" ht="13.5" x14ac:dyDescent="0.2">
      <c r="A476" s="332"/>
      <c r="B476" s="340" t="s">
        <v>395</v>
      </c>
      <c r="C476" s="334" t="s">
        <v>355</v>
      </c>
      <c r="D476" s="335">
        <v>55.95</v>
      </c>
      <c r="E476" s="179"/>
      <c r="F476" s="180"/>
      <c r="G476" s="216">
        <f t="shared" si="100"/>
        <v>0</v>
      </c>
      <c r="I476" s="28">
        <f>28.325*1.975</f>
        <v>55.941875000000003</v>
      </c>
      <c r="L476" s="28">
        <f>SUM(I476:K476)</f>
        <v>55.941875000000003</v>
      </c>
    </row>
    <row r="477" spans="1:14" ht="13.5" x14ac:dyDescent="0.2">
      <c r="A477" s="332"/>
      <c r="B477" s="340" t="s">
        <v>508</v>
      </c>
      <c r="C477" s="334" t="s">
        <v>355</v>
      </c>
      <c r="D477" s="335">
        <v>46.502499999999998</v>
      </c>
      <c r="E477" s="179"/>
      <c r="F477" s="180"/>
      <c r="G477" s="216">
        <f t="shared" si="100"/>
        <v>0</v>
      </c>
      <c r="I477" s="28">
        <f>14.525*2.6+5.825*1.5</f>
        <v>46.502499999999998</v>
      </c>
    </row>
    <row r="478" spans="1:14" ht="13.5" x14ac:dyDescent="0.2">
      <c r="A478" s="332"/>
      <c r="B478" s="340" t="s">
        <v>286</v>
      </c>
      <c r="C478" s="334" t="s">
        <v>355</v>
      </c>
      <c r="D478" s="335">
        <v>14.7</v>
      </c>
      <c r="E478" s="179"/>
      <c r="F478" s="180"/>
      <c r="G478" s="216">
        <f t="shared" si="100"/>
        <v>0</v>
      </c>
      <c r="I478" s="139">
        <f>4.22*3.025</f>
        <v>12.765499999999999</v>
      </c>
      <c r="J478" s="28">
        <f>1.5*0.175*20</f>
        <v>5.2499999999999991</v>
      </c>
      <c r="K478" s="139">
        <f>SUM(I478:J478)</f>
        <v>18.015499999999999</v>
      </c>
      <c r="N478" s="26"/>
    </row>
    <row r="479" spans="1:14" ht="13.5" x14ac:dyDescent="0.2">
      <c r="A479" s="332"/>
      <c r="B479" s="340" t="s">
        <v>375</v>
      </c>
      <c r="C479" s="334" t="s">
        <v>355</v>
      </c>
      <c r="D479" s="335">
        <v>6.45</v>
      </c>
      <c r="E479" s="179"/>
      <c r="F479" s="180"/>
      <c r="G479" s="216">
        <f t="shared" si="100"/>
        <v>0</v>
      </c>
      <c r="I479" s="139">
        <f>1.35*2.325+1.1*1.5*2</f>
        <v>6.4387500000000006</v>
      </c>
      <c r="K479" s="139"/>
    </row>
    <row r="480" spans="1:14" x14ac:dyDescent="0.2">
      <c r="A480" s="332"/>
      <c r="B480" s="340"/>
      <c r="C480" s="334"/>
      <c r="D480" s="335"/>
      <c r="E480" s="179"/>
      <c r="F480" s="180"/>
      <c r="G480" s="216"/>
      <c r="I480" s="139"/>
      <c r="K480" s="139"/>
    </row>
    <row r="481" spans="1:11" x14ac:dyDescent="0.2">
      <c r="A481" s="336" t="s">
        <v>57</v>
      </c>
      <c r="B481" s="337" t="s">
        <v>71</v>
      </c>
      <c r="C481" s="338"/>
      <c r="D481" s="339"/>
      <c r="E481" s="164"/>
      <c r="F481" s="165"/>
      <c r="G481" s="166">
        <f t="shared" ref="G481:G485" si="101">(D481*E481)+(D481*F481)</f>
        <v>0</v>
      </c>
      <c r="I481" s="139"/>
    </row>
    <row r="482" spans="1:11" ht="13.5" x14ac:dyDescent="0.2">
      <c r="A482" s="332"/>
      <c r="B482" s="340" t="s">
        <v>284</v>
      </c>
      <c r="C482" s="334" t="s">
        <v>355</v>
      </c>
      <c r="D482" s="335">
        <v>102.92</v>
      </c>
      <c r="E482" s="179"/>
      <c r="F482" s="180"/>
      <c r="G482" s="216">
        <f t="shared" si="101"/>
        <v>0</v>
      </c>
      <c r="I482" s="28">
        <f>51.46*2</f>
        <v>102.92</v>
      </c>
    </row>
    <row r="483" spans="1:11" ht="13.5" x14ac:dyDescent="0.2">
      <c r="A483" s="332"/>
      <c r="B483" s="340" t="s">
        <v>285</v>
      </c>
      <c r="C483" s="334" t="s">
        <v>355</v>
      </c>
      <c r="D483" s="335">
        <v>24.9</v>
      </c>
      <c r="E483" s="179"/>
      <c r="F483" s="180"/>
      <c r="G483" s="216">
        <f t="shared" ref="G483" si="102">(D483*E483)+(D483*F483)</f>
        <v>0</v>
      </c>
      <c r="I483" s="28">
        <f>8.3*3</f>
        <v>24.900000000000002</v>
      </c>
    </row>
    <row r="484" spans="1:11" ht="13.5" x14ac:dyDescent="0.2">
      <c r="A484" s="332"/>
      <c r="B484" s="340" t="s">
        <v>508</v>
      </c>
      <c r="C484" s="334" t="s">
        <v>355</v>
      </c>
      <c r="D484" s="335">
        <v>32.299999999999997</v>
      </c>
      <c r="E484" s="179"/>
      <c r="F484" s="180"/>
      <c r="G484" s="216">
        <f t="shared" si="101"/>
        <v>0</v>
      </c>
      <c r="I484" s="28">
        <f>12.425*2.6</f>
        <v>32.305</v>
      </c>
    </row>
    <row r="485" spans="1:11" ht="13.5" x14ac:dyDescent="0.2">
      <c r="A485" s="332"/>
      <c r="B485" s="340" t="s">
        <v>509</v>
      </c>
      <c r="C485" s="334" t="s">
        <v>355</v>
      </c>
      <c r="D485" s="335">
        <v>77.900000000000006</v>
      </c>
      <c r="E485" s="179"/>
      <c r="F485" s="180"/>
      <c r="G485" s="216">
        <f t="shared" si="101"/>
        <v>0</v>
      </c>
      <c r="I485" s="139">
        <f>19.75*1.425*2+13.5*1.6</f>
        <v>77.887500000000003</v>
      </c>
      <c r="K485" s="139"/>
    </row>
    <row r="486" spans="1:11" x14ac:dyDescent="0.2">
      <c r="A486" s="336" t="s">
        <v>153</v>
      </c>
      <c r="B486" s="337" t="s">
        <v>254</v>
      </c>
      <c r="C486" s="338"/>
      <c r="D486" s="339"/>
      <c r="E486" s="164"/>
      <c r="F486" s="165"/>
      <c r="G486" s="166">
        <f t="shared" ref="G486:G487" si="103">(D486*E486)+(D486*F486)</f>
        <v>0</v>
      </c>
      <c r="J486" s="28">
        <f>3.9*2.6</f>
        <v>10.14</v>
      </c>
      <c r="K486" s="139">
        <f>D486+J486</f>
        <v>10.14</v>
      </c>
    </row>
    <row r="487" spans="1:11" ht="13.5" x14ac:dyDescent="0.2">
      <c r="A487" s="332"/>
      <c r="B487" s="340" t="s">
        <v>396</v>
      </c>
      <c r="C487" s="334" t="s">
        <v>355</v>
      </c>
      <c r="D487" s="335">
        <v>43.45</v>
      </c>
      <c r="E487" s="179"/>
      <c r="F487" s="180"/>
      <c r="G487" s="216">
        <f t="shared" si="103"/>
        <v>0</v>
      </c>
      <c r="I487" s="28">
        <f>16.7*2.6</f>
        <v>43.42</v>
      </c>
    </row>
    <row r="488" spans="1:11" x14ac:dyDescent="0.2">
      <c r="A488" s="332"/>
      <c r="B488" s="340"/>
      <c r="C488" s="334"/>
      <c r="D488" s="335"/>
      <c r="E488" s="179"/>
      <c r="F488" s="180"/>
      <c r="G488" s="216"/>
    </row>
    <row r="489" spans="1:11" x14ac:dyDescent="0.2">
      <c r="A489" s="332"/>
      <c r="B489" s="340"/>
      <c r="C489" s="334"/>
      <c r="D489" s="335"/>
      <c r="E489" s="179"/>
      <c r="F489" s="180"/>
      <c r="G489" s="216"/>
    </row>
    <row r="490" spans="1:11" x14ac:dyDescent="0.2">
      <c r="A490" s="332"/>
      <c r="B490" s="340"/>
      <c r="C490" s="334"/>
      <c r="D490" s="335"/>
      <c r="E490" s="179"/>
      <c r="F490" s="180"/>
      <c r="G490" s="216"/>
    </row>
    <row r="491" spans="1:11" x14ac:dyDescent="0.2">
      <c r="A491" s="332"/>
      <c r="B491" s="340"/>
      <c r="C491" s="334"/>
      <c r="D491" s="335"/>
      <c r="E491" s="179"/>
      <c r="F491" s="180"/>
      <c r="G491" s="216"/>
    </row>
    <row r="492" spans="1:11" x14ac:dyDescent="0.2">
      <c r="A492" s="332"/>
      <c r="B492" s="340"/>
      <c r="C492" s="334"/>
      <c r="D492" s="335"/>
      <c r="E492" s="179"/>
      <c r="F492" s="180"/>
      <c r="G492" s="216"/>
    </row>
    <row r="493" spans="1:11" x14ac:dyDescent="0.2">
      <c r="A493" s="332"/>
      <c r="B493" s="340"/>
      <c r="C493" s="334"/>
      <c r="D493" s="335"/>
      <c r="E493" s="179"/>
      <c r="F493" s="180"/>
      <c r="G493" s="216"/>
    </row>
    <row r="494" spans="1:11" x14ac:dyDescent="0.2">
      <c r="A494" s="332"/>
      <c r="B494" s="340"/>
      <c r="C494" s="334"/>
      <c r="D494" s="335"/>
      <c r="E494" s="179"/>
      <c r="F494" s="180"/>
      <c r="G494" s="216"/>
    </row>
    <row r="495" spans="1:11" x14ac:dyDescent="0.2">
      <c r="A495" s="332"/>
      <c r="B495" s="340"/>
      <c r="C495" s="334"/>
      <c r="D495" s="335"/>
      <c r="E495" s="179"/>
      <c r="F495" s="180"/>
      <c r="G495" s="216"/>
    </row>
    <row r="496" spans="1:11" x14ac:dyDescent="0.2">
      <c r="A496" s="332"/>
      <c r="B496" s="340"/>
      <c r="C496" s="334"/>
      <c r="D496" s="335"/>
      <c r="E496" s="179"/>
      <c r="F496" s="180"/>
      <c r="G496" s="216"/>
    </row>
    <row r="497" spans="1:7" x14ac:dyDescent="0.2">
      <c r="A497" s="332"/>
      <c r="B497" s="340"/>
      <c r="C497" s="334"/>
      <c r="D497" s="335"/>
      <c r="E497" s="179"/>
      <c r="F497" s="180"/>
      <c r="G497" s="216"/>
    </row>
    <row r="498" spans="1:7" x14ac:dyDescent="0.2">
      <c r="A498" s="332"/>
      <c r="B498" s="340"/>
      <c r="C498" s="334"/>
      <c r="D498" s="335"/>
      <c r="E498" s="179"/>
      <c r="F498" s="180"/>
      <c r="G498" s="216"/>
    </row>
    <row r="499" spans="1:7" x14ac:dyDescent="0.2">
      <c r="A499" s="332"/>
      <c r="B499" s="340"/>
      <c r="C499" s="334"/>
      <c r="D499" s="335"/>
      <c r="E499" s="179"/>
      <c r="F499" s="180"/>
      <c r="G499" s="216"/>
    </row>
    <row r="500" spans="1:7" x14ac:dyDescent="0.2">
      <c r="A500" s="332"/>
      <c r="B500" s="340"/>
      <c r="C500" s="334"/>
      <c r="D500" s="335"/>
      <c r="E500" s="179"/>
      <c r="F500" s="180"/>
      <c r="G500" s="216"/>
    </row>
    <row r="501" spans="1:7" x14ac:dyDescent="0.2">
      <c r="A501" s="332"/>
      <c r="B501" s="340"/>
      <c r="C501" s="334"/>
      <c r="D501" s="335"/>
      <c r="E501" s="179"/>
      <c r="F501" s="180"/>
      <c r="G501" s="216"/>
    </row>
    <row r="502" spans="1:7" x14ac:dyDescent="0.2">
      <c r="A502" s="332"/>
      <c r="B502" s="340"/>
      <c r="C502" s="334"/>
      <c r="D502" s="335"/>
      <c r="E502" s="179"/>
      <c r="F502" s="180"/>
      <c r="G502" s="216"/>
    </row>
    <row r="503" spans="1:7" x14ac:dyDescent="0.2">
      <c r="A503" s="332"/>
      <c r="B503" s="340"/>
      <c r="C503" s="334"/>
      <c r="D503" s="335"/>
      <c r="E503" s="179"/>
      <c r="F503" s="180"/>
      <c r="G503" s="216"/>
    </row>
    <row r="504" spans="1:7" x14ac:dyDescent="0.2">
      <c r="A504" s="332"/>
      <c r="B504" s="340"/>
      <c r="C504" s="334"/>
      <c r="D504" s="335"/>
      <c r="E504" s="179"/>
      <c r="F504" s="180"/>
      <c r="G504" s="216"/>
    </row>
    <row r="505" spans="1:7" x14ac:dyDescent="0.2">
      <c r="A505" s="332"/>
      <c r="B505" s="340"/>
      <c r="C505" s="334"/>
      <c r="D505" s="335"/>
      <c r="E505" s="179"/>
      <c r="F505" s="180"/>
      <c r="G505" s="216"/>
    </row>
    <row r="506" spans="1:7" ht="12.75" thickBot="1" x14ac:dyDescent="0.25">
      <c r="A506" s="367"/>
      <c r="B506" s="368"/>
      <c r="C506" s="342"/>
      <c r="D506" s="343"/>
      <c r="E506" s="183"/>
      <c r="F506" s="184"/>
      <c r="G506" s="369"/>
    </row>
    <row r="507" spans="1:7" x14ac:dyDescent="0.2">
      <c r="A507" s="332"/>
      <c r="B507" s="340"/>
      <c r="C507" s="334"/>
      <c r="D507" s="335"/>
      <c r="E507" s="179"/>
      <c r="F507" s="180"/>
      <c r="G507" s="216"/>
    </row>
    <row r="508" spans="1:7" x14ac:dyDescent="0.2">
      <c r="A508" s="209" t="s">
        <v>145</v>
      </c>
      <c r="B508" s="210" t="s">
        <v>146</v>
      </c>
      <c r="C508" s="217"/>
      <c r="D508" s="218"/>
      <c r="E508" s="213"/>
      <c r="F508" s="214"/>
      <c r="G508" s="215"/>
    </row>
    <row r="509" spans="1:7" ht="35.25" customHeight="1" x14ac:dyDescent="0.2">
      <c r="A509" s="193"/>
      <c r="B509" s="411" t="s">
        <v>227</v>
      </c>
      <c r="C509" s="412"/>
      <c r="D509" s="412"/>
      <c r="E509" s="413"/>
      <c r="F509" s="62"/>
      <c r="G509" s="160"/>
    </row>
    <row r="510" spans="1:7" ht="15.75" customHeight="1" x14ac:dyDescent="0.2">
      <c r="A510" s="219"/>
      <c r="B510" s="411" t="s">
        <v>228</v>
      </c>
      <c r="C510" s="412"/>
      <c r="D510" s="412"/>
      <c r="E510" s="413"/>
      <c r="F510" s="62"/>
      <c r="G510" s="160"/>
    </row>
    <row r="511" spans="1:7" ht="28.5" customHeight="1" x14ac:dyDescent="0.2">
      <c r="A511" s="219"/>
      <c r="B511" s="411" t="s">
        <v>507</v>
      </c>
      <c r="C511" s="412"/>
      <c r="D511" s="412"/>
      <c r="E511" s="413"/>
      <c r="F511" s="62"/>
      <c r="G511" s="160"/>
    </row>
    <row r="512" spans="1:7" ht="37.5" customHeight="1" x14ac:dyDescent="0.2">
      <c r="A512" s="219"/>
      <c r="B512" s="411" t="s">
        <v>287</v>
      </c>
      <c r="C512" s="412"/>
      <c r="D512" s="412"/>
      <c r="E512" s="413"/>
      <c r="F512" s="62"/>
      <c r="G512" s="160"/>
    </row>
    <row r="513" spans="1:13" x14ac:dyDescent="0.2">
      <c r="A513" s="336" t="s">
        <v>151</v>
      </c>
      <c r="B513" s="337" t="s">
        <v>67</v>
      </c>
      <c r="C513" s="338"/>
      <c r="D513" s="339"/>
      <c r="E513" s="220"/>
      <c r="F513" s="165"/>
      <c r="G513" s="166"/>
    </row>
    <row r="514" spans="1:13" x14ac:dyDescent="0.2">
      <c r="A514" s="332" t="s">
        <v>229</v>
      </c>
      <c r="B514" s="341" t="s">
        <v>224</v>
      </c>
      <c r="C514" s="334"/>
      <c r="D514" s="335"/>
      <c r="E514" s="179"/>
      <c r="F514" s="180"/>
      <c r="G514" s="216"/>
      <c r="I514" s="221"/>
      <c r="J514" s="222"/>
      <c r="K514" s="223"/>
    </row>
    <row r="515" spans="1:13" x14ac:dyDescent="0.2">
      <c r="A515" s="332" t="s">
        <v>164</v>
      </c>
      <c r="B515" s="341" t="s">
        <v>506</v>
      </c>
      <c r="C515" s="334"/>
      <c r="D515" s="335"/>
      <c r="E515" s="179"/>
      <c r="F515" s="180"/>
      <c r="G515" s="216"/>
      <c r="I515" s="221"/>
      <c r="J515" s="222"/>
      <c r="K515" s="223"/>
    </row>
    <row r="516" spans="1:13" ht="13.5" x14ac:dyDescent="0.2">
      <c r="A516" s="332"/>
      <c r="B516" s="340" t="s">
        <v>284</v>
      </c>
      <c r="C516" s="334" t="s">
        <v>355</v>
      </c>
      <c r="D516" s="335">
        <v>205.84</v>
      </c>
      <c r="E516" s="179"/>
      <c r="F516" s="180"/>
      <c r="G516" s="216">
        <f t="shared" ref="G516:G519" si="104">(D516*E516)+(D516*F516)</f>
        <v>0</v>
      </c>
      <c r="I516" s="221"/>
      <c r="J516" s="222"/>
      <c r="K516" s="223"/>
    </row>
    <row r="517" spans="1:13" ht="13.5" x14ac:dyDescent="0.2">
      <c r="A517" s="332"/>
      <c r="B517" s="340" t="s">
        <v>498</v>
      </c>
      <c r="C517" s="334" t="s">
        <v>355</v>
      </c>
      <c r="D517" s="335">
        <v>156.04</v>
      </c>
      <c r="E517" s="179"/>
      <c r="F517" s="180"/>
      <c r="G517" s="216">
        <f t="shared" si="104"/>
        <v>0</v>
      </c>
      <c r="I517" s="221"/>
      <c r="J517" s="222"/>
      <c r="K517" s="223"/>
    </row>
    <row r="518" spans="1:13" ht="13.5" x14ac:dyDescent="0.2">
      <c r="A518" s="332"/>
      <c r="B518" s="340" t="s">
        <v>499</v>
      </c>
      <c r="C518" s="334" t="s">
        <v>355</v>
      </c>
      <c r="D518" s="335">
        <v>33.6</v>
      </c>
      <c r="E518" s="179"/>
      <c r="F518" s="180"/>
      <c r="G518" s="216">
        <f t="shared" si="104"/>
        <v>0</v>
      </c>
      <c r="I518" s="221"/>
      <c r="J518" s="222"/>
      <c r="K518" s="223"/>
    </row>
    <row r="519" spans="1:13" ht="13.5" x14ac:dyDescent="0.2">
      <c r="A519" s="332"/>
      <c r="B519" s="340" t="s">
        <v>500</v>
      </c>
      <c r="C519" s="334" t="s">
        <v>355</v>
      </c>
      <c r="D519" s="335">
        <v>15.6</v>
      </c>
      <c r="E519" s="179"/>
      <c r="F519" s="180"/>
      <c r="G519" s="216">
        <f t="shared" si="104"/>
        <v>0</v>
      </c>
      <c r="I519" s="221"/>
      <c r="J519" s="222"/>
      <c r="K519" s="223"/>
    </row>
    <row r="520" spans="1:13" x14ac:dyDescent="0.2">
      <c r="A520" s="332"/>
      <c r="B520" s="340"/>
      <c r="C520" s="334"/>
      <c r="D520" s="335"/>
      <c r="E520" s="179"/>
      <c r="F520" s="180"/>
      <c r="G520" s="216"/>
      <c r="I520" s="221"/>
      <c r="J520" s="222"/>
      <c r="K520" s="223"/>
    </row>
    <row r="521" spans="1:13" x14ac:dyDescent="0.2">
      <c r="A521" s="332" t="s">
        <v>165</v>
      </c>
      <c r="B521" s="341" t="s">
        <v>399</v>
      </c>
      <c r="C521" s="334"/>
      <c r="D521" s="335"/>
      <c r="E521" s="179"/>
      <c r="F521" s="180"/>
      <c r="G521" s="216"/>
      <c r="I521" s="221"/>
      <c r="J521" s="222"/>
      <c r="K521" s="223"/>
    </row>
    <row r="522" spans="1:13" ht="13.5" x14ac:dyDescent="0.2">
      <c r="A522" s="332"/>
      <c r="B522" s="340" t="s">
        <v>394</v>
      </c>
      <c r="C522" s="334" t="s">
        <v>355</v>
      </c>
      <c r="D522" s="335">
        <v>252.63</v>
      </c>
      <c r="E522" s="179"/>
      <c r="F522" s="180"/>
      <c r="G522" s="216">
        <f t="shared" ref="G522" si="105">(D522*E522)+(D522*F522)</f>
        <v>0</v>
      </c>
      <c r="I522" s="221"/>
      <c r="J522" s="222"/>
      <c r="K522" s="223"/>
      <c r="M522" s="168"/>
    </row>
    <row r="523" spans="1:13" x14ac:dyDescent="0.2">
      <c r="A523" s="332" t="s">
        <v>175</v>
      </c>
      <c r="B523" s="341" t="s">
        <v>242</v>
      </c>
      <c r="C523" s="334"/>
      <c r="D523" s="335"/>
      <c r="E523" s="179"/>
      <c r="F523" s="180"/>
      <c r="G523" s="216"/>
    </row>
    <row r="524" spans="1:13" ht="13.5" x14ac:dyDescent="0.2">
      <c r="A524" s="332"/>
      <c r="B524" s="340" t="s">
        <v>496</v>
      </c>
      <c r="C524" s="334" t="s">
        <v>355</v>
      </c>
      <c r="D524" s="335">
        <v>14.7</v>
      </c>
      <c r="E524" s="179"/>
      <c r="F524" s="180"/>
      <c r="G524" s="216">
        <f t="shared" ref="G524:G526" si="106">(D524*E524)+(D524*F524)</f>
        <v>0</v>
      </c>
      <c r="I524" s="28">
        <f>2.1*1.8</f>
        <v>3.7800000000000002</v>
      </c>
      <c r="J524" s="28">
        <f>0.9*0.18*17</f>
        <v>2.754</v>
      </c>
      <c r="K524" s="28">
        <f>SUM(I524:J524)</f>
        <v>6.5340000000000007</v>
      </c>
    </row>
    <row r="525" spans="1:13" ht="13.5" x14ac:dyDescent="0.2">
      <c r="A525" s="332"/>
      <c r="B525" s="340" t="s">
        <v>497</v>
      </c>
      <c r="C525" s="334" t="s">
        <v>355</v>
      </c>
      <c r="D525" s="335">
        <v>15.15</v>
      </c>
      <c r="E525" s="179"/>
      <c r="F525" s="180"/>
      <c r="G525" s="216">
        <f t="shared" si="106"/>
        <v>0</v>
      </c>
    </row>
    <row r="526" spans="1:13" ht="13.5" x14ac:dyDescent="0.2">
      <c r="A526" s="332"/>
      <c r="B526" s="340" t="s">
        <v>502</v>
      </c>
      <c r="C526" s="334" t="s">
        <v>355</v>
      </c>
      <c r="D526" s="335">
        <v>23.12</v>
      </c>
      <c r="E526" s="179"/>
      <c r="F526" s="180"/>
      <c r="G526" s="216">
        <f t="shared" si="106"/>
        <v>0</v>
      </c>
    </row>
    <row r="527" spans="1:13" x14ac:dyDescent="0.2">
      <c r="A527" s="332" t="s">
        <v>176</v>
      </c>
      <c r="B527" s="341" t="s">
        <v>243</v>
      </c>
      <c r="C527" s="334"/>
      <c r="D527" s="335"/>
      <c r="E527" s="179"/>
      <c r="F527" s="180"/>
      <c r="G527" s="216"/>
    </row>
    <row r="528" spans="1:13" ht="13.5" x14ac:dyDescent="0.2">
      <c r="A528" s="332"/>
      <c r="B528" s="340" t="s">
        <v>397</v>
      </c>
      <c r="C528" s="334" t="s">
        <v>355</v>
      </c>
      <c r="D528" s="335">
        <v>8.0150000000000006</v>
      </c>
      <c r="E528" s="179"/>
      <c r="F528" s="180"/>
      <c r="G528" s="216">
        <f t="shared" ref="G528" si="107">(D528*E528)+(D528*F528)</f>
        <v>0</v>
      </c>
    </row>
    <row r="529" spans="1:13" x14ac:dyDescent="0.2">
      <c r="A529" s="332" t="s">
        <v>230</v>
      </c>
      <c r="B529" s="341" t="s">
        <v>225</v>
      </c>
      <c r="C529" s="334"/>
      <c r="D529" s="335"/>
      <c r="E529" s="179"/>
      <c r="F529" s="180"/>
      <c r="G529" s="216"/>
      <c r="I529" s="221"/>
      <c r="J529" s="222"/>
      <c r="K529" s="223"/>
      <c r="L529" s="224"/>
      <c r="M529" s="225"/>
    </row>
    <row r="530" spans="1:13" ht="36" x14ac:dyDescent="0.2">
      <c r="A530" s="332"/>
      <c r="B530" s="341" t="s">
        <v>244</v>
      </c>
      <c r="C530" s="334"/>
      <c r="D530" s="335"/>
      <c r="E530" s="179"/>
      <c r="F530" s="180"/>
      <c r="G530" s="216"/>
      <c r="I530" s="226"/>
      <c r="J530" s="227"/>
      <c r="K530" s="228"/>
      <c r="L530" s="229"/>
      <c r="M530" s="230"/>
    </row>
    <row r="531" spans="1:13" ht="13.5" x14ac:dyDescent="0.2">
      <c r="A531" s="332"/>
      <c r="B531" s="340" t="s">
        <v>400</v>
      </c>
      <c r="C531" s="334" t="s">
        <v>355</v>
      </c>
      <c r="D531" s="335">
        <v>31.2</v>
      </c>
      <c r="E531" s="179"/>
      <c r="F531" s="180"/>
      <c r="G531" s="216">
        <f t="shared" ref="G531:G532" si="108">(D531*E531)+(D531*F531)</f>
        <v>0</v>
      </c>
      <c r="I531" s="139">
        <f>2.425*2+1.45*4+1.025*3+1.175</f>
        <v>14.899999999999999</v>
      </c>
      <c r="J531" s="168">
        <f>I531*2.4</f>
        <v>35.76</v>
      </c>
      <c r="K531" s="168">
        <f>0.6*1.9*4</f>
        <v>4.5599999999999996</v>
      </c>
      <c r="L531" s="139">
        <f>J531-K531</f>
        <v>31.2</v>
      </c>
      <c r="M531" s="168"/>
    </row>
    <row r="532" spans="1:13" ht="13.5" x14ac:dyDescent="0.2">
      <c r="A532" s="332"/>
      <c r="B532" s="340" t="s">
        <v>398</v>
      </c>
      <c r="C532" s="334" t="s">
        <v>355</v>
      </c>
      <c r="D532" s="335">
        <v>1.2</v>
      </c>
      <c r="E532" s="179"/>
      <c r="F532" s="180"/>
      <c r="G532" s="216">
        <f t="shared" si="108"/>
        <v>0</v>
      </c>
      <c r="I532" s="139">
        <f>1.175*1</f>
        <v>1.175</v>
      </c>
      <c r="J532" s="168"/>
      <c r="K532" s="168"/>
      <c r="L532" s="139"/>
      <c r="M532" s="168"/>
    </row>
    <row r="533" spans="1:13" ht="13.5" x14ac:dyDescent="0.2">
      <c r="A533" s="332"/>
      <c r="B533" s="340" t="s">
        <v>562</v>
      </c>
      <c r="C533" s="334" t="s">
        <v>355</v>
      </c>
      <c r="D533" s="335">
        <v>71.099999999999994</v>
      </c>
      <c r="E533" s="179"/>
      <c r="F533" s="180"/>
      <c r="G533" s="216">
        <f t="shared" ref="G533" si="109">(D533*E533)+(D533*F533)</f>
        <v>0</v>
      </c>
      <c r="I533" s="139">
        <f>7*2+6.4*2+7.7*2+5.2</f>
        <v>47.400000000000006</v>
      </c>
      <c r="J533" s="168">
        <f>I533*1.5</f>
        <v>71.100000000000009</v>
      </c>
      <c r="K533" s="168"/>
      <c r="L533" s="139"/>
      <c r="M533" s="168"/>
    </row>
    <row r="534" spans="1:13" x14ac:dyDescent="0.2">
      <c r="A534" s="332" t="s">
        <v>231</v>
      </c>
      <c r="B534" s="341" t="s">
        <v>226</v>
      </c>
      <c r="C534" s="334"/>
      <c r="D534" s="335"/>
      <c r="E534" s="179"/>
      <c r="F534" s="180"/>
      <c r="G534" s="216"/>
      <c r="I534" s="221"/>
      <c r="J534" s="222"/>
      <c r="K534" s="223"/>
      <c r="L534" s="223"/>
    </row>
    <row r="535" spans="1:13" x14ac:dyDescent="0.2">
      <c r="A535" s="332" t="s">
        <v>164</v>
      </c>
      <c r="B535" s="340" t="s">
        <v>504</v>
      </c>
      <c r="C535" s="334" t="s">
        <v>126</v>
      </c>
      <c r="D535" s="335">
        <v>333</v>
      </c>
      <c r="E535" s="179"/>
      <c r="F535" s="180"/>
      <c r="G535" s="216">
        <f t="shared" ref="G535" si="110">(D535*E535)+(D535*F535)</f>
        <v>0</v>
      </c>
      <c r="I535" s="28">
        <f>8.3*8+6.2*4+8.3*4+9.3*4+5.6*4+3*6+5.2*2+3.2+8.7+31.1+4.15+13*4+28.3+1.4+3.9*2+2.6</f>
        <v>351.65000000000003</v>
      </c>
      <c r="J535" s="28">
        <f>0.85*22</f>
        <v>18.7</v>
      </c>
      <c r="K535" s="28">
        <f>I535-J535</f>
        <v>332.95000000000005</v>
      </c>
      <c r="M535" s="28">
        <f>I535-L535</f>
        <v>351.65000000000003</v>
      </c>
    </row>
    <row r="536" spans="1:13" x14ac:dyDescent="0.2">
      <c r="A536" s="332"/>
      <c r="B536" s="340"/>
      <c r="C536" s="334"/>
      <c r="D536" s="335"/>
      <c r="E536" s="179"/>
      <c r="F536" s="180"/>
      <c r="G536" s="216"/>
    </row>
    <row r="537" spans="1:13" x14ac:dyDescent="0.2">
      <c r="A537" s="336" t="s">
        <v>152</v>
      </c>
      <c r="B537" s="337" t="s">
        <v>69</v>
      </c>
      <c r="C537" s="338"/>
      <c r="D537" s="339"/>
      <c r="E537" s="220"/>
      <c r="F537" s="165"/>
      <c r="G537" s="166"/>
    </row>
    <row r="538" spans="1:13" x14ac:dyDescent="0.2">
      <c r="A538" s="332" t="s">
        <v>229</v>
      </c>
      <c r="B538" s="341" t="s">
        <v>224</v>
      </c>
      <c r="C538" s="334"/>
      <c r="D538" s="335"/>
      <c r="E538" s="179"/>
      <c r="F538" s="180"/>
      <c r="G538" s="216"/>
      <c r="I538" s="221"/>
      <c r="J538" s="222"/>
      <c r="K538" s="223"/>
    </row>
    <row r="539" spans="1:13" x14ac:dyDescent="0.2">
      <c r="A539" s="332" t="s">
        <v>164</v>
      </c>
      <c r="B539" s="341" t="s">
        <v>506</v>
      </c>
      <c r="C539" s="334"/>
      <c r="D539" s="335"/>
      <c r="E539" s="179"/>
      <c r="F539" s="180"/>
      <c r="G539" s="216"/>
      <c r="I539" s="221"/>
      <c r="J539" s="222"/>
      <c r="K539" s="223"/>
    </row>
    <row r="540" spans="1:13" ht="13.5" x14ac:dyDescent="0.2">
      <c r="A540" s="332"/>
      <c r="B540" s="340" t="s">
        <v>284</v>
      </c>
      <c r="C540" s="334" t="s">
        <v>355</v>
      </c>
      <c r="D540" s="335">
        <v>102.92</v>
      </c>
      <c r="E540" s="179"/>
      <c r="F540" s="180"/>
      <c r="G540" s="216">
        <f t="shared" ref="G540" si="111">(D540*E540)+(D540*F540)</f>
        <v>0</v>
      </c>
      <c r="I540" s="221"/>
      <c r="J540" s="222"/>
      <c r="K540" s="223"/>
    </row>
    <row r="541" spans="1:13" x14ac:dyDescent="0.2">
      <c r="A541" s="332" t="s">
        <v>165</v>
      </c>
      <c r="B541" s="341" t="s">
        <v>399</v>
      </c>
      <c r="C541" s="334"/>
      <c r="D541" s="335"/>
      <c r="E541" s="179"/>
      <c r="F541" s="180"/>
      <c r="G541" s="216"/>
      <c r="I541" s="221"/>
      <c r="J541" s="222"/>
      <c r="K541" s="223"/>
    </row>
    <row r="542" spans="1:13" ht="13.5" x14ac:dyDescent="0.2">
      <c r="A542" s="332"/>
      <c r="B542" s="340" t="s">
        <v>508</v>
      </c>
      <c r="C542" s="334" t="s">
        <v>355</v>
      </c>
      <c r="D542" s="335">
        <v>46.5</v>
      </c>
      <c r="E542" s="179"/>
      <c r="F542" s="180"/>
      <c r="G542" s="216">
        <f t="shared" ref="G542" si="112">(D542*E542)+(D542*F542)</f>
        <v>0</v>
      </c>
      <c r="I542" s="221"/>
      <c r="J542" s="222"/>
      <c r="K542" s="223"/>
      <c r="M542" s="168"/>
    </row>
    <row r="543" spans="1:13" ht="13.5" x14ac:dyDescent="0.2">
      <c r="A543" s="332"/>
      <c r="B543" s="340" t="s">
        <v>395</v>
      </c>
      <c r="C543" s="334" t="s">
        <v>355</v>
      </c>
      <c r="D543" s="335">
        <v>55.95</v>
      </c>
      <c r="E543" s="179"/>
      <c r="F543" s="180"/>
      <c r="G543" s="216">
        <f t="shared" ref="G543" si="113">(D543*E543)+(D543*F543)</f>
        <v>0</v>
      </c>
      <c r="I543" s="376"/>
      <c r="J543" s="227"/>
      <c r="K543" s="228"/>
      <c r="M543" s="168"/>
    </row>
    <row r="544" spans="1:13" x14ac:dyDescent="0.2">
      <c r="A544" s="332" t="s">
        <v>175</v>
      </c>
      <c r="B544" s="341" t="s">
        <v>242</v>
      </c>
      <c r="C544" s="334"/>
      <c r="D544" s="335"/>
      <c r="E544" s="179"/>
      <c r="F544" s="180"/>
      <c r="G544" s="216"/>
    </row>
    <row r="545" spans="1:13" ht="13.5" x14ac:dyDescent="0.2">
      <c r="A545" s="332"/>
      <c r="B545" s="340" t="s">
        <v>496</v>
      </c>
      <c r="C545" s="334" t="s">
        <v>355</v>
      </c>
      <c r="D545" s="335">
        <v>14.7</v>
      </c>
      <c r="E545" s="179"/>
      <c r="F545" s="180"/>
      <c r="G545" s="216">
        <f t="shared" ref="G545" si="114">(D545*E545)+(D545*F545)</f>
        <v>0</v>
      </c>
      <c r="I545" s="28">
        <f>2.1*1.8</f>
        <v>3.7800000000000002</v>
      </c>
      <c r="J545" s="28">
        <f>0.9*0.18*17</f>
        <v>2.754</v>
      </c>
      <c r="K545" s="28">
        <f>SUM(I545:J545)</f>
        <v>6.5340000000000007</v>
      </c>
    </row>
    <row r="546" spans="1:13" x14ac:dyDescent="0.2">
      <c r="A546" s="332" t="s">
        <v>176</v>
      </c>
      <c r="B546" s="341" t="s">
        <v>243</v>
      </c>
      <c r="C546" s="334"/>
      <c r="D546" s="335"/>
      <c r="E546" s="179"/>
      <c r="F546" s="180"/>
      <c r="G546" s="216"/>
    </row>
    <row r="547" spans="1:13" ht="13.5" x14ac:dyDescent="0.2">
      <c r="A547" s="332"/>
      <c r="B547" s="340" t="s">
        <v>397</v>
      </c>
      <c r="C547" s="334" t="s">
        <v>355</v>
      </c>
      <c r="D547" s="335">
        <v>6.45</v>
      </c>
      <c r="E547" s="179"/>
      <c r="F547" s="180"/>
      <c r="G547" s="216">
        <f t="shared" ref="G547" si="115">(D547*E547)+(D547*F547)</f>
        <v>0</v>
      </c>
    </row>
    <row r="548" spans="1:13" x14ac:dyDescent="0.2">
      <c r="A548" s="332" t="s">
        <v>230</v>
      </c>
      <c r="B548" s="341" t="s">
        <v>225</v>
      </c>
      <c r="C548" s="334"/>
      <c r="D548" s="335"/>
      <c r="E548" s="179"/>
      <c r="F548" s="180"/>
      <c r="G548" s="216"/>
      <c r="I548" s="221"/>
      <c r="J548" s="222"/>
      <c r="K548" s="223"/>
      <c r="L548" s="224"/>
      <c r="M548" s="225"/>
    </row>
    <row r="549" spans="1:13" ht="36" x14ac:dyDescent="0.2">
      <c r="A549" s="332"/>
      <c r="B549" s="341" t="s">
        <v>244</v>
      </c>
      <c r="C549" s="334"/>
      <c r="D549" s="335"/>
      <c r="E549" s="179"/>
      <c r="F549" s="180"/>
      <c r="G549" s="216"/>
      <c r="I549" s="376"/>
      <c r="J549" s="227"/>
      <c r="K549" s="228"/>
      <c r="L549" s="229"/>
      <c r="M549" s="230"/>
    </row>
    <row r="550" spans="1:13" ht="13.5" x14ac:dyDescent="0.2">
      <c r="A550" s="332"/>
      <c r="B550" s="340" t="s">
        <v>400</v>
      </c>
      <c r="C550" s="334" t="s">
        <v>355</v>
      </c>
      <c r="D550" s="335">
        <v>35.9</v>
      </c>
      <c r="E550" s="179"/>
      <c r="F550" s="180"/>
      <c r="G550" s="216">
        <f t="shared" ref="G550" si="116">(D550*E550)+(D550*F550)</f>
        <v>0</v>
      </c>
      <c r="I550" s="139">
        <f>1.35*2+2.325*2+1.1*2+1.5*4</f>
        <v>15.55</v>
      </c>
      <c r="J550" s="168">
        <f>I550*2.6</f>
        <v>40.43</v>
      </c>
      <c r="K550" s="168">
        <f>0.6*1.9*4</f>
        <v>4.5599999999999996</v>
      </c>
      <c r="L550" s="139">
        <f>J550-K550</f>
        <v>35.869999999999997</v>
      </c>
      <c r="M550" s="168"/>
    </row>
    <row r="551" spans="1:13" x14ac:dyDescent="0.2">
      <c r="A551" s="332" t="s">
        <v>231</v>
      </c>
      <c r="B551" s="341" t="s">
        <v>226</v>
      </c>
      <c r="C551" s="334"/>
      <c r="D551" s="335"/>
      <c r="E551" s="179"/>
      <c r="F551" s="180"/>
      <c r="G551" s="216"/>
      <c r="I551" s="221"/>
      <c r="J551" s="222"/>
      <c r="K551" s="223"/>
      <c r="L551" s="223"/>
    </row>
    <row r="552" spans="1:13" x14ac:dyDescent="0.2">
      <c r="A552" s="332" t="s">
        <v>164</v>
      </c>
      <c r="B552" s="340" t="s">
        <v>504</v>
      </c>
      <c r="C552" s="334" t="s">
        <v>126</v>
      </c>
      <c r="D552" s="335">
        <v>164</v>
      </c>
      <c r="E552" s="179"/>
      <c r="F552" s="180"/>
      <c r="G552" s="216">
        <f t="shared" ref="G552" si="117">(D552*E552)+(D552*F552)</f>
        <v>0</v>
      </c>
      <c r="I552" s="28">
        <f>8.3*4+6.2*4+14.525*2+2.6+3.9*2+28.325*2+1.975*2+5.825*2+1.5</f>
        <v>171.2</v>
      </c>
      <c r="J552" s="28">
        <f>0.85*6+1.05*2</f>
        <v>7.1999999999999993</v>
      </c>
      <c r="K552" s="28">
        <f>I552-J552</f>
        <v>164</v>
      </c>
      <c r="M552" s="28">
        <f>I552-L552</f>
        <v>171.2</v>
      </c>
    </row>
    <row r="553" spans="1:13" ht="12.75" thickBot="1" x14ac:dyDescent="0.25">
      <c r="A553" s="367"/>
      <c r="B553" s="368"/>
      <c r="C553" s="342"/>
      <c r="D553" s="343"/>
      <c r="E553" s="183"/>
      <c r="F553" s="184"/>
      <c r="G553" s="369"/>
    </row>
    <row r="554" spans="1:13" x14ac:dyDescent="0.2">
      <c r="A554" s="332"/>
      <c r="B554" s="340"/>
      <c r="C554" s="334"/>
      <c r="D554" s="335"/>
      <c r="E554" s="179"/>
      <c r="F554" s="180"/>
      <c r="G554" s="216"/>
    </row>
    <row r="555" spans="1:13" x14ac:dyDescent="0.2">
      <c r="A555" s="336" t="s">
        <v>57</v>
      </c>
      <c r="B555" s="337" t="s">
        <v>71</v>
      </c>
      <c r="C555" s="338"/>
      <c r="D555" s="339"/>
      <c r="E555" s="220"/>
      <c r="F555" s="165"/>
      <c r="G555" s="166"/>
    </row>
    <row r="556" spans="1:13" x14ac:dyDescent="0.2">
      <c r="A556" s="332" t="s">
        <v>229</v>
      </c>
      <c r="B556" s="341" t="s">
        <v>224</v>
      </c>
      <c r="C556" s="334"/>
      <c r="D556" s="335"/>
      <c r="E556" s="179"/>
      <c r="F556" s="180"/>
      <c r="G556" s="216"/>
      <c r="I556" s="221"/>
      <c r="J556" s="222"/>
      <c r="K556" s="223"/>
    </row>
    <row r="557" spans="1:13" x14ac:dyDescent="0.2">
      <c r="A557" s="332" t="s">
        <v>164</v>
      </c>
      <c r="B557" s="341" t="s">
        <v>506</v>
      </c>
      <c r="C557" s="334"/>
      <c r="D557" s="335"/>
      <c r="E557" s="179"/>
      <c r="F557" s="180"/>
      <c r="G557" s="216"/>
      <c r="I557" s="221"/>
      <c r="J557" s="222"/>
      <c r="K557" s="223"/>
    </row>
    <row r="558" spans="1:13" ht="13.5" x14ac:dyDescent="0.2">
      <c r="A558" s="332"/>
      <c r="B558" s="340" t="s">
        <v>284</v>
      </c>
      <c r="C558" s="334" t="s">
        <v>355</v>
      </c>
      <c r="D558" s="335">
        <v>102.92</v>
      </c>
      <c r="E558" s="179"/>
      <c r="F558" s="180"/>
      <c r="G558" s="216">
        <f t="shared" ref="G558:G559" si="118">(D558*E558)+(D558*F558)</f>
        <v>0</v>
      </c>
      <c r="I558" s="221"/>
      <c r="J558" s="222"/>
      <c r="K558" s="223"/>
    </row>
    <row r="559" spans="1:13" ht="13.5" x14ac:dyDescent="0.2">
      <c r="A559" s="332"/>
      <c r="B559" s="340" t="s">
        <v>285</v>
      </c>
      <c r="C559" s="334" t="s">
        <v>355</v>
      </c>
      <c r="D559" s="335">
        <v>24.9</v>
      </c>
      <c r="E559" s="179"/>
      <c r="F559" s="180"/>
      <c r="G559" s="216">
        <f t="shared" si="118"/>
        <v>0</v>
      </c>
      <c r="I559" s="221"/>
      <c r="J559" s="222"/>
      <c r="K559" s="223"/>
    </row>
    <row r="560" spans="1:13" x14ac:dyDescent="0.2">
      <c r="A560" s="332" t="s">
        <v>165</v>
      </c>
      <c r="B560" s="341" t="s">
        <v>399</v>
      </c>
      <c r="C560" s="334"/>
      <c r="D560" s="335"/>
      <c r="E560" s="179"/>
      <c r="F560" s="180"/>
      <c r="G560" s="216"/>
      <c r="I560" s="221"/>
      <c r="J560" s="222"/>
      <c r="K560" s="223"/>
    </row>
    <row r="561" spans="1:13" ht="13.5" x14ac:dyDescent="0.2">
      <c r="A561" s="332"/>
      <c r="B561" s="340" t="s">
        <v>508</v>
      </c>
      <c r="C561" s="334" t="s">
        <v>355</v>
      </c>
      <c r="D561" s="335">
        <v>32.299999999999997</v>
      </c>
      <c r="E561" s="179"/>
      <c r="F561" s="180"/>
      <c r="G561" s="216">
        <f t="shared" ref="G561" si="119">(D561*E561)+(D561*F561)</f>
        <v>0</v>
      </c>
      <c r="I561" s="221"/>
      <c r="J561" s="222"/>
      <c r="K561" s="223"/>
      <c r="M561" s="168"/>
    </row>
    <row r="562" spans="1:13" x14ac:dyDescent="0.2">
      <c r="A562" s="332" t="s">
        <v>230</v>
      </c>
      <c r="B562" s="341" t="s">
        <v>226</v>
      </c>
      <c r="C562" s="334"/>
      <c r="D562" s="335"/>
      <c r="E562" s="179"/>
      <c r="F562" s="180"/>
      <c r="G562" s="216"/>
      <c r="I562" s="221"/>
      <c r="J562" s="222"/>
      <c r="K562" s="223"/>
      <c r="L562" s="223"/>
    </row>
    <row r="563" spans="1:13" x14ac:dyDescent="0.2">
      <c r="A563" s="332" t="s">
        <v>164</v>
      </c>
      <c r="B563" s="340" t="s">
        <v>504</v>
      </c>
      <c r="C563" s="334" t="s">
        <v>126</v>
      </c>
      <c r="D563" s="335">
        <v>104.5</v>
      </c>
      <c r="E563" s="179"/>
      <c r="F563" s="180"/>
      <c r="G563" s="216">
        <f t="shared" ref="G563" si="120">(D563*E563)+(D563*F563)</f>
        <v>0</v>
      </c>
      <c r="I563" s="28">
        <f>8.3*6+6.2*4+3*2+12.425*2+2.6*2</f>
        <v>110.65000000000002</v>
      </c>
      <c r="J563" s="28">
        <f>0.85*6+1.05</f>
        <v>6.1499999999999995</v>
      </c>
      <c r="K563" s="28">
        <f>I563-J563</f>
        <v>104.50000000000001</v>
      </c>
      <c r="M563" s="28">
        <f>I563-L563</f>
        <v>110.65000000000002</v>
      </c>
    </row>
    <row r="564" spans="1:13" x14ac:dyDescent="0.2">
      <c r="A564" s="332"/>
      <c r="B564" s="340"/>
      <c r="C564" s="334"/>
      <c r="D564" s="335"/>
      <c r="E564" s="179"/>
      <c r="F564" s="180"/>
      <c r="G564" s="216"/>
    </row>
    <row r="565" spans="1:13" x14ac:dyDescent="0.2">
      <c r="A565" s="336" t="s">
        <v>155</v>
      </c>
      <c r="B565" s="337" t="s">
        <v>254</v>
      </c>
      <c r="C565" s="338"/>
      <c r="D565" s="339"/>
      <c r="E565" s="220"/>
      <c r="F565" s="165"/>
      <c r="G565" s="166"/>
    </row>
    <row r="566" spans="1:13" x14ac:dyDescent="0.2">
      <c r="A566" s="332" t="s">
        <v>229</v>
      </c>
      <c r="B566" s="341" t="s">
        <v>224</v>
      </c>
      <c r="C566" s="334"/>
      <c r="D566" s="335"/>
      <c r="E566" s="179"/>
      <c r="F566" s="180"/>
      <c r="G566" s="216"/>
    </row>
    <row r="567" spans="1:13" x14ac:dyDescent="0.2">
      <c r="A567" s="332" t="s">
        <v>165</v>
      </c>
      <c r="B567" s="341" t="s">
        <v>401</v>
      </c>
      <c r="C567" s="334"/>
      <c r="D567" s="335"/>
      <c r="E567" s="179"/>
      <c r="F567" s="180"/>
      <c r="G567" s="216"/>
    </row>
    <row r="568" spans="1:13" ht="13.5" x14ac:dyDescent="0.2">
      <c r="A568" s="332"/>
      <c r="B568" s="340" t="s">
        <v>402</v>
      </c>
      <c r="C568" s="334" t="s">
        <v>355</v>
      </c>
      <c r="D568" s="335">
        <v>43.45</v>
      </c>
      <c r="E568" s="179"/>
      <c r="F568" s="180"/>
      <c r="G568" s="216">
        <f t="shared" ref="G568" si="121">(D568*E568)+(D568*F568)</f>
        <v>0</v>
      </c>
      <c r="I568" s="28">
        <f>16.7*2.6</f>
        <v>43.42</v>
      </c>
    </row>
    <row r="569" spans="1:13" x14ac:dyDescent="0.2">
      <c r="A569" s="332" t="s">
        <v>230</v>
      </c>
      <c r="B569" s="341" t="s">
        <v>403</v>
      </c>
      <c r="C569" s="334"/>
      <c r="D569" s="335"/>
      <c r="E569" s="179"/>
      <c r="F569" s="180"/>
      <c r="G569" s="216"/>
    </row>
    <row r="570" spans="1:13" ht="24" x14ac:dyDescent="0.2">
      <c r="A570" s="332" t="s">
        <v>164</v>
      </c>
      <c r="B570" s="340" t="s">
        <v>404</v>
      </c>
      <c r="C570" s="334" t="s">
        <v>126</v>
      </c>
      <c r="D570" s="335">
        <v>11.6</v>
      </c>
      <c r="E570" s="179"/>
      <c r="F570" s="180"/>
      <c r="G570" s="216">
        <f t="shared" ref="G570" si="122">(D570*E570)+(D570*F570)</f>
        <v>0</v>
      </c>
      <c r="I570" s="28">
        <f>(16.7+2.6)*2*0.3</f>
        <v>11.58</v>
      </c>
    </row>
    <row r="571" spans="1:13" x14ac:dyDescent="0.2">
      <c r="A571" s="235"/>
      <c r="B571" s="236"/>
      <c r="C571" s="177"/>
      <c r="D571" s="57"/>
      <c r="E571" s="179"/>
      <c r="F571" s="180"/>
      <c r="G571" s="216"/>
    </row>
    <row r="572" spans="1:13" x14ac:dyDescent="0.2">
      <c r="A572" s="231" t="s">
        <v>167</v>
      </c>
      <c r="B572" s="232" t="s">
        <v>208</v>
      </c>
      <c r="C572" s="131"/>
      <c r="D572" s="121"/>
      <c r="E572" s="122"/>
      <c r="F572" s="233"/>
      <c r="G572" s="234"/>
    </row>
    <row r="573" spans="1:13" ht="24" x14ac:dyDescent="0.2">
      <c r="A573" s="237" t="s">
        <v>405</v>
      </c>
      <c r="B573" s="236" t="s">
        <v>362</v>
      </c>
      <c r="C573" s="177" t="s">
        <v>15</v>
      </c>
      <c r="D573" s="57">
        <v>1</v>
      </c>
      <c r="E573" s="179"/>
      <c r="F573" s="180"/>
      <c r="G573" s="216">
        <f>(D573*E573)+(D573*F573)</f>
        <v>0</v>
      </c>
    </row>
    <row r="574" spans="1:13" x14ac:dyDescent="0.2">
      <c r="A574" s="235"/>
      <c r="B574" s="236"/>
      <c r="C574" s="177"/>
      <c r="D574" s="57"/>
      <c r="E574" s="179"/>
      <c r="F574" s="180"/>
      <c r="G574" s="216"/>
    </row>
    <row r="575" spans="1:13" x14ac:dyDescent="0.2">
      <c r="A575" s="231" t="s">
        <v>426</v>
      </c>
      <c r="B575" s="232" t="s">
        <v>510</v>
      </c>
      <c r="C575" s="131"/>
      <c r="D575" s="121"/>
      <c r="E575" s="122"/>
      <c r="F575" s="233"/>
      <c r="G575" s="234"/>
    </row>
    <row r="576" spans="1:13" ht="24" x14ac:dyDescent="0.2">
      <c r="A576" s="237" t="s">
        <v>405</v>
      </c>
      <c r="B576" s="236" t="s">
        <v>511</v>
      </c>
      <c r="C576" s="348"/>
      <c r="D576" s="57"/>
      <c r="E576" s="179"/>
      <c r="F576" s="180"/>
      <c r="G576" s="216"/>
      <c r="I576" s="28">
        <f>1.4*5</f>
        <v>7</v>
      </c>
    </row>
    <row r="577" spans="1:7" ht="13.5" x14ac:dyDescent="0.2">
      <c r="A577" s="235"/>
      <c r="B577" s="236" t="s">
        <v>512</v>
      </c>
      <c r="C577" s="348" t="s">
        <v>355</v>
      </c>
      <c r="D577" s="57">
        <v>8.02</v>
      </c>
      <c r="E577" s="179"/>
      <c r="F577" s="180"/>
      <c r="G577" s="216">
        <f t="shared" ref="G577:G579" si="123">(D577*E577)+(D577*F577)</f>
        <v>0</v>
      </c>
    </row>
    <row r="578" spans="1:7" ht="13.5" x14ac:dyDescent="0.2">
      <c r="A578" s="235"/>
      <c r="B578" s="236" t="s">
        <v>513</v>
      </c>
      <c r="C578" s="348" t="s">
        <v>355</v>
      </c>
      <c r="D578" s="57">
        <v>6.45</v>
      </c>
      <c r="E578" s="179"/>
      <c r="F578" s="180"/>
      <c r="G578" s="216">
        <f t="shared" si="123"/>
        <v>0</v>
      </c>
    </row>
    <row r="579" spans="1:7" ht="13.5" x14ac:dyDescent="0.2">
      <c r="A579" s="235"/>
      <c r="B579" s="236" t="s">
        <v>514</v>
      </c>
      <c r="C579" s="348" t="s">
        <v>355</v>
      </c>
      <c r="D579" s="57">
        <v>43.45</v>
      </c>
      <c r="E579" s="179"/>
      <c r="F579" s="180"/>
      <c r="G579" s="216">
        <f t="shared" si="123"/>
        <v>0</v>
      </c>
    </row>
    <row r="580" spans="1:7" x14ac:dyDescent="0.2">
      <c r="A580" s="235"/>
      <c r="B580" s="236"/>
      <c r="C580" s="177"/>
      <c r="D580" s="57"/>
      <c r="E580" s="179"/>
      <c r="F580" s="180"/>
      <c r="G580" s="216"/>
    </row>
    <row r="581" spans="1:7" x14ac:dyDescent="0.2">
      <c r="A581" s="235"/>
      <c r="B581" s="236"/>
      <c r="C581" s="177"/>
      <c r="D581" s="57"/>
      <c r="E581" s="179"/>
      <c r="F581" s="180"/>
      <c r="G581" s="216"/>
    </row>
    <row r="582" spans="1:7" x14ac:dyDescent="0.2">
      <c r="A582" s="235"/>
      <c r="B582" s="236"/>
      <c r="C582" s="177"/>
      <c r="D582" s="57"/>
      <c r="E582" s="179"/>
      <c r="F582" s="180"/>
      <c r="G582" s="216"/>
    </row>
    <row r="583" spans="1:7" x14ac:dyDescent="0.2">
      <c r="A583" s="235"/>
      <c r="B583" s="236"/>
      <c r="C583" s="177"/>
      <c r="D583" s="57"/>
      <c r="E583" s="179"/>
      <c r="F583" s="180"/>
      <c r="G583" s="216"/>
    </row>
    <row r="584" spans="1:7" x14ac:dyDescent="0.2">
      <c r="A584" s="235"/>
      <c r="B584" s="236"/>
      <c r="C584" s="177"/>
      <c r="D584" s="57"/>
      <c r="E584" s="179"/>
      <c r="F584" s="180"/>
      <c r="G584" s="216"/>
    </row>
    <row r="585" spans="1:7" x14ac:dyDescent="0.2">
      <c r="A585" s="235"/>
      <c r="B585" s="236"/>
      <c r="C585" s="177"/>
      <c r="D585" s="57"/>
      <c r="E585" s="179"/>
      <c r="F585" s="180"/>
      <c r="G585" s="216"/>
    </row>
    <row r="586" spans="1:7" x14ac:dyDescent="0.2">
      <c r="A586" s="235"/>
      <c r="B586" s="236"/>
      <c r="C586" s="177"/>
      <c r="D586" s="57"/>
      <c r="E586" s="179"/>
      <c r="F586" s="180"/>
      <c r="G586" s="216"/>
    </row>
    <row r="587" spans="1:7" x14ac:dyDescent="0.2">
      <c r="A587" s="235"/>
      <c r="B587" s="236"/>
      <c r="C587" s="177"/>
      <c r="D587" s="57"/>
      <c r="E587" s="179"/>
      <c r="F587" s="180"/>
      <c r="G587" s="216"/>
    </row>
    <row r="588" spans="1:7" x14ac:dyDescent="0.2">
      <c r="A588" s="235"/>
      <c r="B588" s="236"/>
      <c r="C588" s="177"/>
      <c r="D588" s="57"/>
      <c r="E588" s="179"/>
      <c r="F588" s="180"/>
      <c r="G588" s="216"/>
    </row>
    <row r="589" spans="1:7" x14ac:dyDescent="0.2">
      <c r="A589" s="235"/>
      <c r="B589" s="236"/>
      <c r="C589" s="177"/>
      <c r="D589" s="57"/>
      <c r="E589" s="179"/>
      <c r="F589" s="180"/>
      <c r="G589" s="216"/>
    </row>
    <row r="590" spans="1:7" x14ac:dyDescent="0.2">
      <c r="A590" s="235"/>
      <c r="B590" s="236"/>
      <c r="C590" s="177"/>
      <c r="D590" s="57"/>
      <c r="E590" s="179"/>
      <c r="F590" s="180"/>
      <c r="G590" s="216"/>
    </row>
    <row r="591" spans="1:7" x14ac:dyDescent="0.2">
      <c r="A591" s="235"/>
      <c r="B591" s="236"/>
      <c r="C591" s="177"/>
      <c r="D591" s="57"/>
      <c r="E591" s="179"/>
      <c r="F591" s="180"/>
      <c r="G591" s="216"/>
    </row>
    <row r="592" spans="1:7" x14ac:dyDescent="0.2">
      <c r="A592" s="235"/>
      <c r="B592" s="236"/>
      <c r="C592" s="177"/>
      <c r="D592" s="57"/>
      <c r="E592" s="179"/>
      <c r="F592" s="180"/>
      <c r="G592" s="216"/>
    </row>
    <row r="593" spans="1:7" x14ac:dyDescent="0.2">
      <c r="A593" s="235"/>
      <c r="B593" s="236"/>
      <c r="C593" s="177"/>
      <c r="D593" s="57"/>
      <c r="E593" s="179"/>
      <c r="F593" s="180"/>
      <c r="G593" s="216"/>
    </row>
    <row r="594" spans="1:7" x14ac:dyDescent="0.2">
      <c r="A594" s="235"/>
      <c r="B594" s="236"/>
      <c r="C594" s="177"/>
      <c r="D594" s="57"/>
      <c r="E594" s="179"/>
      <c r="F594" s="180"/>
      <c r="G594" s="216"/>
    </row>
    <row r="595" spans="1:7" x14ac:dyDescent="0.2">
      <c r="A595" s="235"/>
      <c r="B595" s="236"/>
      <c r="C595" s="177"/>
      <c r="D595" s="57"/>
      <c r="E595" s="179"/>
      <c r="F595" s="180"/>
      <c r="G595" s="216"/>
    </row>
    <row r="596" spans="1:7" x14ac:dyDescent="0.2">
      <c r="A596" s="235"/>
      <c r="B596" s="236"/>
      <c r="C596" s="177"/>
      <c r="D596" s="57"/>
      <c r="E596" s="179"/>
      <c r="F596" s="180"/>
      <c r="G596" s="216"/>
    </row>
    <row r="597" spans="1:7" x14ac:dyDescent="0.2">
      <c r="A597" s="235"/>
      <c r="B597" s="236"/>
      <c r="C597" s="177"/>
      <c r="D597" s="57"/>
      <c r="E597" s="179"/>
      <c r="F597" s="180"/>
      <c r="G597" s="216"/>
    </row>
    <row r="598" spans="1:7" x14ac:dyDescent="0.2">
      <c r="A598" s="235"/>
      <c r="B598" s="236"/>
      <c r="C598" s="177"/>
      <c r="D598" s="57"/>
      <c r="E598" s="179"/>
      <c r="F598" s="180"/>
      <c r="G598" s="216"/>
    </row>
    <row r="599" spans="1:7" x14ac:dyDescent="0.2">
      <c r="A599" s="235"/>
      <c r="B599" s="236"/>
      <c r="C599" s="177"/>
      <c r="D599" s="57"/>
      <c r="E599" s="179"/>
      <c r="F599" s="180"/>
      <c r="G599" s="216"/>
    </row>
    <row r="600" spans="1:7" x14ac:dyDescent="0.2">
      <c r="A600" s="235"/>
      <c r="B600" s="236"/>
      <c r="C600" s="177"/>
      <c r="D600" s="57"/>
      <c r="E600" s="179"/>
      <c r="F600" s="180"/>
      <c r="G600" s="216"/>
    </row>
    <row r="601" spans="1:7" x14ac:dyDescent="0.2">
      <c r="A601" s="235"/>
      <c r="B601" s="236"/>
      <c r="C601" s="177"/>
      <c r="D601" s="57"/>
      <c r="E601" s="179"/>
      <c r="F601" s="180"/>
      <c r="G601" s="216"/>
    </row>
    <row r="602" spans="1:7" x14ac:dyDescent="0.2">
      <c r="A602" s="235"/>
      <c r="B602" s="236"/>
      <c r="C602" s="177"/>
      <c r="D602" s="57"/>
      <c r="E602" s="179"/>
      <c r="F602" s="180"/>
      <c r="G602" s="216"/>
    </row>
    <row r="603" spans="1:7" x14ac:dyDescent="0.2">
      <c r="A603" s="235"/>
      <c r="B603" s="236"/>
      <c r="C603" s="177"/>
      <c r="D603" s="57"/>
      <c r="E603" s="179"/>
      <c r="F603" s="180"/>
      <c r="G603" s="216"/>
    </row>
    <row r="604" spans="1:7" x14ac:dyDescent="0.2">
      <c r="A604" s="235"/>
      <c r="B604" s="236"/>
      <c r="C604" s="177"/>
      <c r="D604" s="57"/>
      <c r="E604" s="179"/>
      <c r="F604" s="180"/>
      <c r="G604" s="216"/>
    </row>
    <row r="605" spans="1:7" x14ac:dyDescent="0.2">
      <c r="A605" s="235"/>
      <c r="B605" s="236"/>
      <c r="C605" s="177"/>
      <c r="D605" s="57"/>
      <c r="E605" s="179"/>
      <c r="F605" s="180"/>
      <c r="G605" s="216"/>
    </row>
    <row r="606" spans="1:7" ht="12.75" thickBot="1" x14ac:dyDescent="0.25">
      <c r="A606" s="235"/>
      <c r="B606" s="236"/>
      <c r="C606" s="177"/>
      <c r="D606" s="57"/>
      <c r="E606" s="179"/>
      <c r="F606" s="180"/>
      <c r="G606" s="216"/>
    </row>
    <row r="607" spans="1:7" x14ac:dyDescent="0.2">
      <c r="A607" s="68"/>
      <c r="B607" s="69" t="s">
        <v>147</v>
      </c>
      <c r="C607" s="113"/>
      <c r="D607" s="71"/>
      <c r="E607" s="72"/>
      <c r="F607" s="190"/>
      <c r="G607" s="191"/>
    </row>
    <row r="608" spans="1:7" ht="12.75" thickBot="1" x14ac:dyDescent="0.25">
      <c r="A608" s="73"/>
      <c r="B608" s="74" t="s">
        <v>148</v>
      </c>
      <c r="C608" s="114"/>
      <c r="D608" s="76"/>
      <c r="E608" s="77"/>
      <c r="F608" s="155"/>
      <c r="G608" s="192">
        <f>SUM(G461:G607)</f>
        <v>0</v>
      </c>
    </row>
    <row r="609" spans="1:11" x14ac:dyDescent="0.2">
      <c r="A609" s="40"/>
      <c r="B609" s="80"/>
      <c r="C609" s="56"/>
      <c r="D609" s="57"/>
      <c r="E609" s="44"/>
      <c r="F609" s="59"/>
      <c r="G609" s="150"/>
    </row>
    <row r="610" spans="1:11" x14ac:dyDescent="0.2">
      <c r="A610" s="40"/>
      <c r="B610" s="41" t="s">
        <v>187</v>
      </c>
      <c r="C610" s="56"/>
      <c r="D610" s="57"/>
      <c r="E610" s="44"/>
      <c r="F610" s="59"/>
      <c r="G610" s="60"/>
    </row>
    <row r="611" spans="1:11" x14ac:dyDescent="0.2">
      <c r="A611" s="40"/>
      <c r="B611" s="49" t="s">
        <v>111</v>
      </c>
      <c r="C611" s="56"/>
      <c r="D611" s="57"/>
      <c r="E611" s="44"/>
      <c r="F611" s="59"/>
      <c r="G611" s="60"/>
    </row>
    <row r="612" spans="1:11" x14ac:dyDescent="0.2">
      <c r="A612" s="193" t="s">
        <v>168</v>
      </c>
      <c r="B612" s="51" t="s">
        <v>41</v>
      </c>
      <c r="C612" s="56"/>
      <c r="D612" s="57"/>
      <c r="E612" s="44"/>
      <c r="F612" s="59"/>
      <c r="G612" s="60"/>
    </row>
    <row r="613" spans="1:11" ht="45" customHeight="1" x14ac:dyDescent="0.2">
      <c r="A613" s="40"/>
      <c r="B613" s="62" t="s">
        <v>258</v>
      </c>
      <c r="C613" s="194"/>
      <c r="D613" s="194"/>
      <c r="E613" s="194"/>
      <c r="F613" s="194"/>
      <c r="G613" s="195"/>
    </row>
    <row r="614" spans="1:11" ht="62.25" customHeight="1" x14ac:dyDescent="0.2">
      <c r="A614" s="40"/>
      <c r="B614" s="62" t="s">
        <v>257</v>
      </c>
      <c r="C614" s="194"/>
      <c r="D614" s="194"/>
      <c r="E614" s="194"/>
      <c r="F614" s="194"/>
      <c r="G614" s="195"/>
    </row>
    <row r="615" spans="1:11" ht="43.5" customHeight="1" x14ac:dyDescent="0.2">
      <c r="A615" s="40"/>
      <c r="B615" s="62" t="s">
        <v>256</v>
      </c>
      <c r="C615" s="194"/>
      <c r="D615" s="194"/>
      <c r="E615" s="194"/>
      <c r="F615" s="194"/>
      <c r="G615" s="195"/>
    </row>
    <row r="616" spans="1:11" ht="38.25" customHeight="1" x14ac:dyDescent="0.2">
      <c r="A616" s="40"/>
      <c r="B616" s="62" t="s">
        <v>255</v>
      </c>
      <c r="C616" s="194"/>
      <c r="D616" s="194"/>
      <c r="E616" s="194"/>
      <c r="F616" s="194"/>
      <c r="G616" s="195"/>
    </row>
    <row r="617" spans="1:11" ht="13.5" customHeight="1" x14ac:dyDescent="0.2">
      <c r="A617" s="40"/>
      <c r="B617" s="399" t="s">
        <v>206</v>
      </c>
      <c r="C617" s="400"/>
      <c r="D617" s="400"/>
      <c r="E617" s="400"/>
      <c r="F617" s="400"/>
      <c r="G617" s="401"/>
    </row>
    <row r="618" spans="1:11" x14ac:dyDescent="0.2">
      <c r="A618" s="238" t="s">
        <v>151</v>
      </c>
      <c r="B618" s="239" t="s">
        <v>113</v>
      </c>
      <c r="C618" s="240"/>
      <c r="D618" s="241"/>
      <c r="E618" s="220"/>
      <c r="F618" s="165"/>
      <c r="G618" s="166"/>
    </row>
    <row r="619" spans="1:11" x14ac:dyDescent="0.2">
      <c r="A619" s="242"/>
      <c r="B619" s="243" t="s">
        <v>322</v>
      </c>
      <c r="C619" s="244"/>
      <c r="D619" s="245"/>
      <c r="E619" s="246"/>
      <c r="F619" s="247"/>
      <c r="G619" s="248"/>
    </row>
    <row r="620" spans="1:11" s="203" customFormat="1" ht="24" x14ac:dyDescent="0.2">
      <c r="A620" s="63" t="s">
        <v>164</v>
      </c>
      <c r="B620" s="249" t="s">
        <v>483</v>
      </c>
      <c r="C620" s="250" t="s">
        <v>114</v>
      </c>
      <c r="D620" s="57">
        <v>11</v>
      </c>
      <c r="E620" s="44"/>
      <c r="F620" s="103"/>
      <c r="G620" s="104">
        <f t="shared" ref="G620" si="124">(D620*E620)+(D620*F620)</f>
        <v>0</v>
      </c>
      <c r="I620" s="252">
        <f>0.95*2</f>
        <v>1.9</v>
      </c>
      <c r="J620" s="252">
        <f t="shared" ref="J620" si="125">I620*D620</f>
        <v>20.9</v>
      </c>
      <c r="K620" s="251"/>
    </row>
    <row r="621" spans="1:11" s="203" customFormat="1" ht="39" customHeight="1" x14ac:dyDescent="0.2">
      <c r="A621" s="63" t="s">
        <v>165</v>
      </c>
      <c r="B621" s="249" t="s">
        <v>491</v>
      </c>
      <c r="C621" s="250" t="s">
        <v>114</v>
      </c>
      <c r="D621" s="57">
        <v>5</v>
      </c>
      <c r="E621" s="44"/>
      <c r="F621" s="103"/>
      <c r="G621" s="104">
        <f t="shared" ref="G621:G622" si="126">(D621*E621)+(D621*F621)</f>
        <v>0</v>
      </c>
      <c r="I621" s="252">
        <f>0.95*2</f>
        <v>1.9</v>
      </c>
      <c r="J621" s="252">
        <f t="shared" ref="J621" si="127">I621*D621</f>
        <v>9.5</v>
      </c>
      <c r="K621" s="251"/>
    </row>
    <row r="622" spans="1:11" s="203" customFormat="1" ht="39" customHeight="1" x14ac:dyDescent="0.2">
      <c r="A622" s="63" t="s">
        <v>175</v>
      </c>
      <c r="B622" s="249" t="s">
        <v>490</v>
      </c>
      <c r="C622" s="250" t="s">
        <v>114</v>
      </c>
      <c r="D622" s="57">
        <v>1</v>
      </c>
      <c r="E622" s="44"/>
      <c r="F622" s="103"/>
      <c r="G622" s="104">
        <f t="shared" si="126"/>
        <v>0</v>
      </c>
      <c r="I622" s="251">
        <f>0.95*2</f>
        <v>1.9</v>
      </c>
      <c r="J622" s="252">
        <f>I622*D622</f>
        <v>1.9</v>
      </c>
      <c r="K622" s="251"/>
    </row>
    <row r="623" spans="1:11" s="203" customFormat="1" ht="39" customHeight="1" x14ac:dyDescent="0.2">
      <c r="A623" s="63" t="s">
        <v>176</v>
      </c>
      <c r="B623" s="249" t="s">
        <v>492</v>
      </c>
      <c r="C623" s="250" t="s">
        <v>114</v>
      </c>
      <c r="D623" s="57">
        <v>2</v>
      </c>
      <c r="E623" s="44"/>
      <c r="F623" s="103"/>
      <c r="G623" s="104">
        <f t="shared" ref="G623" si="128">(D623*E623)+(D623*F623)</f>
        <v>0</v>
      </c>
      <c r="I623" s="251">
        <f>0.7*2</f>
        <v>1.4</v>
      </c>
      <c r="J623" s="252">
        <f>I623*D623</f>
        <v>2.8</v>
      </c>
      <c r="K623" s="251"/>
    </row>
    <row r="624" spans="1:11" ht="12" customHeight="1" x14ac:dyDescent="0.2">
      <c r="A624" s="242"/>
      <c r="B624" s="243" t="s">
        <v>321</v>
      </c>
      <c r="C624" s="244"/>
      <c r="D624" s="245"/>
      <c r="E624" s="246"/>
      <c r="F624" s="247"/>
      <c r="G624" s="248"/>
      <c r="I624" s="139"/>
      <c r="J624" s="252"/>
      <c r="K624" s="168"/>
    </row>
    <row r="625" spans="1:13" ht="47.25" customHeight="1" x14ac:dyDescent="0.2">
      <c r="A625" s="63" t="s">
        <v>164</v>
      </c>
      <c r="B625" s="249" t="s">
        <v>484</v>
      </c>
      <c r="C625" s="250" t="s">
        <v>114</v>
      </c>
      <c r="D625" s="57">
        <v>12</v>
      </c>
      <c r="E625" s="44"/>
      <c r="F625" s="103"/>
      <c r="G625" s="104">
        <f t="shared" ref="G625:G626" si="129">(D625*E625)+(D625*F625)</f>
        <v>0</v>
      </c>
      <c r="I625" s="139">
        <f>2.44*1.665</f>
        <v>4.0625999999999998</v>
      </c>
      <c r="J625" s="252">
        <f t="shared" ref="J625:J629" si="130">I625*D625</f>
        <v>48.751199999999997</v>
      </c>
      <c r="K625" s="168"/>
    </row>
    <row r="626" spans="1:13" ht="50.25" customHeight="1" x14ac:dyDescent="0.2">
      <c r="A626" s="63" t="s">
        <v>165</v>
      </c>
      <c r="B626" s="249" t="s">
        <v>485</v>
      </c>
      <c r="C626" s="250" t="s">
        <v>114</v>
      </c>
      <c r="D626" s="57">
        <v>9</v>
      </c>
      <c r="E626" s="44"/>
      <c r="F626" s="103"/>
      <c r="G626" s="104">
        <f t="shared" si="129"/>
        <v>0</v>
      </c>
      <c r="I626" s="139">
        <f>1.55*1</f>
        <v>1.55</v>
      </c>
      <c r="J626" s="252">
        <f t="shared" si="130"/>
        <v>13.950000000000001</v>
      </c>
      <c r="K626" s="168"/>
    </row>
    <row r="627" spans="1:13" ht="49.5" customHeight="1" x14ac:dyDescent="0.2">
      <c r="A627" s="63" t="s">
        <v>175</v>
      </c>
      <c r="B627" s="249" t="s">
        <v>486</v>
      </c>
      <c r="C627" s="250" t="s">
        <v>114</v>
      </c>
      <c r="D627" s="57">
        <v>2</v>
      </c>
      <c r="E627" s="44"/>
      <c r="F627" s="103"/>
      <c r="G627" s="104">
        <f t="shared" ref="G627" si="131">(D627*E627)+(D627*F627)</f>
        <v>0</v>
      </c>
      <c r="I627" s="139">
        <f>1.85*1.665</f>
        <v>3.0802500000000004</v>
      </c>
      <c r="J627" s="252">
        <f t="shared" si="130"/>
        <v>6.1605000000000008</v>
      </c>
      <c r="K627" s="168"/>
    </row>
    <row r="628" spans="1:13" ht="37.5" customHeight="1" x14ac:dyDescent="0.2">
      <c r="A628" s="63" t="s">
        <v>176</v>
      </c>
      <c r="B628" s="249" t="s">
        <v>487</v>
      </c>
      <c r="C628" s="250" t="s">
        <v>114</v>
      </c>
      <c r="D628" s="57">
        <v>3</v>
      </c>
      <c r="E628" s="44"/>
      <c r="F628" s="103"/>
      <c r="G628" s="104">
        <f t="shared" ref="G628" si="132">(D628*E628)+(D628*F628)</f>
        <v>0</v>
      </c>
      <c r="I628" s="139">
        <f>1.85*0.67</f>
        <v>1.2395</v>
      </c>
      <c r="J628" s="252">
        <f t="shared" si="130"/>
        <v>3.7185000000000001</v>
      </c>
      <c r="K628" s="168"/>
    </row>
    <row r="629" spans="1:13" ht="37.5" customHeight="1" x14ac:dyDescent="0.2">
      <c r="A629" s="63" t="s">
        <v>177</v>
      </c>
      <c r="B629" s="249" t="s">
        <v>488</v>
      </c>
      <c r="C629" s="250" t="s">
        <v>114</v>
      </c>
      <c r="D629" s="57">
        <v>2</v>
      </c>
      <c r="E629" s="44"/>
      <c r="F629" s="103"/>
      <c r="G629" s="104">
        <f t="shared" ref="G629" si="133">(D629*E629)+(D629*F629)</f>
        <v>0</v>
      </c>
      <c r="I629" s="139">
        <f>0.75*0.7</f>
        <v>0.52499999999999991</v>
      </c>
      <c r="J629" s="252">
        <f t="shared" si="130"/>
        <v>1.0499999999999998</v>
      </c>
      <c r="K629" s="168"/>
    </row>
    <row r="630" spans="1:13" ht="12" customHeight="1" x14ac:dyDescent="0.2">
      <c r="A630" s="242"/>
      <c r="B630" s="243" t="s">
        <v>320</v>
      </c>
      <c r="C630" s="244"/>
      <c r="D630" s="245"/>
      <c r="E630" s="246"/>
      <c r="F630" s="247"/>
      <c r="G630" s="248"/>
      <c r="I630" s="139"/>
      <c r="J630" s="252">
        <f>SUM(J620:J629)</f>
        <v>108.7302</v>
      </c>
      <c r="K630" s="168">
        <f>J621+J623</f>
        <v>12.3</v>
      </c>
      <c r="L630" s="139">
        <f>J630-K630</f>
        <v>96.430199999999999</v>
      </c>
      <c r="M630" s="139"/>
    </row>
    <row r="631" spans="1:13" ht="52.5" customHeight="1" thickBot="1" x14ac:dyDescent="0.25">
      <c r="A631" s="388" t="s">
        <v>164</v>
      </c>
      <c r="B631" s="370" t="s">
        <v>565</v>
      </c>
      <c r="C631" s="389" t="s">
        <v>114</v>
      </c>
      <c r="D631" s="76">
        <v>16</v>
      </c>
      <c r="E631" s="77"/>
      <c r="F631" s="390"/>
      <c r="G631" s="391">
        <f t="shared" ref="G631" si="134">(D631*E631)+(D631*F631)</f>
        <v>0</v>
      </c>
      <c r="I631" s="139"/>
      <c r="J631" s="252"/>
      <c r="K631" s="168"/>
    </row>
    <row r="632" spans="1:13" ht="12" customHeight="1" x14ac:dyDescent="0.2">
      <c r="A632" s="63"/>
      <c r="B632" s="249"/>
      <c r="C632" s="250"/>
      <c r="D632" s="57"/>
      <c r="E632" s="44"/>
      <c r="F632" s="103"/>
      <c r="G632" s="104"/>
      <c r="I632" s="139"/>
      <c r="J632" s="252"/>
      <c r="K632" s="168"/>
    </row>
    <row r="633" spans="1:13" x14ac:dyDescent="0.2">
      <c r="A633" s="238" t="s">
        <v>152</v>
      </c>
      <c r="B633" s="239" t="s">
        <v>69</v>
      </c>
      <c r="C633" s="240"/>
      <c r="D633" s="241"/>
      <c r="E633" s="220"/>
      <c r="F633" s="165"/>
      <c r="G633" s="166"/>
      <c r="J633" s="139"/>
      <c r="K633" s="139"/>
    </row>
    <row r="634" spans="1:13" x14ac:dyDescent="0.2">
      <c r="A634" s="242"/>
      <c r="B634" s="243" t="s">
        <v>322</v>
      </c>
      <c r="C634" s="244"/>
      <c r="D634" s="245"/>
      <c r="E634" s="246"/>
      <c r="F634" s="247"/>
      <c r="G634" s="248"/>
    </row>
    <row r="635" spans="1:13" ht="38.25" customHeight="1" x14ac:dyDescent="0.2">
      <c r="A635" s="63" t="s">
        <v>164</v>
      </c>
      <c r="B635" s="249" t="s">
        <v>489</v>
      </c>
      <c r="C635" s="250" t="s">
        <v>114</v>
      </c>
      <c r="D635" s="57">
        <v>8</v>
      </c>
      <c r="E635" s="44"/>
      <c r="F635" s="103"/>
      <c r="G635" s="104">
        <f t="shared" ref="G635:G639" si="135">(D635*E635)+(D635*F635)</f>
        <v>0</v>
      </c>
      <c r="H635" s="203"/>
      <c r="I635" s="251">
        <f>1.85*2.62</f>
        <v>4.8470000000000004</v>
      </c>
      <c r="J635" s="252">
        <f>I635*D635</f>
        <v>38.776000000000003</v>
      </c>
      <c r="K635" s="251"/>
      <c r="L635" s="203"/>
      <c r="M635" s="203"/>
    </row>
    <row r="636" spans="1:13" ht="24" x14ac:dyDescent="0.2">
      <c r="A636" s="63" t="s">
        <v>165</v>
      </c>
      <c r="B636" s="249" t="s">
        <v>483</v>
      </c>
      <c r="C636" s="250" t="s">
        <v>114</v>
      </c>
      <c r="D636" s="57">
        <v>3</v>
      </c>
      <c r="E636" s="44"/>
      <c r="F636" s="103"/>
      <c r="G636" s="104">
        <f t="shared" si="135"/>
        <v>0</v>
      </c>
      <c r="H636" s="203"/>
      <c r="I636" s="252">
        <f>0.95*2</f>
        <v>1.9</v>
      </c>
      <c r="J636" s="252">
        <f t="shared" ref="J636:J637" si="136">I636*D636</f>
        <v>5.6999999999999993</v>
      </c>
      <c r="K636" s="251"/>
      <c r="L636" s="203"/>
      <c r="M636" s="203"/>
    </row>
    <row r="637" spans="1:13" ht="36" x14ac:dyDescent="0.2">
      <c r="A637" s="63" t="s">
        <v>175</v>
      </c>
      <c r="B637" s="249" t="s">
        <v>491</v>
      </c>
      <c r="C637" s="250" t="s">
        <v>114</v>
      </c>
      <c r="D637" s="57">
        <v>5</v>
      </c>
      <c r="E637" s="44"/>
      <c r="F637" s="103"/>
      <c r="G637" s="104">
        <f t="shared" si="135"/>
        <v>0</v>
      </c>
      <c r="H637" s="203"/>
      <c r="I637" s="252">
        <f>0.95*2</f>
        <v>1.9</v>
      </c>
      <c r="J637" s="252">
        <f t="shared" si="136"/>
        <v>9.5</v>
      </c>
      <c r="K637" s="251"/>
      <c r="L637" s="203"/>
      <c r="M637" s="203"/>
    </row>
    <row r="638" spans="1:13" ht="36.75" customHeight="1" x14ac:dyDescent="0.2">
      <c r="A638" s="63" t="s">
        <v>176</v>
      </c>
      <c r="B638" s="249" t="s">
        <v>490</v>
      </c>
      <c r="C638" s="250" t="s">
        <v>114</v>
      </c>
      <c r="D638" s="57">
        <v>1</v>
      </c>
      <c r="E638" s="44"/>
      <c r="F638" s="103"/>
      <c r="G638" s="104">
        <f t="shared" si="135"/>
        <v>0</v>
      </c>
      <c r="H638" s="203"/>
      <c r="I638" s="251">
        <f>0.95*2</f>
        <v>1.9</v>
      </c>
      <c r="J638" s="252">
        <f>I638*D638</f>
        <v>1.9</v>
      </c>
      <c r="K638" s="251"/>
      <c r="L638" s="203"/>
      <c r="M638" s="203"/>
    </row>
    <row r="639" spans="1:13" ht="38.25" customHeight="1" x14ac:dyDescent="0.2">
      <c r="A639" s="63" t="s">
        <v>177</v>
      </c>
      <c r="B639" s="249" t="s">
        <v>492</v>
      </c>
      <c r="C639" s="250" t="s">
        <v>114</v>
      </c>
      <c r="D639" s="57">
        <v>2</v>
      </c>
      <c r="E639" s="44"/>
      <c r="F639" s="103"/>
      <c r="G639" s="104">
        <f t="shared" si="135"/>
        <v>0</v>
      </c>
      <c r="H639" s="203"/>
      <c r="I639" s="251">
        <f>0.7*2</f>
        <v>1.4</v>
      </c>
      <c r="J639" s="252">
        <f>I639*D639</f>
        <v>2.8</v>
      </c>
      <c r="K639" s="251"/>
      <c r="L639" s="203"/>
      <c r="M639" s="203"/>
    </row>
    <row r="640" spans="1:13" ht="13.5" customHeight="1" x14ac:dyDescent="0.2">
      <c r="A640" s="242"/>
      <c r="B640" s="243" t="s">
        <v>321</v>
      </c>
      <c r="C640" s="244"/>
      <c r="D640" s="245"/>
      <c r="E640" s="246"/>
      <c r="F640" s="247"/>
      <c r="G640" s="248"/>
      <c r="I640" s="139"/>
      <c r="J640" s="252"/>
      <c r="K640" s="168"/>
    </row>
    <row r="641" spans="1:13" ht="50.25" customHeight="1" x14ac:dyDescent="0.2">
      <c r="A641" s="63" t="s">
        <v>164</v>
      </c>
      <c r="B641" s="249" t="s">
        <v>484</v>
      </c>
      <c r="C641" s="250" t="s">
        <v>114</v>
      </c>
      <c r="D641" s="57">
        <v>5</v>
      </c>
      <c r="E641" s="44"/>
      <c r="F641" s="103"/>
      <c r="G641" s="104">
        <f t="shared" ref="G641:G644" si="137">(D641*E641)+(D641*F641)</f>
        <v>0</v>
      </c>
      <c r="I641" s="139">
        <f>2.44*1.665</f>
        <v>4.0625999999999998</v>
      </c>
      <c r="J641" s="252">
        <f t="shared" ref="J641:J644" si="138">I641*D641</f>
        <v>20.312999999999999</v>
      </c>
      <c r="K641" s="168"/>
    </row>
    <row r="642" spans="1:13" ht="51" customHeight="1" x14ac:dyDescent="0.2">
      <c r="A642" s="63" t="s">
        <v>165</v>
      </c>
      <c r="B642" s="249" t="s">
        <v>485</v>
      </c>
      <c r="C642" s="250" t="s">
        <v>114</v>
      </c>
      <c r="D642" s="57">
        <v>3</v>
      </c>
      <c r="E642" s="44"/>
      <c r="F642" s="103"/>
      <c r="G642" s="104">
        <f t="shared" si="137"/>
        <v>0</v>
      </c>
      <c r="I642" s="139">
        <f>1.55*1</f>
        <v>1.55</v>
      </c>
      <c r="J642" s="252">
        <f t="shared" si="138"/>
        <v>4.6500000000000004</v>
      </c>
      <c r="K642" s="168"/>
    </row>
    <row r="643" spans="1:13" ht="48.75" customHeight="1" x14ac:dyDescent="0.2">
      <c r="A643" s="63" t="s">
        <v>175</v>
      </c>
      <c r="B643" s="249" t="s">
        <v>486</v>
      </c>
      <c r="C643" s="250" t="s">
        <v>114</v>
      </c>
      <c r="D643" s="57">
        <v>7</v>
      </c>
      <c r="E643" s="44"/>
      <c r="F643" s="103"/>
      <c r="G643" s="104">
        <f t="shared" si="137"/>
        <v>0</v>
      </c>
      <c r="I643" s="139">
        <f>1.85*1.665</f>
        <v>3.0802500000000004</v>
      </c>
      <c r="J643" s="252">
        <f t="shared" si="138"/>
        <v>21.561750000000004</v>
      </c>
      <c r="K643" s="168"/>
    </row>
    <row r="644" spans="1:13" ht="40.5" customHeight="1" x14ac:dyDescent="0.2">
      <c r="A644" s="63" t="s">
        <v>176</v>
      </c>
      <c r="B644" s="249" t="s">
        <v>487</v>
      </c>
      <c r="C644" s="250" t="s">
        <v>114</v>
      </c>
      <c r="D644" s="57">
        <v>2</v>
      </c>
      <c r="E644" s="44"/>
      <c r="F644" s="103"/>
      <c r="G644" s="104">
        <f t="shared" si="137"/>
        <v>0</v>
      </c>
      <c r="I644" s="139">
        <f>1.85*0.67</f>
        <v>1.2395</v>
      </c>
      <c r="J644" s="252">
        <f t="shared" si="138"/>
        <v>2.4790000000000001</v>
      </c>
      <c r="K644" s="168"/>
    </row>
    <row r="645" spans="1:13" ht="12" customHeight="1" x14ac:dyDescent="0.2">
      <c r="A645" s="242"/>
      <c r="B645" s="243" t="s">
        <v>320</v>
      </c>
      <c r="C645" s="244"/>
      <c r="D645" s="245"/>
      <c r="E645" s="246"/>
      <c r="F645" s="247"/>
      <c r="G645" s="248"/>
      <c r="I645" s="139"/>
      <c r="J645" s="252">
        <f>SUM(J635:J644)</f>
        <v>107.67975</v>
      </c>
      <c r="K645" s="139"/>
      <c r="L645" s="139"/>
      <c r="M645" s="252"/>
    </row>
    <row r="646" spans="1:13" ht="36" customHeight="1" x14ac:dyDescent="0.2">
      <c r="A646" s="63" t="s">
        <v>164</v>
      </c>
      <c r="B646" s="249" t="s">
        <v>565</v>
      </c>
      <c r="C646" s="250" t="s">
        <v>114</v>
      </c>
      <c r="D646" s="57">
        <v>7</v>
      </c>
      <c r="E646" s="44"/>
      <c r="F646" s="103"/>
      <c r="G646" s="104">
        <f t="shared" ref="G646" si="139">(D646*E646)+(D646*F646)</f>
        <v>0</v>
      </c>
      <c r="I646" s="139"/>
      <c r="K646" s="139"/>
    </row>
    <row r="647" spans="1:13" ht="12" customHeight="1" x14ac:dyDescent="0.2">
      <c r="A647" s="63"/>
      <c r="B647" s="249"/>
      <c r="C647" s="250"/>
      <c r="D647" s="57"/>
      <c r="E647" s="44"/>
      <c r="F647" s="103"/>
      <c r="G647" s="104"/>
      <c r="I647" s="139"/>
      <c r="J647" s="252"/>
      <c r="K647" s="139"/>
    </row>
    <row r="648" spans="1:13" ht="12" customHeight="1" x14ac:dyDescent="0.2">
      <c r="A648" s="238" t="s">
        <v>57</v>
      </c>
      <c r="B648" s="239" t="s">
        <v>71</v>
      </c>
      <c r="C648" s="240"/>
      <c r="D648" s="241"/>
      <c r="E648" s="220"/>
      <c r="F648" s="165"/>
      <c r="G648" s="166"/>
      <c r="J648" s="252"/>
      <c r="K648" s="139"/>
    </row>
    <row r="649" spans="1:13" ht="12" customHeight="1" x14ac:dyDescent="0.2">
      <c r="A649" s="242"/>
      <c r="B649" s="243" t="s">
        <v>322</v>
      </c>
      <c r="C649" s="244"/>
      <c r="D649" s="245"/>
      <c r="E649" s="246"/>
      <c r="F649" s="247"/>
      <c r="G649" s="248"/>
    </row>
    <row r="650" spans="1:13" ht="38.25" customHeight="1" x14ac:dyDescent="0.2">
      <c r="A650" s="63" t="s">
        <v>164</v>
      </c>
      <c r="B650" s="249" t="s">
        <v>489</v>
      </c>
      <c r="C650" s="250" t="s">
        <v>114</v>
      </c>
      <c r="D650" s="57">
        <v>2</v>
      </c>
      <c r="E650" s="44"/>
      <c r="F650" s="103"/>
      <c r="G650" s="104">
        <f t="shared" ref="G650:G651" si="140">(D650*E650)+(D650*F650)</f>
        <v>0</v>
      </c>
      <c r="H650" s="203"/>
      <c r="I650" s="251">
        <f>1.85*2.62</f>
        <v>4.8470000000000004</v>
      </c>
      <c r="J650" s="252">
        <f>I650*D650</f>
        <v>9.6940000000000008</v>
      </c>
      <c r="K650" s="251"/>
      <c r="L650" s="203"/>
    </row>
    <row r="651" spans="1:13" ht="26.25" customHeight="1" x14ac:dyDescent="0.2">
      <c r="A651" s="63" t="s">
        <v>165</v>
      </c>
      <c r="B651" s="249" t="s">
        <v>483</v>
      </c>
      <c r="C651" s="250" t="s">
        <v>114</v>
      </c>
      <c r="D651" s="57">
        <v>3</v>
      </c>
      <c r="E651" s="44"/>
      <c r="F651" s="103"/>
      <c r="G651" s="104">
        <f t="shared" si="140"/>
        <v>0</v>
      </c>
      <c r="H651" s="203"/>
      <c r="I651" s="252">
        <f>0.95*2</f>
        <v>1.9</v>
      </c>
      <c r="J651" s="252">
        <f t="shared" ref="J651" si="141">I651*D651</f>
        <v>5.6999999999999993</v>
      </c>
      <c r="K651" s="251"/>
      <c r="L651" s="203"/>
    </row>
    <row r="652" spans="1:13" x14ac:dyDescent="0.2">
      <c r="A652" s="242"/>
      <c r="B652" s="243" t="s">
        <v>321</v>
      </c>
      <c r="C652" s="244"/>
      <c r="D652" s="245"/>
      <c r="E652" s="246"/>
      <c r="F652" s="247"/>
      <c r="G652" s="248"/>
      <c r="I652" s="139"/>
      <c r="J652" s="252"/>
      <c r="K652" s="168"/>
    </row>
    <row r="653" spans="1:13" ht="48" x14ac:dyDescent="0.2">
      <c r="A653" s="63" t="s">
        <v>164</v>
      </c>
      <c r="B653" s="249" t="s">
        <v>484</v>
      </c>
      <c r="C653" s="250" t="s">
        <v>114</v>
      </c>
      <c r="D653" s="57">
        <v>5</v>
      </c>
      <c r="E653" s="44"/>
      <c r="F653" s="103"/>
      <c r="G653" s="104">
        <f t="shared" ref="G653:G656" si="142">(D653*E653)+(D653*F653)</f>
        <v>0</v>
      </c>
      <c r="I653" s="139">
        <f>2.44*1.665</f>
        <v>4.0625999999999998</v>
      </c>
      <c r="J653" s="252">
        <f t="shared" ref="J653:J656" si="143">I653*D653</f>
        <v>20.312999999999999</v>
      </c>
      <c r="K653" s="168"/>
    </row>
    <row r="654" spans="1:13" ht="48.75" thickBot="1" x14ac:dyDescent="0.25">
      <c r="A654" s="388" t="s">
        <v>165</v>
      </c>
      <c r="B654" s="370" t="s">
        <v>485</v>
      </c>
      <c r="C654" s="389" t="s">
        <v>114</v>
      </c>
      <c r="D654" s="76">
        <v>3</v>
      </c>
      <c r="E654" s="77"/>
      <c r="F654" s="390"/>
      <c r="G654" s="391">
        <f t="shared" si="142"/>
        <v>0</v>
      </c>
      <c r="I654" s="139">
        <f>1.55*1</f>
        <v>1.55</v>
      </c>
      <c r="J654" s="252">
        <f t="shared" si="143"/>
        <v>4.6500000000000004</v>
      </c>
      <c r="K654" s="168"/>
    </row>
    <row r="655" spans="1:13" ht="48" x14ac:dyDescent="0.2">
      <c r="A655" s="63" t="s">
        <v>175</v>
      </c>
      <c r="B655" s="249" t="s">
        <v>486</v>
      </c>
      <c r="C655" s="250" t="s">
        <v>114</v>
      </c>
      <c r="D655" s="57">
        <v>13</v>
      </c>
      <c r="E655" s="44"/>
      <c r="F655" s="103"/>
      <c r="G655" s="104">
        <f t="shared" si="142"/>
        <v>0</v>
      </c>
      <c r="I655" s="139">
        <f>1.85*1.665</f>
        <v>3.0802500000000004</v>
      </c>
      <c r="J655" s="252">
        <f t="shared" si="143"/>
        <v>40.043250000000008</v>
      </c>
      <c r="K655" s="168"/>
    </row>
    <row r="656" spans="1:13" ht="36" x14ac:dyDescent="0.2">
      <c r="A656" s="63" t="s">
        <v>176</v>
      </c>
      <c r="B656" s="249" t="s">
        <v>487</v>
      </c>
      <c r="C656" s="250" t="s">
        <v>114</v>
      </c>
      <c r="D656" s="57">
        <v>1</v>
      </c>
      <c r="E656" s="44"/>
      <c r="F656" s="103"/>
      <c r="G656" s="104">
        <f t="shared" si="142"/>
        <v>0</v>
      </c>
      <c r="I656" s="139">
        <f>1.85*0.67</f>
        <v>1.2395</v>
      </c>
      <c r="J656" s="252">
        <f t="shared" si="143"/>
        <v>1.2395</v>
      </c>
      <c r="K656" s="168"/>
    </row>
    <row r="657" spans="1:12" x14ac:dyDescent="0.2">
      <c r="A657" s="242"/>
      <c r="B657" s="243" t="s">
        <v>320</v>
      </c>
      <c r="C657" s="244"/>
      <c r="D657" s="245"/>
      <c r="E657" s="246"/>
      <c r="F657" s="247"/>
      <c r="G657" s="248"/>
      <c r="I657" s="168"/>
      <c r="J657" s="139">
        <f>SUM(J650:J656)</f>
        <v>81.639750000000006</v>
      </c>
      <c r="K657" s="139">
        <f>J650+J651+J654</f>
        <v>20.044</v>
      </c>
      <c r="L657" s="139">
        <f>J657-K657</f>
        <v>61.59575000000001</v>
      </c>
    </row>
    <row r="658" spans="1:12" ht="24" x14ac:dyDescent="0.2">
      <c r="A658" s="63" t="s">
        <v>164</v>
      </c>
      <c r="B658" s="249" t="s">
        <v>323</v>
      </c>
      <c r="C658" s="250" t="s">
        <v>114</v>
      </c>
      <c r="D658" s="57">
        <v>10</v>
      </c>
      <c r="E658" s="44"/>
      <c r="F658" s="103"/>
      <c r="G658" s="104">
        <f t="shared" ref="G658:G659" si="144">(D658*E658)+(D658*F658)</f>
        <v>0</v>
      </c>
      <c r="I658" s="168"/>
      <c r="J658" s="139"/>
    </row>
    <row r="659" spans="1:12" ht="24" x14ac:dyDescent="0.2">
      <c r="A659" s="63" t="s">
        <v>165</v>
      </c>
      <c r="B659" s="249" t="s">
        <v>324</v>
      </c>
      <c r="C659" s="250" t="s">
        <v>114</v>
      </c>
      <c r="D659" s="57">
        <v>2</v>
      </c>
      <c r="E659" s="44"/>
      <c r="F659" s="103"/>
      <c r="G659" s="104">
        <f t="shared" si="144"/>
        <v>0</v>
      </c>
      <c r="I659" s="168"/>
      <c r="J659" s="139"/>
    </row>
    <row r="660" spans="1:12" x14ac:dyDescent="0.2">
      <c r="A660" s="63"/>
      <c r="B660" s="249"/>
      <c r="C660" s="250"/>
      <c r="D660" s="57"/>
      <c r="E660" s="44"/>
      <c r="F660" s="103"/>
      <c r="G660" s="104"/>
      <c r="I660" s="168"/>
      <c r="J660" s="139"/>
    </row>
    <row r="661" spans="1:12" x14ac:dyDescent="0.2">
      <c r="A661" s="63"/>
      <c r="B661" s="249"/>
      <c r="C661" s="250"/>
      <c r="D661" s="57"/>
      <c r="E661" s="44"/>
      <c r="F661" s="103"/>
      <c r="G661" s="104"/>
      <c r="I661" s="168"/>
      <c r="J661" s="139"/>
    </row>
    <row r="662" spans="1:12" x14ac:dyDescent="0.2">
      <c r="A662" s="63"/>
      <c r="B662" s="249"/>
      <c r="C662" s="250"/>
      <c r="D662" s="57"/>
      <c r="E662" s="44"/>
      <c r="F662" s="103"/>
      <c r="G662" s="104"/>
      <c r="I662" s="168"/>
      <c r="J662" s="139"/>
    </row>
    <row r="663" spans="1:12" x14ac:dyDescent="0.2">
      <c r="A663" s="63"/>
      <c r="B663" s="249"/>
      <c r="C663" s="250"/>
      <c r="D663" s="57"/>
      <c r="E663" s="44"/>
      <c r="F663" s="103"/>
      <c r="G663" s="104"/>
      <c r="I663" s="168"/>
      <c r="J663" s="139"/>
    </row>
    <row r="664" spans="1:12" x14ac:dyDescent="0.2">
      <c r="A664" s="63"/>
      <c r="B664" s="249"/>
      <c r="C664" s="250"/>
      <c r="D664" s="57"/>
      <c r="E664" s="44"/>
      <c r="F664" s="103"/>
      <c r="G664" s="104"/>
      <c r="I664" s="168"/>
      <c r="J664" s="139"/>
    </row>
    <row r="665" spans="1:12" x14ac:dyDescent="0.2">
      <c r="A665" s="63"/>
      <c r="B665" s="249"/>
      <c r="C665" s="250"/>
      <c r="D665" s="57"/>
      <c r="E665" s="44"/>
      <c r="F665" s="103"/>
      <c r="G665" s="104"/>
      <c r="I665" s="168"/>
      <c r="J665" s="139"/>
    </row>
    <row r="666" spans="1:12" x14ac:dyDescent="0.2">
      <c r="A666" s="63"/>
      <c r="B666" s="249"/>
      <c r="C666" s="250"/>
      <c r="D666" s="57"/>
      <c r="E666" s="44"/>
      <c r="F666" s="103"/>
      <c r="G666" s="104"/>
      <c r="I666" s="168"/>
      <c r="J666" s="139"/>
    </row>
    <row r="667" spans="1:12" x14ac:dyDescent="0.2">
      <c r="A667" s="63"/>
      <c r="B667" s="249"/>
      <c r="C667" s="250"/>
      <c r="D667" s="57"/>
      <c r="E667" s="44"/>
      <c r="F667" s="103"/>
      <c r="G667" s="104"/>
      <c r="I667" s="168"/>
      <c r="J667" s="139"/>
    </row>
    <row r="668" spans="1:12" x14ac:dyDescent="0.2">
      <c r="A668" s="63"/>
      <c r="B668" s="249"/>
      <c r="C668" s="250"/>
      <c r="D668" s="57"/>
      <c r="E668" s="44"/>
      <c r="F668" s="103"/>
      <c r="G668" s="104"/>
      <c r="I668" s="168"/>
      <c r="J668" s="139"/>
    </row>
    <row r="669" spans="1:12" x14ac:dyDescent="0.2">
      <c r="A669" s="63"/>
      <c r="B669" s="249"/>
      <c r="C669" s="250"/>
      <c r="D669" s="57"/>
      <c r="E669" s="44"/>
      <c r="F669" s="103"/>
      <c r="G669" s="104"/>
      <c r="I669" s="168"/>
      <c r="J669" s="139"/>
    </row>
    <row r="670" spans="1:12" x14ac:dyDescent="0.2">
      <c r="A670" s="63"/>
      <c r="B670" s="249"/>
      <c r="C670" s="250"/>
      <c r="D670" s="57"/>
      <c r="E670" s="44"/>
      <c r="F670" s="103"/>
      <c r="G670" s="104"/>
      <c r="I670" s="168"/>
      <c r="J670" s="139"/>
    </row>
    <row r="671" spans="1:12" x14ac:dyDescent="0.2">
      <c r="A671" s="63"/>
      <c r="B671" s="249"/>
      <c r="C671" s="250"/>
      <c r="D671" s="57"/>
      <c r="E671" s="44"/>
      <c r="F671" s="103"/>
      <c r="G671" s="104"/>
      <c r="I671" s="168"/>
      <c r="J671" s="139"/>
    </row>
    <row r="672" spans="1:12" x14ac:dyDescent="0.2">
      <c r="A672" s="63"/>
      <c r="B672" s="249"/>
      <c r="C672" s="250"/>
      <c r="D672" s="57"/>
      <c r="E672" s="44"/>
      <c r="F672" s="103"/>
      <c r="G672" s="104"/>
      <c r="I672" s="168"/>
      <c r="J672" s="139"/>
    </row>
    <row r="673" spans="1:10" x14ac:dyDescent="0.2">
      <c r="A673" s="63"/>
      <c r="B673" s="249"/>
      <c r="C673" s="250"/>
      <c r="D673" s="57"/>
      <c r="E673" s="44"/>
      <c r="F673" s="103"/>
      <c r="G673" s="104"/>
      <c r="I673" s="168"/>
      <c r="J673" s="139"/>
    </row>
    <row r="674" spans="1:10" x14ac:dyDescent="0.2">
      <c r="A674" s="63"/>
      <c r="B674" s="249"/>
      <c r="C674" s="250"/>
      <c r="D674" s="57"/>
      <c r="E674" s="44"/>
      <c r="F674" s="103"/>
      <c r="G674" s="104"/>
      <c r="I674" s="168"/>
      <c r="J674" s="139"/>
    </row>
    <row r="675" spans="1:10" x14ac:dyDescent="0.2">
      <c r="A675" s="63"/>
      <c r="B675" s="249"/>
      <c r="C675" s="250"/>
      <c r="D675" s="57"/>
      <c r="E675" s="44"/>
      <c r="F675" s="103"/>
      <c r="G675" s="104"/>
      <c r="I675" s="168"/>
      <c r="J675" s="139"/>
    </row>
    <row r="676" spans="1:10" x14ac:dyDescent="0.2">
      <c r="A676" s="63"/>
      <c r="B676" s="249"/>
      <c r="C676" s="250"/>
      <c r="D676" s="57"/>
      <c r="E676" s="44"/>
      <c r="F676" s="103"/>
      <c r="G676" s="104"/>
      <c r="I676" s="168"/>
      <c r="J676" s="139"/>
    </row>
    <row r="677" spans="1:10" x14ac:dyDescent="0.2">
      <c r="A677" s="63"/>
      <c r="B677" s="249"/>
      <c r="C677" s="250"/>
      <c r="D677" s="57"/>
      <c r="E677" s="44"/>
      <c r="F677" s="103"/>
      <c r="G677" s="104"/>
      <c r="I677" s="168"/>
      <c r="J677" s="139"/>
    </row>
    <row r="678" spans="1:10" x14ac:dyDescent="0.2">
      <c r="A678" s="63"/>
      <c r="B678" s="249"/>
      <c r="C678" s="250"/>
      <c r="D678" s="57"/>
      <c r="E678" s="44"/>
      <c r="F678" s="103"/>
      <c r="G678" s="104"/>
      <c r="I678" s="168"/>
      <c r="J678" s="139"/>
    </row>
    <row r="679" spans="1:10" x14ac:dyDescent="0.2">
      <c r="A679" s="63"/>
      <c r="B679" s="249"/>
      <c r="C679" s="250"/>
      <c r="D679" s="57"/>
      <c r="E679" s="44"/>
      <c r="F679" s="103"/>
      <c r="G679" s="104"/>
      <c r="I679" s="168"/>
      <c r="J679" s="139"/>
    </row>
    <row r="680" spans="1:10" x14ac:dyDescent="0.2">
      <c r="A680" s="63"/>
      <c r="B680" s="249"/>
      <c r="C680" s="250"/>
      <c r="D680" s="57"/>
      <c r="E680" s="44"/>
      <c r="F680" s="103"/>
      <c r="G680" s="104"/>
      <c r="I680" s="168"/>
      <c r="J680" s="139"/>
    </row>
    <row r="681" spans="1:10" x14ac:dyDescent="0.2">
      <c r="A681" s="63"/>
      <c r="B681" s="249"/>
      <c r="C681" s="250"/>
      <c r="D681" s="57"/>
      <c r="E681" s="44"/>
      <c r="F681" s="103"/>
      <c r="G681" s="104"/>
      <c r="I681" s="168"/>
      <c r="J681" s="139"/>
    </row>
    <row r="682" spans="1:10" x14ac:dyDescent="0.2">
      <c r="A682" s="63"/>
      <c r="B682" s="249"/>
      <c r="C682" s="250"/>
      <c r="D682" s="57"/>
      <c r="E682" s="44"/>
      <c r="F682" s="103"/>
      <c r="G682" s="104"/>
      <c r="I682" s="168"/>
      <c r="J682" s="139"/>
    </row>
    <row r="683" spans="1:10" x14ac:dyDescent="0.2">
      <c r="A683" s="63"/>
      <c r="B683" s="249"/>
      <c r="C683" s="250"/>
      <c r="D683" s="57"/>
      <c r="E683" s="44"/>
      <c r="F683" s="103"/>
      <c r="G683" s="104"/>
      <c r="I683" s="168"/>
      <c r="J683" s="139"/>
    </row>
    <row r="684" spans="1:10" x14ac:dyDescent="0.2">
      <c r="A684" s="63"/>
      <c r="B684" s="249"/>
      <c r="C684" s="250"/>
      <c r="D684" s="57"/>
      <c r="E684" s="44"/>
      <c r="F684" s="103"/>
      <c r="G684" s="104"/>
      <c r="I684" s="168"/>
      <c r="J684" s="139"/>
    </row>
    <row r="685" spans="1:10" x14ac:dyDescent="0.2">
      <c r="A685" s="63"/>
      <c r="B685" s="249"/>
      <c r="C685" s="250"/>
      <c r="D685" s="57"/>
      <c r="E685" s="44"/>
      <c r="F685" s="103"/>
      <c r="G685" s="104"/>
      <c r="I685" s="168"/>
      <c r="J685" s="139"/>
    </row>
    <row r="686" spans="1:10" x14ac:dyDescent="0.2">
      <c r="A686" s="63"/>
      <c r="B686" s="249"/>
      <c r="C686" s="250"/>
      <c r="D686" s="57"/>
      <c r="E686" s="44"/>
      <c r="F686" s="103"/>
      <c r="G686" s="104"/>
      <c r="I686" s="168"/>
      <c r="J686" s="139"/>
    </row>
    <row r="687" spans="1:10" x14ac:dyDescent="0.2">
      <c r="A687" s="63"/>
      <c r="B687" s="249"/>
      <c r="C687" s="250"/>
      <c r="D687" s="57"/>
      <c r="E687" s="44"/>
      <c r="F687" s="103"/>
      <c r="G687" s="104"/>
      <c r="I687" s="168"/>
      <c r="J687" s="139"/>
    </row>
    <row r="688" spans="1:10" x14ac:dyDescent="0.2">
      <c r="A688" s="63"/>
      <c r="B688" s="249"/>
      <c r="C688" s="250"/>
      <c r="D688" s="57"/>
      <c r="E688" s="44"/>
      <c r="F688" s="103"/>
      <c r="G688" s="104"/>
      <c r="I688" s="168"/>
      <c r="J688" s="139"/>
    </row>
    <row r="689" spans="1:10" x14ac:dyDescent="0.2">
      <c r="A689" s="63"/>
      <c r="B689" s="249"/>
      <c r="C689" s="250"/>
      <c r="D689" s="57"/>
      <c r="E689" s="44"/>
      <c r="F689" s="103"/>
      <c r="G689" s="104"/>
      <c r="I689" s="168"/>
      <c r="J689" s="139"/>
    </row>
    <row r="690" spans="1:10" x14ac:dyDescent="0.2">
      <c r="A690" s="63"/>
      <c r="B690" s="249"/>
      <c r="C690" s="250"/>
      <c r="D690" s="57"/>
      <c r="E690" s="44"/>
      <c r="F690" s="103"/>
      <c r="G690" s="104"/>
      <c r="I690" s="168"/>
      <c r="J690" s="139"/>
    </row>
    <row r="691" spans="1:10" x14ac:dyDescent="0.2">
      <c r="A691" s="63"/>
      <c r="B691" s="249"/>
      <c r="C691" s="250"/>
      <c r="D691" s="57"/>
      <c r="E691" s="44"/>
      <c r="F691" s="103"/>
      <c r="G691" s="104"/>
      <c r="I691" s="168"/>
      <c r="J691" s="139"/>
    </row>
    <row r="692" spans="1:10" x14ac:dyDescent="0.2">
      <c r="A692" s="63"/>
      <c r="B692" s="249"/>
      <c r="C692" s="250"/>
      <c r="D692" s="57"/>
      <c r="E692" s="44"/>
      <c r="F692" s="103"/>
      <c r="G692" s="104"/>
      <c r="I692" s="168"/>
      <c r="J692" s="139"/>
    </row>
    <row r="693" spans="1:10" x14ac:dyDescent="0.2">
      <c r="A693" s="63"/>
      <c r="B693" s="249"/>
      <c r="C693" s="250"/>
      <c r="D693" s="57"/>
      <c r="E693" s="44"/>
      <c r="F693" s="103"/>
      <c r="G693" s="104"/>
      <c r="I693" s="168"/>
      <c r="J693" s="139"/>
    </row>
    <row r="694" spans="1:10" x14ac:dyDescent="0.2">
      <c r="A694" s="63"/>
      <c r="B694" s="249"/>
      <c r="C694" s="250"/>
      <c r="D694" s="57"/>
      <c r="E694" s="44"/>
      <c r="F694" s="103"/>
      <c r="G694" s="104"/>
      <c r="I694" s="168"/>
      <c r="J694" s="139"/>
    </row>
    <row r="695" spans="1:10" x14ac:dyDescent="0.2">
      <c r="A695" s="63"/>
      <c r="B695" s="249"/>
      <c r="C695" s="250"/>
      <c r="D695" s="57"/>
      <c r="E695" s="44"/>
      <c r="F695" s="103"/>
      <c r="G695" s="104"/>
      <c r="I695" s="168"/>
      <c r="J695" s="139"/>
    </row>
    <row r="696" spans="1:10" x14ac:dyDescent="0.2">
      <c r="A696" s="63"/>
      <c r="B696" s="249"/>
      <c r="C696" s="250"/>
      <c r="D696" s="57"/>
      <c r="E696" s="44"/>
      <c r="F696" s="103"/>
      <c r="G696" s="104"/>
      <c r="I696" s="168"/>
      <c r="J696" s="139"/>
    </row>
    <row r="697" spans="1:10" x14ac:dyDescent="0.2">
      <c r="A697" s="63"/>
      <c r="B697" s="249"/>
      <c r="C697" s="250"/>
      <c r="D697" s="57"/>
      <c r="E697" s="44"/>
      <c r="F697" s="103"/>
      <c r="G697" s="104"/>
      <c r="I697" s="168"/>
      <c r="J697" s="139"/>
    </row>
    <row r="698" spans="1:10" x14ac:dyDescent="0.2">
      <c r="A698" s="63"/>
      <c r="B698" s="249"/>
      <c r="C698" s="250"/>
      <c r="D698" s="57"/>
      <c r="E698" s="44"/>
      <c r="F698" s="103"/>
      <c r="G698" s="104"/>
      <c r="I698" s="168"/>
      <c r="J698" s="139"/>
    </row>
    <row r="699" spans="1:10" x14ac:dyDescent="0.2">
      <c r="A699" s="63"/>
      <c r="B699" s="249"/>
      <c r="C699" s="250"/>
      <c r="D699" s="57"/>
      <c r="E699" s="44"/>
      <c r="F699" s="103"/>
      <c r="G699" s="104"/>
      <c r="I699" s="168"/>
      <c r="J699" s="139"/>
    </row>
    <row r="700" spans="1:10" x14ac:dyDescent="0.2">
      <c r="A700" s="63"/>
      <c r="B700" s="249"/>
      <c r="C700" s="250"/>
      <c r="D700" s="57"/>
      <c r="E700" s="44"/>
      <c r="F700" s="103"/>
      <c r="G700" s="104"/>
      <c r="I700" s="168"/>
      <c r="J700" s="139"/>
    </row>
    <row r="701" spans="1:10" x14ac:dyDescent="0.2">
      <c r="A701" s="63"/>
      <c r="B701" s="249"/>
      <c r="C701" s="250"/>
      <c r="D701" s="57"/>
      <c r="E701" s="44"/>
      <c r="F701" s="103"/>
      <c r="G701" s="104"/>
      <c r="I701" s="168"/>
      <c r="J701" s="139"/>
    </row>
    <row r="702" spans="1:10" x14ac:dyDescent="0.2">
      <c r="A702" s="63"/>
      <c r="B702" s="249"/>
      <c r="C702" s="250"/>
      <c r="D702" s="57"/>
      <c r="E702" s="44"/>
      <c r="F702" s="103"/>
      <c r="G702" s="104"/>
      <c r="I702" s="168"/>
      <c r="J702" s="139"/>
    </row>
    <row r="703" spans="1:10" x14ac:dyDescent="0.2">
      <c r="A703" s="63"/>
      <c r="B703" s="249"/>
      <c r="C703" s="250"/>
      <c r="D703" s="57"/>
      <c r="E703" s="44"/>
      <c r="F703" s="103"/>
      <c r="G703" s="104"/>
      <c r="I703" s="168"/>
      <c r="J703" s="139"/>
    </row>
    <row r="704" spans="1:10" ht="12.75" thickBot="1" x14ac:dyDescent="0.25">
      <c r="A704" s="63"/>
      <c r="B704" s="249"/>
      <c r="C704" s="250"/>
      <c r="D704" s="57"/>
      <c r="E704" s="44"/>
      <c r="F704" s="103"/>
      <c r="G704" s="104"/>
      <c r="I704" s="168"/>
      <c r="J704" s="139"/>
    </row>
    <row r="705" spans="1:11" x14ac:dyDescent="0.2">
      <c r="A705" s="253"/>
      <c r="B705" s="69" t="s">
        <v>188</v>
      </c>
      <c r="C705" s="254"/>
      <c r="D705" s="255"/>
      <c r="E705" s="72"/>
      <c r="F705" s="190"/>
      <c r="G705" s="191"/>
    </row>
    <row r="706" spans="1:11" ht="12.75" thickBot="1" x14ac:dyDescent="0.25">
      <c r="A706" s="256"/>
      <c r="B706" s="74" t="s">
        <v>189</v>
      </c>
      <c r="C706" s="257"/>
      <c r="D706" s="258"/>
      <c r="E706" s="77"/>
      <c r="F706" s="155"/>
      <c r="G706" s="192">
        <f>SUM(G620:G705)</f>
        <v>0</v>
      </c>
    </row>
    <row r="707" spans="1:11" x14ac:dyDescent="0.2">
      <c r="A707" s="193"/>
      <c r="B707" s="80"/>
      <c r="C707" s="42"/>
      <c r="D707" s="43"/>
      <c r="E707" s="44"/>
      <c r="F707" s="59"/>
      <c r="G707" s="150"/>
    </row>
    <row r="708" spans="1:11" x14ac:dyDescent="0.2">
      <c r="A708" s="40"/>
      <c r="B708" s="41" t="s">
        <v>190</v>
      </c>
      <c r="C708" s="56"/>
      <c r="D708" s="57"/>
      <c r="E708" s="44"/>
      <c r="F708" s="59"/>
      <c r="G708" s="60"/>
    </row>
    <row r="709" spans="1:11" x14ac:dyDescent="0.2">
      <c r="A709" s="40"/>
      <c r="B709" s="49" t="s">
        <v>163</v>
      </c>
      <c r="C709" s="56"/>
      <c r="D709" s="57"/>
      <c r="E709" s="44"/>
      <c r="F709" s="59"/>
      <c r="G709" s="60"/>
    </row>
    <row r="710" spans="1:11" x14ac:dyDescent="0.2">
      <c r="A710" s="193" t="s">
        <v>112</v>
      </c>
      <c r="B710" s="98" t="s">
        <v>41</v>
      </c>
      <c r="C710" s="56"/>
      <c r="D710" s="57"/>
      <c r="E710" s="44"/>
      <c r="F710" s="59"/>
      <c r="G710" s="60"/>
    </row>
    <row r="711" spans="1:11" ht="62.25" customHeight="1" x14ac:dyDescent="0.2">
      <c r="A711" s="193"/>
      <c r="B711" s="259" t="s">
        <v>245</v>
      </c>
      <c r="C711" s="260"/>
      <c r="D711" s="260"/>
      <c r="E711" s="260"/>
      <c r="F711" s="260"/>
      <c r="G711" s="261"/>
    </row>
    <row r="712" spans="1:11" ht="42.75" customHeight="1" x14ac:dyDescent="0.2">
      <c r="A712" s="193"/>
      <c r="B712" s="262" t="s">
        <v>118</v>
      </c>
      <c r="C712" s="262"/>
      <c r="D712" s="262"/>
      <c r="E712" s="262"/>
      <c r="F712" s="262"/>
      <c r="G712" s="263"/>
      <c r="I712" s="139"/>
    </row>
    <row r="713" spans="1:11" ht="36.75" customHeight="1" x14ac:dyDescent="0.2">
      <c r="A713" s="40"/>
      <c r="B713" s="264" t="s">
        <v>232</v>
      </c>
      <c r="C713" s="264"/>
      <c r="D713" s="264"/>
      <c r="E713" s="264"/>
      <c r="F713" s="264"/>
      <c r="G713" s="265"/>
    </row>
    <row r="714" spans="1:11" x14ac:dyDescent="0.2">
      <c r="A714" s="118" t="s">
        <v>169</v>
      </c>
      <c r="B714" s="266" t="s">
        <v>93</v>
      </c>
      <c r="C714" s="131"/>
      <c r="D714" s="121"/>
      <c r="E714" s="122"/>
      <c r="F714" s="121"/>
      <c r="G714" s="201"/>
    </row>
    <row r="715" spans="1:11" x14ac:dyDescent="0.2">
      <c r="A715" s="238" t="s">
        <v>151</v>
      </c>
      <c r="B715" s="239" t="s">
        <v>288</v>
      </c>
      <c r="C715" s="267"/>
      <c r="D715" s="268"/>
      <c r="E715" s="269"/>
      <c r="F715" s="165"/>
      <c r="G715" s="166"/>
    </row>
    <row r="716" spans="1:11" ht="13.5" x14ac:dyDescent="0.2">
      <c r="A716" s="193"/>
      <c r="B716" s="270" t="s">
        <v>515</v>
      </c>
      <c r="C716" s="81" t="s">
        <v>355</v>
      </c>
      <c r="D716" s="57">
        <v>618.15</v>
      </c>
      <c r="E716" s="44"/>
      <c r="F716" s="59"/>
      <c r="G716" s="60"/>
      <c r="I716" s="168">
        <f>D482+D483+D475+D484</f>
        <v>618.11999999999989</v>
      </c>
    </row>
    <row r="717" spans="1:11" x14ac:dyDescent="0.2">
      <c r="A717" s="238" t="s">
        <v>152</v>
      </c>
      <c r="B717" s="239" t="s">
        <v>289</v>
      </c>
      <c r="C717" s="267"/>
      <c r="D717" s="268"/>
      <c r="E717" s="269"/>
      <c r="F717" s="165"/>
      <c r="G717" s="166"/>
      <c r="I717" s="168"/>
    </row>
    <row r="718" spans="1:11" ht="15" customHeight="1" x14ac:dyDescent="0.2">
      <c r="A718" s="193"/>
      <c r="B718" s="270" t="s">
        <v>406</v>
      </c>
      <c r="C718" s="81" t="s">
        <v>355</v>
      </c>
      <c r="D718" s="57">
        <v>8.02</v>
      </c>
      <c r="E718" s="44"/>
      <c r="F718" s="59"/>
      <c r="G718" s="60">
        <f>(D718*E718)+(D718*F718)</f>
        <v>0</v>
      </c>
      <c r="I718" s="168"/>
    </row>
    <row r="719" spans="1:11" ht="13.5" x14ac:dyDescent="0.2">
      <c r="A719" s="193"/>
      <c r="B719" s="270" t="s">
        <v>556</v>
      </c>
      <c r="C719" s="81" t="s">
        <v>355</v>
      </c>
      <c r="D719" s="57">
        <v>66.8</v>
      </c>
      <c r="E719" s="44"/>
      <c r="F719" s="59"/>
      <c r="G719" s="60">
        <f t="shared" ref="G719" si="145">(D719*E719)+(D719*F719)</f>
        <v>0</v>
      </c>
      <c r="I719" s="168">
        <f>31.35*1.925</f>
        <v>60.348750000000003</v>
      </c>
      <c r="J719" s="28">
        <v>6.45</v>
      </c>
      <c r="K719" s="168">
        <f>SUM(I719:J719)</f>
        <v>66.798749999999998</v>
      </c>
    </row>
    <row r="720" spans="1:11" x14ac:dyDescent="0.2">
      <c r="A720" s="238" t="s">
        <v>57</v>
      </c>
      <c r="B720" s="239" t="s">
        <v>528</v>
      </c>
      <c r="C720" s="267"/>
      <c r="D720" s="268"/>
      <c r="E720" s="269"/>
      <c r="F720" s="165"/>
      <c r="G720" s="166"/>
    </row>
    <row r="721" spans="1:10" ht="13.5" x14ac:dyDescent="0.2">
      <c r="A721" s="193"/>
      <c r="B721" s="270" t="s">
        <v>558</v>
      </c>
      <c r="C721" s="81" t="s">
        <v>355</v>
      </c>
      <c r="D721" s="57">
        <v>17.25</v>
      </c>
      <c r="E721" s="44"/>
      <c r="F721" s="59"/>
      <c r="G721" s="60">
        <f t="shared" ref="G721" si="146">(D721*E721)+(D721*F721)</f>
        <v>0</v>
      </c>
      <c r="I721" s="28">
        <f>31.35*0.55</f>
        <v>17.242500000000003</v>
      </c>
    </row>
    <row r="722" spans="1:10" ht="13.5" x14ac:dyDescent="0.2">
      <c r="A722" s="193"/>
      <c r="B722" s="270" t="s">
        <v>529</v>
      </c>
      <c r="C722" s="81" t="s">
        <v>355</v>
      </c>
      <c r="D722" s="57">
        <v>111.7</v>
      </c>
      <c r="E722" s="44"/>
      <c r="F722" s="59"/>
      <c r="G722" s="60">
        <f t="shared" ref="G722" si="147">(D722*E722)+(D722*F722)</f>
        <v>0</v>
      </c>
      <c r="I722" s="28">
        <f>30.1*2+10.7*2+17*2+10.3*2</f>
        <v>136.19999999999999</v>
      </c>
      <c r="J722" s="28">
        <f>I722*0.82</f>
        <v>111.68399999999998</v>
      </c>
    </row>
    <row r="723" spans="1:10" x14ac:dyDescent="0.2">
      <c r="A723" s="118" t="s">
        <v>297</v>
      </c>
      <c r="B723" s="266" t="s">
        <v>298</v>
      </c>
      <c r="C723" s="131"/>
      <c r="D723" s="121"/>
      <c r="E723" s="122"/>
      <c r="F723" s="121"/>
      <c r="G723" s="201"/>
    </row>
    <row r="724" spans="1:10" x14ac:dyDescent="0.2">
      <c r="A724" s="204" t="s">
        <v>545</v>
      </c>
      <c r="B724" s="330" t="s">
        <v>547</v>
      </c>
      <c r="C724" s="380"/>
      <c r="D724" s="57"/>
      <c r="E724" s="207"/>
      <c r="F724" s="57"/>
      <c r="G724" s="381"/>
    </row>
    <row r="725" spans="1:10" ht="36" x14ac:dyDescent="0.2">
      <c r="A725" s="40" t="s">
        <v>164</v>
      </c>
      <c r="B725" s="270" t="s">
        <v>546</v>
      </c>
      <c r="C725" s="81" t="s">
        <v>15</v>
      </c>
      <c r="D725" s="57">
        <v>1</v>
      </c>
      <c r="E725" s="44"/>
      <c r="F725" s="59"/>
      <c r="G725" s="60">
        <f>(D725*E725)+(D725*F725)</f>
        <v>0</v>
      </c>
      <c r="I725" s="139">
        <f>I716+3.9*2.6+111.7</f>
        <v>739.95999999999992</v>
      </c>
    </row>
    <row r="726" spans="1:10" x14ac:dyDescent="0.2">
      <c r="A726" s="193" t="s">
        <v>544</v>
      </c>
      <c r="B726" s="379" t="s">
        <v>254</v>
      </c>
      <c r="C726" s="81"/>
      <c r="D726" s="57"/>
      <c r="E726" s="44"/>
      <c r="F726" s="59"/>
      <c r="G726" s="60"/>
    </row>
    <row r="727" spans="1:10" ht="36" x14ac:dyDescent="0.2">
      <c r="A727" s="40" t="s">
        <v>164</v>
      </c>
      <c r="B727" s="270" t="s">
        <v>299</v>
      </c>
      <c r="C727" s="81" t="s">
        <v>295</v>
      </c>
      <c r="D727" s="57">
        <f>D813</f>
        <v>156</v>
      </c>
      <c r="E727" s="44"/>
      <c r="F727" s="59"/>
      <c r="G727" s="60">
        <f>(D727*E727)+(D727*F727)</f>
        <v>0</v>
      </c>
    </row>
    <row r="728" spans="1:10" x14ac:dyDescent="0.2">
      <c r="A728" s="118" t="s">
        <v>549</v>
      </c>
      <c r="B728" s="266" t="s">
        <v>550</v>
      </c>
      <c r="C728" s="131"/>
      <c r="D728" s="121"/>
      <c r="E728" s="122"/>
      <c r="F728" s="121"/>
      <c r="G728" s="201"/>
    </row>
    <row r="729" spans="1:10" x14ac:dyDescent="0.2">
      <c r="A729" s="193"/>
      <c r="B729" s="382" t="s">
        <v>69</v>
      </c>
      <c r="C729" s="81"/>
      <c r="D729" s="57"/>
      <c r="E729" s="44"/>
      <c r="F729" s="59"/>
      <c r="G729" s="60">
        <f t="shared" ref="G729:G735" si="148">(D729*E729)+(D729*F729)</f>
        <v>0</v>
      </c>
    </row>
    <row r="730" spans="1:10" x14ac:dyDescent="0.2">
      <c r="A730" s="193"/>
      <c r="B730" s="270" t="s">
        <v>551</v>
      </c>
      <c r="C730" s="81" t="s">
        <v>126</v>
      </c>
      <c r="D730" s="57">
        <v>110</v>
      </c>
      <c r="E730" s="44"/>
      <c r="F730" s="59"/>
      <c r="G730" s="60">
        <f t="shared" si="148"/>
        <v>0</v>
      </c>
      <c r="I730" s="28">
        <f>36*2.9</f>
        <v>104.39999999999999</v>
      </c>
      <c r="J730" s="28">
        <f>I730*105%</f>
        <v>109.61999999999999</v>
      </c>
    </row>
    <row r="731" spans="1:10" x14ac:dyDescent="0.2">
      <c r="A731" s="193"/>
      <c r="B731" s="270" t="s">
        <v>555</v>
      </c>
      <c r="C731" s="81" t="s">
        <v>126</v>
      </c>
      <c r="D731" s="57">
        <v>31.5</v>
      </c>
      <c r="E731" s="44"/>
      <c r="F731" s="59"/>
      <c r="G731" s="60">
        <f t="shared" ref="G731" si="149">(D731*E731)+(D731*F731)</f>
        <v>0</v>
      </c>
    </row>
    <row r="732" spans="1:10" x14ac:dyDescent="0.2">
      <c r="A732" s="193"/>
      <c r="B732" s="270" t="s">
        <v>554</v>
      </c>
      <c r="C732" s="81" t="s">
        <v>126</v>
      </c>
      <c r="D732" s="57">
        <v>31.5</v>
      </c>
      <c r="E732" s="44"/>
      <c r="F732" s="59"/>
      <c r="G732" s="60">
        <f t="shared" si="148"/>
        <v>0</v>
      </c>
    </row>
    <row r="733" spans="1:10" x14ac:dyDescent="0.2">
      <c r="A733" s="193"/>
      <c r="B733" s="270" t="s">
        <v>552</v>
      </c>
      <c r="C733" s="81" t="s">
        <v>126</v>
      </c>
      <c r="D733" s="57">
        <v>190</v>
      </c>
      <c r="E733" s="44"/>
      <c r="F733" s="59"/>
      <c r="G733" s="60">
        <f t="shared" si="148"/>
        <v>0</v>
      </c>
    </row>
    <row r="734" spans="1:10" x14ac:dyDescent="0.2">
      <c r="A734" s="193"/>
      <c r="B734" s="270" t="s">
        <v>553</v>
      </c>
      <c r="C734" s="81" t="s">
        <v>126</v>
      </c>
      <c r="D734" s="57">
        <v>31.5</v>
      </c>
      <c r="E734" s="44"/>
      <c r="F734" s="59"/>
      <c r="G734" s="60">
        <f t="shared" si="148"/>
        <v>0</v>
      </c>
    </row>
    <row r="735" spans="1:10" ht="13.5" x14ac:dyDescent="0.2">
      <c r="A735" s="193"/>
      <c r="B735" s="270" t="s">
        <v>557</v>
      </c>
      <c r="C735" s="81" t="s">
        <v>355</v>
      </c>
      <c r="D735" s="57"/>
      <c r="E735" s="44"/>
      <c r="F735" s="59"/>
      <c r="G735" s="60">
        <f t="shared" si="148"/>
        <v>0</v>
      </c>
    </row>
    <row r="736" spans="1:10" x14ac:dyDescent="0.2">
      <c r="A736" s="193"/>
      <c r="B736" s="270"/>
      <c r="C736" s="81"/>
      <c r="D736" s="57"/>
      <c r="E736" s="44"/>
      <c r="F736" s="59"/>
      <c r="G736" s="60"/>
    </row>
    <row r="737" spans="1:7" x14ac:dyDescent="0.2">
      <c r="A737" s="193"/>
      <c r="B737" s="270"/>
      <c r="C737" s="81"/>
      <c r="D737" s="57"/>
      <c r="E737" s="44"/>
      <c r="F737" s="59"/>
      <c r="G737" s="60"/>
    </row>
    <row r="738" spans="1:7" x14ac:dyDescent="0.2">
      <c r="A738" s="193"/>
      <c r="B738" s="270"/>
      <c r="C738" s="81"/>
      <c r="D738" s="57"/>
      <c r="E738" s="44"/>
      <c r="F738" s="59"/>
      <c r="G738" s="60"/>
    </row>
    <row r="739" spans="1:7" x14ac:dyDescent="0.2">
      <c r="A739" s="193"/>
      <c r="B739" s="270"/>
      <c r="C739" s="81"/>
      <c r="D739" s="57"/>
      <c r="E739" s="44"/>
      <c r="F739" s="59"/>
      <c r="G739" s="60"/>
    </row>
    <row r="740" spans="1:7" x14ac:dyDescent="0.2">
      <c r="A740" s="193"/>
      <c r="B740" s="270"/>
      <c r="C740" s="81"/>
      <c r="D740" s="57"/>
      <c r="E740" s="44"/>
      <c r="F740" s="59"/>
      <c r="G740" s="60"/>
    </row>
    <row r="741" spans="1:7" x14ac:dyDescent="0.2">
      <c r="A741" s="193"/>
      <c r="B741" s="270"/>
      <c r="C741" s="81"/>
      <c r="D741" s="57"/>
      <c r="E741" s="44"/>
      <c r="F741" s="59"/>
      <c r="G741" s="60"/>
    </row>
    <row r="742" spans="1:7" x14ac:dyDescent="0.2">
      <c r="A742" s="193"/>
      <c r="B742" s="270"/>
      <c r="C742" s="81"/>
      <c r="D742" s="57"/>
      <c r="E742" s="44"/>
      <c r="F742" s="59"/>
      <c r="G742" s="60"/>
    </row>
    <row r="743" spans="1:7" x14ac:dyDescent="0.2">
      <c r="A743" s="193"/>
      <c r="B743" s="270"/>
      <c r="C743" s="81"/>
      <c r="D743" s="57"/>
      <c r="E743" s="44"/>
      <c r="F743" s="59"/>
      <c r="G743" s="60"/>
    </row>
    <row r="744" spans="1:7" x14ac:dyDescent="0.2">
      <c r="A744" s="193"/>
      <c r="B744" s="270"/>
      <c r="C744" s="81"/>
      <c r="D744" s="57"/>
      <c r="E744" s="44"/>
      <c r="F744" s="59"/>
      <c r="G744" s="60"/>
    </row>
    <row r="745" spans="1:7" x14ac:dyDescent="0.2">
      <c r="A745" s="193"/>
      <c r="B745" s="270"/>
      <c r="C745" s="81"/>
      <c r="D745" s="57"/>
      <c r="E745" s="44"/>
      <c r="F745" s="59"/>
      <c r="G745" s="60"/>
    </row>
    <row r="746" spans="1:7" x14ac:dyDescent="0.2">
      <c r="A746" s="193"/>
      <c r="B746" s="270"/>
      <c r="C746" s="81"/>
      <c r="D746" s="57"/>
      <c r="E746" s="44"/>
      <c r="F746" s="59"/>
      <c r="G746" s="60"/>
    </row>
    <row r="747" spans="1:7" x14ac:dyDescent="0.2">
      <c r="A747" s="193"/>
      <c r="B747" s="270"/>
      <c r="C747" s="81"/>
      <c r="D747" s="57"/>
      <c r="E747" s="44"/>
      <c r="F747" s="59"/>
      <c r="G747" s="60"/>
    </row>
    <row r="748" spans="1:7" x14ac:dyDescent="0.2">
      <c r="A748" s="193"/>
      <c r="B748" s="270"/>
      <c r="C748" s="81"/>
      <c r="D748" s="57"/>
      <c r="E748" s="44"/>
      <c r="F748" s="59"/>
      <c r="G748" s="60"/>
    </row>
    <row r="749" spans="1:7" ht="12.75" thickBot="1" x14ac:dyDescent="0.25">
      <c r="A749" s="193"/>
      <c r="B749" s="270"/>
      <c r="C749" s="81"/>
      <c r="D749" s="57"/>
      <c r="E749" s="44"/>
      <c r="F749" s="59"/>
      <c r="G749" s="60"/>
    </row>
    <row r="750" spans="1:7" x14ac:dyDescent="0.2">
      <c r="A750" s="68"/>
      <c r="B750" s="69" t="s">
        <v>191</v>
      </c>
      <c r="C750" s="113"/>
      <c r="D750" s="71"/>
      <c r="E750" s="72"/>
      <c r="F750" s="190"/>
      <c r="G750" s="191"/>
    </row>
    <row r="751" spans="1:7" ht="12.75" thickBot="1" x14ac:dyDescent="0.25">
      <c r="A751" s="73"/>
      <c r="B751" s="74" t="s">
        <v>115</v>
      </c>
      <c r="C751" s="114"/>
      <c r="D751" s="76"/>
      <c r="E751" s="77"/>
      <c r="F751" s="155"/>
      <c r="G751" s="192">
        <f>SUM(G716:G725)</f>
        <v>0</v>
      </c>
    </row>
    <row r="752" spans="1:7" x14ac:dyDescent="0.2">
      <c r="A752" s="40"/>
      <c r="B752" s="80"/>
      <c r="C752" s="56"/>
      <c r="D752" s="57"/>
      <c r="E752" s="44"/>
      <c r="F752" s="59"/>
      <c r="G752" s="150"/>
    </row>
    <row r="753" spans="1:11" x14ac:dyDescent="0.2">
      <c r="A753" s="40"/>
      <c r="B753" s="41" t="s">
        <v>116</v>
      </c>
      <c r="C753" s="56"/>
      <c r="D753" s="57"/>
      <c r="E753" s="44"/>
      <c r="F753" s="59"/>
      <c r="G753" s="60"/>
    </row>
    <row r="754" spans="1:11" x14ac:dyDescent="0.2">
      <c r="A754" s="40"/>
      <c r="B754" s="49" t="s">
        <v>95</v>
      </c>
      <c r="C754" s="56"/>
      <c r="D754" s="57"/>
      <c r="E754" s="44"/>
      <c r="F754" s="59"/>
      <c r="G754" s="60"/>
    </row>
    <row r="755" spans="1:11" x14ac:dyDescent="0.2">
      <c r="A755" s="193" t="s">
        <v>117</v>
      </c>
      <c r="B755" s="98" t="s">
        <v>41</v>
      </c>
      <c r="C755" s="56" t="s">
        <v>59</v>
      </c>
      <c r="D755" s="57"/>
      <c r="E755" s="44"/>
      <c r="F755" s="59"/>
      <c r="G755" s="60"/>
      <c r="I755" s="271"/>
      <c r="J755" s="272">
        <v>80.599999999999994</v>
      </c>
      <c r="K755" s="272"/>
    </row>
    <row r="756" spans="1:11" s="274" customFormat="1" ht="51" customHeight="1" x14ac:dyDescent="0.2">
      <c r="A756" s="63"/>
      <c r="B756" s="402" t="s">
        <v>262</v>
      </c>
      <c r="C756" s="403"/>
      <c r="D756" s="403"/>
      <c r="E756" s="404"/>
      <c r="F756" s="109"/>
      <c r="G756" s="273"/>
      <c r="I756" s="271"/>
      <c r="J756" s="275"/>
      <c r="K756" s="272"/>
    </row>
    <row r="757" spans="1:11" s="274" customFormat="1" ht="17.25" customHeight="1" x14ac:dyDescent="0.2">
      <c r="A757" s="63"/>
      <c r="B757" s="405" t="s">
        <v>350</v>
      </c>
      <c r="C757" s="406"/>
      <c r="D757" s="406"/>
      <c r="E757" s="407"/>
      <c r="F757" s="109"/>
      <c r="G757" s="273"/>
      <c r="I757" s="271"/>
      <c r="J757" s="272">
        <v>168.85</v>
      </c>
      <c r="K757" s="272"/>
    </row>
    <row r="758" spans="1:11" s="274" customFormat="1" ht="40.5" customHeight="1" x14ac:dyDescent="0.2">
      <c r="A758" s="63"/>
      <c r="B758" s="405" t="s">
        <v>363</v>
      </c>
      <c r="C758" s="406"/>
      <c r="D758" s="406"/>
      <c r="E758" s="407"/>
      <c r="F758" s="109"/>
      <c r="G758" s="273"/>
      <c r="I758" s="271"/>
      <c r="J758" s="275"/>
      <c r="K758" s="272"/>
    </row>
    <row r="759" spans="1:11" s="274" customFormat="1" ht="52.5" customHeight="1" x14ac:dyDescent="0.2">
      <c r="A759" s="63"/>
      <c r="B759" s="405" t="s">
        <v>364</v>
      </c>
      <c r="C759" s="406"/>
      <c r="D759" s="406"/>
      <c r="E759" s="407"/>
      <c r="F759" s="109"/>
      <c r="G759" s="273"/>
      <c r="I759" s="276"/>
      <c r="J759" s="272">
        <v>139</v>
      </c>
      <c r="K759" s="277"/>
    </row>
    <row r="760" spans="1:11" x14ac:dyDescent="0.2">
      <c r="A760" s="238" t="s">
        <v>151</v>
      </c>
      <c r="B760" s="239" t="s">
        <v>67</v>
      </c>
      <c r="C760" s="240"/>
      <c r="D760" s="241"/>
      <c r="E760" s="220"/>
      <c r="F760" s="165"/>
      <c r="G760" s="166"/>
      <c r="I760" s="272"/>
      <c r="J760" s="277"/>
      <c r="K760" s="272"/>
    </row>
    <row r="761" spans="1:11" ht="36" x14ac:dyDescent="0.2">
      <c r="A761" s="40"/>
      <c r="B761" s="278" t="s">
        <v>365</v>
      </c>
      <c r="C761" s="279" t="s">
        <v>355</v>
      </c>
      <c r="D761" s="91">
        <v>595.4</v>
      </c>
      <c r="E761" s="44"/>
      <c r="F761" s="59"/>
      <c r="G761" s="60">
        <f t="shared" ref="G761:G763" si="150">(D761*E761)+(D761*F761)</f>
        <v>0</v>
      </c>
      <c r="I761" s="272"/>
      <c r="J761" s="275"/>
      <c r="K761" s="272"/>
    </row>
    <row r="762" spans="1:11" ht="24.75" customHeight="1" x14ac:dyDescent="0.2">
      <c r="A762" s="40"/>
      <c r="B762" s="278" t="s">
        <v>366</v>
      </c>
      <c r="C762" s="279" t="s">
        <v>355</v>
      </c>
      <c r="D762" s="91">
        <v>809.2</v>
      </c>
      <c r="E762" s="44"/>
      <c r="F762" s="59"/>
      <c r="G762" s="60">
        <f t="shared" si="150"/>
        <v>0</v>
      </c>
      <c r="I762" s="272"/>
      <c r="J762" s="272">
        <v>143.19999999999999</v>
      </c>
      <c r="K762" s="272"/>
    </row>
    <row r="763" spans="1:11" ht="28.5" customHeight="1" x14ac:dyDescent="0.2">
      <c r="A763" s="40"/>
      <c r="B763" s="278" t="s">
        <v>407</v>
      </c>
      <c r="C763" s="279" t="s">
        <v>355</v>
      </c>
      <c r="D763" s="91">
        <v>702.35</v>
      </c>
      <c r="E763" s="44"/>
      <c r="F763" s="59"/>
      <c r="G763" s="60">
        <f t="shared" si="150"/>
        <v>0</v>
      </c>
      <c r="I763" s="272">
        <f>51.46*4+8.5*3*2+32.2*2</f>
        <v>321.24</v>
      </c>
      <c r="J763" s="275"/>
      <c r="K763" s="272"/>
    </row>
    <row r="764" spans="1:11" x14ac:dyDescent="0.2">
      <c r="A764" s="40"/>
      <c r="B764" s="278"/>
      <c r="C764" s="279"/>
      <c r="D764" s="57"/>
      <c r="E764" s="44"/>
      <c r="F764" s="59"/>
      <c r="G764" s="60"/>
      <c r="I764" s="277"/>
      <c r="J764" s="272"/>
      <c r="K764" s="272"/>
    </row>
    <row r="765" spans="1:11" x14ac:dyDescent="0.2">
      <c r="A765" s="238" t="s">
        <v>152</v>
      </c>
      <c r="B765" s="239" t="s">
        <v>69</v>
      </c>
      <c r="C765" s="240"/>
      <c r="D765" s="241"/>
      <c r="E765" s="220"/>
      <c r="F765" s="165"/>
      <c r="G765" s="166"/>
      <c r="I765" s="272"/>
      <c r="J765" s="277"/>
      <c r="K765" s="272"/>
    </row>
    <row r="766" spans="1:11" ht="36" x14ac:dyDescent="0.2">
      <c r="A766" s="40"/>
      <c r="B766" s="278" t="s">
        <v>365</v>
      </c>
      <c r="C766" s="279" t="s">
        <v>355</v>
      </c>
      <c r="D766" s="91">
        <v>472</v>
      </c>
      <c r="E766" s="44"/>
      <c r="F766" s="59"/>
      <c r="G766" s="60">
        <f t="shared" ref="G766:G768" si="151">(D766*E766)+(D766*F766)</f>
        <v>0</v>
      </c>
      <c r="I766" s="272"/>
      <c r="J766" s="275"/>
      <c r="K766" s="272"/>
    </row>
    <row r="767" spans="1:11" ht="26.25" customHeight="1" x14ac:dyDescent="0.2">
      <c r="A767" s="40"/>
      <c r="B767" s="278" t="s">
        <v>366</v>
      </c>
      <c r="C767" s="279" t="s">
        <v>355</v>
      </c>
      <c r="D767" s="91">
        <v>463.7</v>
      </c>
      <c r="E767" s="44"/>
      <c r="F767" s="59"/>
      <c r="G767" s="60">
        <f t="shared" si="151"/>
        <v>0</v>
      </c>
      <c r="I767" s="272"/>
      <c r="J767" s="272">
        <v>143.19999999999999</v>
      </c>
      <c r="K767" s="272"/>
    </row>
    <row r="768" spans="1:11" ht="28.5" customHeight="1" x14ac:dyDescent="0.2">
      <c r="A768" s="40"/>
      <c r="B768" s="278" t="s">
        <v>407</v>
      </c>
      <c r="C768" s="279" t="s">
        <v>355</v>
      </c>
      <c r="D768" s="91">
        <v>266.2</v>
      </c>
      <c r="E768" s="44"/>
      <c r="F768" s="59"/>
      <c r="G768" s="60">
        <f t="shared" si="151"/>
        <v>0</v>
      </c>
      <c r="I768" s="272">
        <f>51.46*4+32.2*2+8.5*3*2</f>
        <v>321.24</v>
      </c>
      <c r="J768" s="275">
        <f>D718</f>
        <v>8.02</v>
      </c>
      <c r="K768" s="272"/>
    </row>
    <row r="769" spans="1:12" ht="40.5" customHeight="1" x14ac:dyDescent="0.2">
      <c r="A769" s="40"/>
      <c r="B769" s="278" t="s">
        <v>526</v>
      </c>
      <c r="C769" s="279" t="s">
        <v>355</v>
      </c>
      <c r="D769" s="91">
        <v>362.25</v>
      </c>
      <c r="E769" s="44"/>
      <c r="F769" s="59"/>
      <c r="G769" s="60">
        <f t="shared" ref="G769" si="152">(D769*E769)+(D769*F769)</f>
        <v>0</v>
      </c>
      <c r="I769" s="280">
        <f>22.05*16.3</f>
        <v>359.41500000000002</v>
      </c>
      <c r="J769" s="275">
        <f>1.15*1.225*2</f>
        <v>2.8174999999999999</v>
      </c>
      <c r="K769" s="280">
        <f>SUM(I769:J769)</f>
        <v>362.23250000000002</v>
      </c>
    </row>
    <row r="770" spans="1:12" x14ac:dyDescent="0.2">
      <c r="A770" s="238" t="s">
        <v>57</v>
      </c>
      <c r="B770" s="239" t="s">
        <v>71</v>
      </c>
      <c r="C770" s="240"/>
      <c r="D770" s="241"/>
      <c r="E770" s="220"/>
      <c r="F770" s="165"/>
      <c r="G770" s="166"/>
      <c r="J770" s="272">
        <v>319.60000000000002</v>
      </c>
    </row>
    <row r="771" spans="1:12" ht="36" x14ac:dyDescent="0.2">
      <c r="A771" s="40"/>
      <c r="B771" s="278" t="s">
        <v>365</v>
      </c>
      <c r="C771" s="279" t="s">
        <v>355</v>
      </c>
      <c r="D771" s="91">
        <v>344.4</v>
      </c>
      <c r="E771" s="44"/>
      <c r="F771" s="59"/>
      <c r="G771" s="60">
        <f t="shared" ref="G771:G774" si="153">(D771*E771)+(D771*F771)</f>
        <v>0</v>
      </c>
      <c r="J771" s="277"/>
    </row>
    <row r="772" spans="1:12" ht="24" x14ac:dyDescent="0.2">
      <c r="A772" s="40"/>
      <c r="B772" s="278" t="s">
        <v>366</v>
      </c>
      <c r="C772" s="279" t="s">
        <v>355</v>
      </c>
      <c r="D772" s="91">
        <v>747.15</v>
      </c>
      <c r="E772" s="44"/>
      <c r="F772" s="59"/>
      <c r="G772" s="60">
        <f t="shared" si="153"/>
        <v>0</v>
      </c>
      <c r="J772" s="275"/>
    </row>
    <row r="773" spans="1:12" ht="24" x14ac:dyDescent="0.2">
      <c r="A773" s="40"/>
      <c r="B773" s="278" t="s">
        <v>407</v>
      </c>
      <c r="C773" s="279" t="s">
        <v>355</v>
      </c>
      <c r="D773" s="91">
        <v>740</v>
      </c>
      <c r="E773" s="44"/>
      <c r="F773" s="59"/>
      <c r="G773" s="60">
        <f t="shared" si="153"/>
        <v>0</v>
      </c>
      <c r="I773" s="272">
        <f>51.46*4+32.2*2+8.5*3*2</f>
        <v>321.24</v>
      </c>
      <c r="J773" s="272">
        <f>I773-I716</f>
        <v>-296.87999999999988</v>
      </c>
      <c r="K773" s="168"/>
      <c r="L773" s="139"/>
    </row>
    <row r="774" spans="1:12" ht="36" x14ac:dyDescent="0.2">
      <c r="A774" s="40"/>
      <c r="B774" s="278" t="s">
        <v>527</v>
      </c>
      <c r="C774" s="279" t="s">
        <v>355</v>
      </c>
      <c r="D774" s="91">
        <v>77.900000000000006</v>
      </c>
      <c r="E774" s="44"/>
      <c r="F774" s="59"/>
      <c r="G774" s="60">
        <f t="shared" si="153"/>
        <v>0</v>
      </c>
      <c r="I774" s="280"/>
      <c r="J774" s="272"/>
      <c r="K774" s="168"/>
      <c r="L774" s="139"/>
    </row>
    <row r="775" spans="1:12" x14ac:dyDescent="0.2">
      <c r="A775" s="238" t="s">
        <v>153</v>
      </c>
      <c r="B775" s="239" t="s">
        <v>254</v>
      </c>
      <c r="C775" s="240"/>
      <c r="D775" s="241"/>
      <c r="E775" s="220"/>
      <c r="F775" s="165"/>
      <c r="G775" s="166"/>
      <c r="J775" s="272"/>
    </row>
    <row r="776" spans="1:12" ht="36" x14ac:dyDescent="0.2">
      <c r="A776" s="40"/>
      <c r="B776" s="278" t="s">
        <v>365</v>
      </c>
      <c r="C776" s="279" t="s">
        <v>355</v>
      </c>
      <c r="D776" s="57">
        <v>55.2</v>
      </c>
      <c r="E776" s="44"/>
      <c r="F776" s="59"/>
      <c r="G776" s="60">
        <f t="shared" ref="G776" si="154">(D776*E776)+(D776*F776)</f>
        <v>0</v>
      </c>
      <c r="J776" s="272"/>
    </row>
    <row r="777" spans="1:12" x14ac:dyDescent="0.2">
      <c r="A777" s="40"/>
      <c r="B777" s="278"/>
      <c r="C777" s="279"/>
      <c r="D777" s="57"/>
      <c r="E777" s="44"/>
      <c r="F777" s="59"/>
      <c r="G777" s="60"/>
      <c r="J777" s="280"/>
    </row>
    <row r="778" spans="1:12" x14ac:dyDescent="0.2">
      <c r="A778" s="40"/>
      <c r="B778" s="278"/>
      <c r="C778" s="279"/>
      <c r="D778" s="57"/>
      <c r="E778" s="44"/>
      <c r="F778" s="59"/>
      <c r="G778" s="60"/>
      <c r="J778" s="280"/>
    </row>
    <row r="779" spans="1:12" ht="12.75" thickBot="1" x14ac:dyDescent="0.25">
      <c r="A779" s="40"/>
      <c r="B779" s="278"/>
      <c r="C779" s="279"/>
      <c r="D779" s="57"/>
      <c r="E779" s="44"/>
      <c r="F779" s="59"/>
      <c r="G779" s="60"/>
      <c r="J779" s="280"/>
    </row>
    <row r="780" spans="1:12" x14ac:dyDescent="0.2">
      <c r="A780" s="68"/>
      <c r="B780" s="69" t="s">
        <v>192</v>
      </c>
      <c r="C780" s="113"/>
      <c r="D780" s="71"/>
      <c r="E780" s="72"/>
      <c r="F780" s="190"/>
      <c r="G780" s="191"/>
    </row>
    <row r="781" spans="1:12" ht="12.75" thickBot="1" x14ac:dyDescent="0.25">
      <c r="A781" s="73"/>
      <c r="B781" s="74" t="s">
        <v>119</v>
      </c>
      <c r="C781" s="114"/>
      <c r="D781" s="76"/>
      <c r="E781" s="77"/>
      <c r="F781" s="155"/>
      <c r="G781" s="192">
        <f>SUM(G761:G776)</f>
        <v>0</v>
      </c>
    </row>
    <row r="782" spans="1:12" x14ac:dyDescent="0.2">
      <c r="A782" s="40"/>
      <c r="B782" s="41" t="s">
        <v>120</v>
      </c>
      <c r="C782" s="56"/>
      <c r="D782" s="57"/>
      <c r="E782" s="44"/>
      <c r="F782" s="59"/>
      <c r="G782" s="60"/>
    </row>
    <row r="783" spans="1:12" x14ac:dyDescent="0.2">
      <c r="A783" s="40"/>
      <c r="B783" s="49" t="s">
        <v>97</v>
      </c>
      <c r="C783" s="56"/>
      <c r="D783" s="57"/>
      <c r="E783" s="44"/>
      <c r="F783" s="59"/>
      <c r="G783" s="60"/>
    </row>
    <row r="784" spans="1:12" x14ac:dyDescent="0.2">
      <c r="A784" s="193" t="s">
        <v>121</v>
      </c>
      <c r="B784" s="98" t="s">
        <v>41</v>
      </c>
      <c r="C784" s="56"/>
      <c r="D784" s="57"/>
      <c r="E784" s="44"/>
      <c r="F784" s="59"/>
      <c r="G784" s="60"/>
    </row>
    <row r="785" spans="1:9" s="274" customFormat="1" ht="39.75" customHeight="1" x14ac:dyDescent="0.25">
      <c r="A785" s="63"/>
      <c r="B785" s="405" t="s">
        <v>143</v>
      </c>
      <c r="C785" s="406"/>
      <c r="D785" s="406"/>
      <c r="E785" s="406"/>
      <c r="F785" s="407"/>
      <c r="G785" s="159"/>
    </row>
    <row r="786" spans="1:9" x14ac:dyDescent="0.2">
      <c r="A786" s="118" t="s">
        <v>170</v>
      </c>
      <c r="B786" s="119" t="s">
        <v>125</v>
      </c>
      <c r="C786" s="131"/>
      <c r="D786" s="121"/>
      <c r="E786" s="122"/>
      <c r="F786" s="121"/>
      <c r="G786" s="201"/>
    </row>
    <row r="787" spans="1:9" x14ac:dyDescent="0.2">
      <c r="A787" s="238" t="s">
        <v>151</v>
      </c>
      <c r="B787" s="281" t="s">
        <v>67</v>
      </c>
      <c r="C787" s="282"/>
      <c r="D787" s="241"/>
      <c r="E787" s="220"/>
      <c r="F787" s="241"/>
      <c r="G787" s="283"/>
    </row>
    <row r="788" spans="1:9" x14ac:dyDescent="0.2">
      <c r="A788" s="284" t="s">
        <v>164</v>
      </c>
      <c r="B788" s="285" t="s">
        <v>516</v>
      </c>
      <c r="C788" s="286" t="s">
        <v>114</v>
      </c>
      <c r="D788" s="287"/>
      <c r="E788" s="288"/>
      <c r="F788" s="149"/>
      <c r="G788" s="150"/>
    </row>
    <row r="789" spans="1:9" ht="37.5" customHeight="1" x14ac:dyDescent="0.2">
      <c r="A789" s="193"/>
      <c r="B789" s="249" t="s">
        <v>422</v>
      </c>
      <c r="C789" s="250" t="s">
        <v>126</v>
      </c>
      <c r="D789" s="57">
        <v>14</v>
      </c>
      <c r="E789" s="44"/>
      <c r="F789" s="59"/>
      <c r="G789" s="60">
        <f>(D789*E789)+(D789*F789)</f>
        <v>0</v>
      </c>
    </row>
    <row r="790" spans="1:9" ht="49.5" customHeight="1" x14ac:dyDescent="0.2">
      <c r="A790" s="193"/>
      <c r="B790" s="249" t="s">
        <v>423</v>
      </c>
      <c r="C790" s="250" t="s">
        <v>126</v>
      </c>
      <c r="D790" s="57">
        <v>13.5</v>
      </c>
      <c r="E790" s="44"/>
      <c r="F790" s="59"/>
      <c r="G790" s="60">
        <f>(D790*E790)+(D790*F790)</f>
        <v>0</v>
      </c>
    </row>
    <row r="791" spans="1:9" x14ac:dyDescent="0.2">
      <c r="A791" s="238" t="s">
        <v>152</v>
      </c>
      <c r="B791" s="281" t="s">
        <v>69</v>
      </c>
      <c r="C791" s="282"/>
      <c r="D791" s="241"/>
      <c r="E791" s="220"/>
      <c r="F791" s="241"/>
      <c r="G791" s="283"/>
    </row>
    <row r="792" spans="1:9" x14ac:dyDescent="0.2">
      <c r="A792" s="284" t="s">
        <v>164</v>
      </c>
      <c r="B792" s="285" t="s">
        <v>516</v>
      </c>
      <c r="C792" s="286" t="s">
        <v>114</v>
      </c>
      <c r="D792" s="287"/>
      <c r="E792" s="288"/>
      <c r="F792" s="149"/>
      <c r="G792" s="150"/>
    </row>
    <row r="793" spans="1:9" ht="25.5" customHeight="1" x14ac:dyDescent="0.2">
      <c r="A793" s="193"/>
      <c r="B793" s="249" t="s">
        <v>422</v>
      </c>
      <c r="C793" s="250" t="s">
        <v>126</v>
      </c>
      <c r="D793" s="57">
        <v>12.5</v>
      </c>
      <c r="E793" s="44"/>
      <c r="F793" s="59"/>
      <c r="G793" s="60">
        <f>(D793*E793)+(D793*F793)</f>
        <v>0</v>
      </c>
    </row>
    <row r="794" spans="1:9" ht="36" customHeight="1" x14ac:dyDescent="0.2">
      <c r="A794" s="193"/>
      <c r="B794" s="249" t="s">
        <v>423</v>
      </c>
      <c r="C794" s="250" t="s">
        <v>126</v>
      </c>
      <c r="D794" s="57">
        <v>6.7</v>
      </c>
      <c r="E794" s="44"/>
      <c r="F794" s="59"/>
      <c r="G794" s="60">
        <f>(D794*E794)+(D794*F794)</f>
        <v>0</v>
      </c>
    </row>
    <row r="795" spans="1:9" ht="11.25" customHeight="1" x14ac:dyDescent="0.2">
      <c r="A795" s="284" t="s">
        <v>165</v>
      </c>
      <c r="B795" s="285" t="s">
        <v>424</v>
      </c>
      <c r="C795" s="286" t="s">
        <v>114</v>
      </c>
      <c r="D795" s="287"/>
      <c r="E795" s="288"/>
      <c r="F795" s="149"/>
      <c r="G795" s="150"/>
    </row>
    <row r="796" spans="1:9" ht="25.5" customHeight="1" x14ac:dyDescent="0.2">
      <c r="A796" s="193"/>
      <c r="B796" s="249" t="s">
        <v>425</v>
      </c>
      <c r="C796" s="250" t="s">
        <v>126</v>
      </c>
      <c r="D796" s="57">
        <v>26.6</v>
      </c>
      <c r="E796" s="44"/>
      <c r="F796" s="59"/>
      <c r="G796" s="60">
        <f>(D796*E796)+(D796*F796)</f>
        <v>0</v>
      </c>
      <c r="I796" s="28">
        <f>2.85*5+1.8+2.775+1.5+1.7</f>
        <v>22.024999999999999</v>
      </c>
    </row>
    <row r="797" spans="1:9" x14ac:dyDescent="0.2">
      <c r="A797" s="118" t="s">
        <v>170</v>
      </c>
      <c r="B797" s="119" t="s">
        <v>290</v>
      </c>
      <c r="C797" s="131"/>
      <c r="D797" s="121"/>
      <c r="E797" s="122"/>
      <c r="F797" s="121"/>
      <c r="G797" s="201"/>
    </row>
    <row r="798" spans="1:9" ht="48" customHeight="1" x14ac:dyDescent="0.2">
      <c r="A798" s="40" t="s">
        <v>164</v>
      </c>
      <c r="B798" s="249" t="s">
        <v>408</v>
      </c>
      <c r="C798" s="250"/>
      <c r="D798" s="57"/>
      <c r="E798" s="44"/>
      <c r="F798" s="59"/>
      <c r="G798" s="60">
        <f t="shared" ref="G798:G808" si="155">(D798*E798)+(D798*F798)</f>
        <v>0</v>
      </c>
    </row>
    <row r="799" spans="1:9" x14ac:dyDescent="0.2">
      <c r="A799" s="193"/>
      <c r="B799" s="249" t="s">
        <v>517</v>
      </c>
      <c r="C799" s="250" t="s">
        <v>114</v>
      </c>
      <c r="D799" s="57">
        <v>4</v>
      </c>
      <c r="E799" s="44"/>
      <c r="F799" s="59"/>
      <c r="G799" s="60">
        <f t="shared" si="155"/>
        <v>0</v>
      </c>
    </row>
    <row r="800" spans="1:9" x14ac:dyDescent="0.2">
      <c r="A800" s="193"/>
      <c r="B800" s="249" t="s">
        <v>518</v>
      </c>
      <c r="C800" s="250" t="s">
        <v>114</v>
      </c>
      <c r="D800" s="57">
        <v>10</v>
      </c>
      <c r="E800" s="44"/>
      <c r="F800" s="59"/>
      <c r="G800" s="60">
        <f t="shared" ref="G800" si="156">(D800*E800)+(D800*F800)</f>
        <v>0</v>
      </c>
    </row>
    <row r="801" spans="1:10" x14ac:dyDescent="0.2">
      <c r="A801" s="193"/>
      <c r="B801" s="249" t="s">
        <v>519</v>
      </c>
      <c r="C801" s="250" t="s">
        <v>114</v>
      </c>
      <c r="D801" s="57">
        <v>8</v>
      </c>
      <c r="E801" s="44"/>
      <c r="F801" s="59"/>
      <c r="G801" s="60">
        <f t="shared" ref="G801:G802" si="157">(D801*E801)+(D801*F801)</f>
        <v>0</v>
      </c>
    </row>
    <row r="802" spans="1:10" x14ac:dyDescent="0.2">
      <c r="A802" s="193"/>
      <c r="B802" s="249" t="s">
        <v>520</v>
      </c>
      <c r="C802" s="250" t="s">
        <v>114</v>
      </c>
      <c r="D802" s="57">
        <v>4</v>
      </c>
      <c r="E802" s="44"/>
      <c r="F802" s="59"/>
      <c r="G802" s="60">
        <f t="shared" si="157"/>
        <v>0</v>
      </c>
    </row>
    <row r="803" spans="1:10" x14ac:dyDescent="0.2">
      <c r="A803" s="193"/>
      <c r="B803" s="249" t="s">
        <v>521</v>
      </c>
      <c r="C803" s="250" t="s">
        <v>114</v>
      </c>
      <c r="D803" s="57">
        <v>8</v>
      </c>
      <c r="E803" s="44"/>
      <c r="F803" s="59"/>
      <c r="G803" s="60">
        <f t="shared" ref="G803:G806" si="158">(D803*E803)+(D803*F803)</f>
        <v>0</v>
      </c>
    </row>
    <row r="804" spans="1:10" x14ac:dyDescent="0.2">
      <c r="A804" s="193"/>
      <c r="B804" s="249" t="s">
        <v>522</v>
      </c>
      <c r="C804" s="250" t="s">
        <v>114</v>
      </c>
      <c r="D804" s="57">
        <v>4</v>
      </c>
      <c r="E804" s="44"/>
      <c r="F804" s="59"/>
      <c r="G804" s="60">
        <f t="shared" si="158"/>
        <v>0</v>
      </c>
    </row>
    <row r="805" spans="1:10" x14ac:dyDescent="0.2">
      <c r="A805" s="193"/>
      <c r="B805" s="249" t="s">
        <v>523</v>
      </c>
      <c r="C805" s="250" t="s">
        <v>114</v>
      </c>
      <c r="D805" s="57">
        <v>2</v>
      </c>
      <c r="E805" s="44"/>
      <c r="F805" s="59"/>
      <c r="G805" s="60">
        <f t="shared" si="158"/>
        <v>0</v>
      </c>
    </row>
    <row r="806" spans="1:10" x14ac:dyDescent="0.2">
      <c r="A806" s="193"/>
      <c r="B806" s="249" t="s">
        <v>524</v>
      </c>
      <c r="C806" s="250" t="s">
        <v>114</v>
      </c>
      <c r="D806" s="57">
        <v>1</v>
      </c>
      <c r="E806" s="44"/>
      <c r="F806" s="59"/>
      <c r="G806" s="60">
        <f t="shared" si="158"/>
        <v>0</v>
      </c>
    </row>
    <row r="807" spans="1:10" ht="39" customHeight="1" x14ac:dyDescent="0.2">
      <c r="A807" s="40" t="s">
        <v>165</v>
      </c>
      <c r="B807" s="249" t="s">
        <v>300</v>
      </c>
      <c r="C807" s="250" t="s">
        <v>291</v>
      </c>
      <c r="D807" s="57">
        <v>7.6</v>
      </c>
      <c r="E807" s="44"/>
      <c r="F807" s="59"/>
      <c r="G807" s="60">
        <f t="shared" si="155"/>
        <v>0</v>
      </c>
    </row>
    <row r="808" spans="1:10" ht="24" x14ac:dyDescent="0.2">
      <c r="A808" s="40" t="s">
        <v>175</v>
      </c>
      <c r="B808" s="249" t="s">
        <v>525</v>
      </c>
      <c r="C808" s="250" t="s">
        <v>291</v>
      </c>
      <c r="D808" s="57">
        <v>1011</v>
      </c>
      <c r="E808" s="44"/>
      <c r="F808" s="59"/>
      <c r="G808" s="60">
        <f t="shared" si="155"/>
        <v>0</v>
      </c>
      <c r="I808" s="28">
        <v>963</v>
      </c>
      <c r="J808" s="28">
        <f>I808*105%</f>
        <v>1011.1500000000001</v>
      </c>
    </row>
    <row r="809" spans="1:10" ht="24" x14ac:dyDescent="0.2">
      <c r="A809" s="40" t="s">
        <v>176</v>
      </c>
      <c r="B809" s="249" t="s">
        <v>548</v>
      </c>
      <c r="C809" s="279" t="s">
        <v>355</v>
      </c>
      <c r="D809" s="57">
        <v>781.35</v>
      </c>
      <c r="E809" s="44"/>
      <c r="F809" s="59"/>
      <c r="G809" s="60">
        <f t="shared" ref="G809" si="159">(D809*E809)+(D809*F809)</f>
        <v>0</v>
      </c>
      <c r="I809" s="28">
        <f>32.2*6.62*2</f>
        <v>426.32800000000003</v>
      </c>
    </row>
    <row r="810" spans="1:10" ht="36" x14ac:dyDescent="0.2">
      <c r="A810" s="40" t="s">
        <v>177</v>
      </c>
      <c r="B810" s="249" t="s">
        <v>292</v>
      </c>
      <c r="C810" s="279" t="s">
        <v>355</v>
      </c>
      <c r="D810" s="57">
        <f>D809</f>
        <v>781.35</v>
      </c>
      <c r="E810" s="44"/>
      <c r="F810" s="59"/>
      <c r="G810" s="60">
        <f t="shared" ref="G810" si="160">(D810*E810)+(D810*F810)</f>
        <v>0</v>
      </c>
    </row>
    <row r="811" spans="1:10" ht="24" x14ac:dyDescent="0.2">
      <c r="A811" s="40" t="s">
        <v>178</v>
      </c>
      <c r="B811" s="249" t="s">
        <v>293</v>
      </c>
      <c r="C811" s="279" t="s">
        <v>355</v>
      </c>
      <c r="D811" s="57">
        <f>D809</f>
        <v>781.35</v>
      </c>
      <c r="E811" s="44"/>
      <c r="F811" s="59"/>
      <c r="G811" s="60">
        <f t="shared" ref="G811" si="161">(D811*E811)+(D811*F811)</f>
        <v>0</v>
      </c>
    </row>
    <row r="812" spans="1:10" ht="24" x14ac:dyDescent="0.2">
      <c r="A812" s="40" t="s">
        <v>179</v>
      </c>
      <c r="B812" s="249" t="s">
        <v>294</v>
      </c>
      <c r="C812" s="279" t="s">
        <v>295</v>
      </c>
      <c r="D812" s="57">
        <v>83.2</v>
      </c>
      <c r="E812" s="44"/>
      <c r="F812" s="59"/>
      <c r="G812" s="60">
        <f t="shared" ref="G812" si="162">(D812*E812)+(D812*F812)</f>
        <v>0</v>
      </c>
    </row>
    <row r="813" spans="1:10" ht="36.75" thickBot="1" x14ac:dyDescent="0.25">
      <c r="A813" s="40" t="s">
        <v>180</v>
      </c>
      <c r="B813" s="249" t="s">
        <v>296</v>
      </c>
      <c r="C813" s="279" t="s">
        <v>295</v>
      </c>
      <c r="D813" s="57">
        <v>156</v>
      </c>
      <c r="E813" s="44"/>
      <c r="F813" s="59"/>
      <c r="G813" s="60">
        <f t="shared" ref="G813" si="163">(D813*E813)+(D813*F813)</f>
        <v>0</v>
      </c>
      <c r="I813" s="28">
        <f>30.4*2+18.6*2+18.1*2+10.6*2</f>
        <v>155.39999999999998</v>
      </c>
    </row>
    <row r="814" spans="1:10" x14ac:dyDescent="0.2">
      <c r="A814" s="253"/>
      <c r="B814" s="69" t="s">
        <v>193</v>
      </c>
      <c r="C814" s="113"/>
      <c r="D814" s="71"/>
      <c r="E814" s="72"/>
      <c r="F814" s="190"/>
      <c r="G814" s="191"/>
    </row>
    <row r="815" spans="1:10" ht="12.75" thickBot="1" x14ac:dyDescent="0.25">
      <c r="A815" s="256"/>
      <c r="B815" s="74" t="s">
        <v>122</v>
      </c>
      <c r="C815" s="114"/>
      <c r="D815" s="76"/>
      <c r="E815" s="77"/>
      <c r="F815" s="155"/>
      <c r="G815" s="192">
        <f>SUM(G789:G814)</f>
        <v>0</v>
      </c>
    </row>
    <row r="816" spans="1:10" x14ac:dyDescent="0.2">
      <c r="A816" s="193"/>
      <c r="B816" s="80"/>
      <c r="C816" s="56"/>
      <c r="D816" s="57"/>
      <c r="E816" s="44"/>
      <c r="F816" s="59"/>
      <c r="G816" s="60"/>
    </row>
    <row r="817" spans="1:9" x14ac:dyDescent="0.2">
      <c r="A817" s="40"/>
      <c r="B817" s="41" t="s">
        <v>123</v>
      </c>
      <c r="C817" s="56"/>
      <c r="D817" s="57"/>
      <c r="E817" s="44"/>
      <c r="F817" s="59"/>
      <c r="G817" s="60"/>
    </row>
    <row r="818" spans="1:9" x14ac:dyDescent="0.2">
      <c r="A818" s="40"/>
      <c r="B818" s="49" t="s">
        <v>129</v>
      </c>
      <c r="C818" s="56"/>
      <c r="D818" s="57"/>
      <c r="E818" s="44"/>
      <c r="F818" s="59"/>
      <c r="G818" s="60"/>
    </row>
    <row r="819" spans="1:9" x14ac:dyDescent="0.2">
      <c r="A819" s="193" t="s">
        <v>124</v>
      </c>
      <c r="B819" s="98" t="s">
        <v>41</v>
      </c>
      <c r="C819" s="56"/>
      <c r="D819" s="57"/>
      <c r="E819" s="44"/>
      <c r="F819" s="59"/>
      <c r="G819" s="60"/>
    </row>
    <row r="820" spans="1:9" ht="36" customHeight="1" x14ac:dyDescent="0.2">
      <c r="A820" s="40"/>
      <c r="B820" s="62" t="s">
        <v>162</v>
      </c>
      <c r="C820" s="194"/>
      <c r="D820" s="194"/>
      <c r="E820" s="194"/>
      <c r="F820" s="194"/>
      <c r="G820" s="195"/>
    </row>
    <row r="821" spans="1:9" ht="51" customHeight="1" x14ac:dyDescent="0.2">
      <c r="A821" s="101"/>
      <c r="B821" s="62" t="s">
        <v>161</v>
      </c>
      <c r="C821" s="194"/>
      <c r="D821" s="194"/>
      <c r="E821" s="194"/>
      <c r="F821" s="194"/>
      <c r="G821" s="195"/>
    </row>
    <row r="822" spans="1:9" ht="28.5" customHeight="1" x14ac:dyDescent="0.2">
      <c r="A822" s="40"/>
      <c r="B822" s="62" t="s">
        <v>248</v>
      </c>
      <c r="C822" s="194"/>
      <c r="D822" s="194"/>
      <c r="E822" s="194"/>
      <c r="F822" s="194"/>
      <c r="G822" s="195"/>
    </row>
    <row r="823" spans="1:9" ht="36.75" customHeight="1" x14ac:dyDescent="0.2">
      <c r="A823" s="40"/>
      <c r="B823" s="62" t="s">
        <v>160</v>
      </c>
      <c r="C823" s="194"/>
      <c r="D823" s="194"/>
      <c r="E823" s="194"/>
      <c r="F823" s="194"/>
      <c r="G823" s="195"/>
    </row>
    <row r="824" spans="1:9" ht="29.25" customHeight="1" x14ac:dyDescent="0.2">
      <c r="A824" s="40"/>
      <c r="B824" s="62" t="s">
        <v>249</v>
      </c>
      <c r="C824" s="194"/>
      <c r="D824" s="194"/>
      <c r="E824" s="194"/>
      <c r="F824" s="194"/>
      <c r="G824" s="195"/>
    </row>
    <row r="825" spans="1:9" x14ac:dyDescent="0.2">
      <c r="A825" s="289" t="s">
        <v>151</v>
      </c>
      <c r="B825" s="290" t="s">
        <v>67</v>
      </c>
      <c r="C825" s="291"/>
      <c r="D825" s="292"/>
      <c r="E825" s="269"/>
      <c r="F825" s="165"/>
      <c r="G825" s="166">
        <f>D825*E825</f>
        <v>0</v>
      </c>
    </row>
    <row r="826" spans="1:9" x14ac:dyDescent="0.2">
      <c r="A826" s="293" t="s">
        <v>164</v>
      </c>
      <c r="B826" s="294" t="s">
        <v>131</v>
      </c>
      <c r="C826" s="217"/>
      <c r="D826" s="295"/>
      <c r="E826" s="213"/>
      <c r="F826" s="218"/>
      <c r="G826" s="296"/>
    </row>
    <row r="827" spans="1:9" x14ac:dyDescent="0.2">
      <c r="A827" s="297" t="s">
        <v>184</v>
      </c>
      <c r="B827" s="187" t="s">
        <v>201</v>
      </c>
      <c r="C827" s="81" t="s">
        <v>15</v>
      </c>
      <c r="D827" s="188">
        <v>1</v>
      </c>
      <c r="E827" s="44"/>
      <c r="F827" s="59"/>
      <c r="G827" s="60">
        <f>(D827*E827)+(D827*F827)</f>
        <v>0</v>
      </c>
    </row>
    <row r="828" spans="1:9" ht="27" customHeight="1" x14ac:dyDescent="0.2">
      <c r="A828" s="297" t="s">
        <v>185</v>
      </c>
      <c r="B828" s="187" t="s">
        <v>202</v>
      </c>
      <c r="C828" s="81" t="s">
        <v>15</v>
      </c>
      <c r="D828" s="188">
        <v>1</v>
      </c>
      <c r="E828" s="44"/>
      <c r="F828" s="59"/>
      <c r="G828" s="60">
        <f>(D828*E828)+(D828*F828)</f>
        <v>0</v>
      </c>
    </row>
    <row r="829" spans="1:9" ht="36" x14ac:dyDescent="0.2">
      <c r="A829" s="297" t="s">
        <v>186</v>
      </c>
      <c r="B829" s="187" t="s">
        <v>233</v>
      </c>
      <c r="C829" s="81" t="s">
        <v>114</v>
      </c>
      <c r="D829" s="188">
        <v>1</v>
      </c>
      <c r="E829" s="44"/>
      <c r="F829" s="59"/>
      <c r="G829" s="60">
        <f>(D829*E829)+(D829*F829)</f>
        <v>0</v>
      </c>
    </row>
    <row r="830" spans="1:9" x14ac:dyDescent="0.2">
      <c r="A830" s="293" t="s">
        <v>165</v>
      </c>
      <c r="B830" s="298" t="s">
        <v>132</v>
      </c>
      <c r="C830" s="217"/>
      <c r="D830" s="295"/>
      <c r="E830" s="213"/>
      <c r="F830" s="214"/>
      <c r="G830" s="215">
        <f>D830*E830</f>
        <v>0</v>
      </c>
    </row>
    <row r="831" spans="1:9" x14ac:dyDescent="0.2">
      <c r="A831" s="297" t="s">
        <v>164</v>
      </c>
      <c r="B831" s="187" t="s">
        <v>343</v>
      </c>
      <c r="C831" s="81" t="s">
        <v>114</v>
      </c>
      <c r="D831" s="188">
        <v>2</v>
      </c>
      <c r="E831" s="44"/>
      <c r="F831" s="59"/>
      <c r="G831" s="60">
        <f>(D831*E831)+(D831*F831)</f>
        <v>0</v>
      </c>
      <c r="I831" s="299"/>
    </row>
    <row r="832" spans="1:9" x14ac:dyDescent="0.2">
      <c r="A832" s="297" t="s">
        <v>165</v>
      </c>
      <c r="B832" s="187" t="s">
        <v>344</v>
      </c>
      <c r="C832" s="81" t="s">
        <v>114</v>
      </c>
      <c r="D832" s="188">
        <v>1</v>
      </c>
      <c r="E832" s="44"/>
      <c r="F832" s="59"/>
      <c r="G832" s="60">
        <f t="shared" ref="G832" si="164">(D832*E832)+(D832*F832)</f>
        <v>0</v>
      </c>
      <c r="I832" s="299"/>
    </row>
    <row r="833" spans="1:10" x14ac:dyDescent="0.2">
      <c r="A833" s="297" t="s">
        <v>175</v>
      </c>
      <c r="B833" s="187" t="s">
        <v>345</v>
      </c>
      <c r="C833" s="81" t="s">
        <v>114</v>
      </c>
      <c r="D833" s="188">
        <f>D832</f>
        <v>1</v>
      </c>
      <c r="E833" s="44"/>
      <c r="F833" s="59"/>
      <c r="G833" s="60">
        <f t="shared" ref="G833:G842" si="165">(D833*E833)+(D833*F833)</f>
        <v>0</v>
      </c>
      <c r="I833" s="299"/>
    </row>
    <row r="834" spans="1:10" x14ac:dyDescent="0.2">
      <c r="A834" s="297" t="s">
        <v>176</v>
      </c>
      <c r="B834" s="187" t="s">
        <v>133</v>
      </c>
      <c r="C834" s="81" t="s">
        <v>114</v>
      </c>
      <c r="D834" s="188">
        <f>D831</f>
        <v>2</v>
      </c>
      <c r="E834" s="44"/>
      <c r="F834" s="59"/>
      <c r="G834" s="60">
        <f t="shared" si="165"/>
        <v>0</v>
      </c>
      <c r="I834" s="299"/>
    </row>
    <row r="835" spans="1:10" x14ac:dyDescent="0.2">
      <c r="A835" s="297" t="s">
        <v>177</v>
      </c>
      <c r="B835" s="187" t="s">
        <v>349</v>
      </c>
      <c r="C835" s="81" t="s">
        <v>114</v>
      </c>
      <c r="D835" s="188">
        <v>1</v>
      </c>
      <c r="E835" s="44"/>
      <c r="F835" s="59"/>
      <c r="G835" s="60">
        <f t="shared" si="165"/>
        <v>0</v>
      </c>
      <c r="I835" s="299"/>
    </row>
    <row r="836" spans="1:10" x14ac:dyDescent="0.2">
      <c r="A836" s="297" t="s">
        <v>178</v>
      </c>
      <c r="B836" s="187" t="s">
        <v>346</v>
      </c>
      <c r="C836" s="81" t="s">
        <v>114</v>
      </c>
      <c r="D836" s="188">
        <f>D831</f>
        <v>2</v>
      </c>
      <c r="E836" s="44"/>
      <c r="F836" s="59"/>
      <c r="G836" s="60">
        <f t="shared" si="165"/>
        <v>0</v>
      </c>
      <c r="I836" s="299"/>
    </row>
    <row r="837" spans="1:10" x14ac:dyDescent="0.2">
      <c r="A837" s="297" t="s">
        <v>179</v>
      </c>
      <c r="B837" s="187" t="s">
        <v>183</v>
      </c>
      <c r="C837" s="81" t="s">
        <v>114</v>
      </c>
      <c r="D837" s="188">
        <v>2</v>
      </c>
      <c r="E837" s="44"/>
      <c r="F837" s="59"/>
      <c r="G837" s="60">
        <f t="shared" si="165"/>
        <v>0</v>
      </c>
      <c r="I837" s="299"/>
    </row>
    <row r="838" spans="1:10" x14ac:dyDescent="0.2">
      <c r="A838" s="297" t="s">
        <v>180</v>
      </c>
      <c r="B838" s="187" t="s">
        <v>347</v>
      </c>
      <c r="C838" s="81" t="s">
        <v>114</v>
      </c>
      <c r="D838" s="188">
        <f>D832</f>
        <v>1</v>
      </c>
      <c r="E838" s="44"/>
      <c r="F838" s="59"/>
      <c r="G838" s="60">
        <f t="shared" si="165"/>
        <v>0</v>
      </c>
      <c r="I838" s="299"/>
    </row>
    <row r="839" spans="1:10" x14ac:dyDescent="0.2">
      <c r="A839" s="297" t="s">
        <v>181</v>
      </c>
      <c r="B839" s="187" t="s">
        <v>539</v>
      </c>
      <c r="C839" s="81" t="s">
        <v>114</v>
      </c>
      <c r="D839" s="188">
        <v>28</v>
      </c>
      <c r="E839" s="44"/>
      <c r="F839" s="59"/>
      <c r="G839" s="60"/>
      <c r="I839" s="299"/>
    </row>
    <row r="840" spans="1:10" x14ac:dyDescent="0.2">
      <c r="A840" s="297" t="s">
        <v>538</v>
      </c>
      <c r="B840" s="187" t="s">
        <v>543</v>
      </c>
      <c r="C840" s="81" t="s">
        <v>114</v>
      </c>
      <c r="D840" s="188">
        <v>28</v>
      </c>
      <c r="E840" s="44"/>
      <c r="F840" s="59"/>
      <c r="G840" s="60"/>
      <c r="I840" s="299"/>
    </row>
    <row r="841" spans="1:10" x14ac:dyDescent="0.2">
      <c r="A841" s="297" t="s">
        <v>540</v>
      </c>
      <c r="B841" s="187" t="s">
        <v>541</v>
      </c>
      <c r="C841" s="81" t="s">
        <v>114</v>
      </c>
      <c r="D841" s="188">
        <v>28</v>
      </c>
      <c r="E841" s="44"/>
      <c r="F841" s="59"/>
      <c r="G841" s="60"/>
      <c r="I841" s="299"/>
    </row>
    <row r="842" spans="1:10" x14ac:dyDescent="0.2">
      <c r="A842" s="297" t="s">
        <v>542</v>
      </c>
      <c r="B842" s="187" t="s">
        <v>246</v>
      </c>
      <c r="C842" s="81" t="s">
        <v>114</v>
      </c>
      <c r="D842" s="188">
        <v>8</v>
      </c>
      <c r="E842" s="44"/>
      <c r="F842" s="59"/>
      <c r="G842" s="60">
        <f t="shared" si="165"/>
        <v>0</v>
      </c>
      <c r="I842" s="299"/>
    </row>
    <row r="843" spans="1:10" ht="12.75" customHeight="1" x14ac:dyDescent="0.2">
      <c r="A843" s="293" t="s">
        <v>165</v>
      </c>
      <c r="B843" s="300" t="s">
        <v>203</v>
      </c>
      <c r="C843" s="301"/>
      <c r="D843" s="295"/>
      <c r="E843" s="213"/>
      <c r="F843" s="214"/>
      <c r="G843" s="215">
        <f t="shared" ref="G843:G846" si="166">(D843*E843)+(D843*F843)</f>
        <v>0</v>
      </c>
    </row>
    <row r="844" spans="1:10" ht="47.25" customHeight="1" x14ac:dyDescent="0.2">
      <c r="A844" s="297" t="s">
        <v>164</v>
      </c>
      <c r="B844" s="187" t="s">
        <v>367</v>
      </c>
      <c r="C844" s="81" t="s">
        <v>15</v>
      </c>
      <c r="D844" s="188">
        <v>1</v>
      </c>
      <c r="E844" s="44"/>
      <c r="F844" s="59"/>
      <c r="G844" s="60">
        <f t="shared" si="166"/>
        <v>0</v>
      </c>
    </row>
    <row r="845" spans="1:10" ht="36.75" customHeight="1" x14ac:dyDescent="0.2">
      <c r="A845" s="297" t="s">
        <v>165</v>
      </c>
      <c r="B845" s="187" t="s">
        <v>368</v>
      </c>
      <c r="C845" s="81" t="s">
        <v>15</v>
      </c>
      <c r="D845" s="188">
        <v>3</v>
      </c>
      <c r="E845" s="44"/>
      <c r="F845" s="59"/>
      <c r="G845" s="60">
        <f t="shared" si="166"/>
        <v>0</v>
      </c>
    </row>
    <row r="846" spans="1:10" ht="63.75" customHeight="1" x14ac:dyDescent="0.2">
      <c r="A846" s="297" t="s">
        <v>175</v>
      </c>
      <c r="B846" s="187" t="s">
        <v>369</v>
      </c>
      <c r="C846" s="143" t="s">
        <v>354</v>
      </c>
      <c r="D846" s="188">
        <v>1.8</v>
      </c>
      <c r="E846" s="44"/>
      <c r="F846" s="59"/>
      <c r="G846" s="60">
        <f t="shared" si="166"/>
        <v>0</v>
      </c>
      <c r="I846" s="139"/>
      <c r="J846" s="139"/>
    </row>
    <row r="847" spans="1:10" ht="12" customHeight="1" x14ac:dyDescent="0.2">
      <c r="A847" s="297"/>
      <c r="B847" s="187"/>
      <c r="C847" s="81"/>
      <c r="D847" s="188"/>
      <c r="E847" s="44"/>
      <c r="F847" s="59"/>
      <c r="G847" s="60"/>
      <c r="I847" s="139"/>
      <c r="J847" s="139"/>
    </row>
    <row r="848" spans="1:10" ht="12" customHeight="1" x14ac:dyDescent="0.2">
      <c r="A848" s="297"/>
      <c r="B848" s="187"/>
      <c r="C848" s="81"/>
      <c r="D848" s="188"/>
      <c r="E848" s="44"/>
      <c r="F848" s="59"/>
      <c r="G848" s="60"/>
      <c r="I848" s="139"/>
      <c r="J848" s="139"/>
    </row>
    <row r="849" spans="1:10" ht="12" customHeight="1" x14ac:dyDescent="0.2">
      <c r="A849" s="297"/>
      <c r="B849" s="187"/>
      <c r="C849" s="81"/>
      <c r="D849" s="188"/>
      <c r="E849" s="44"/>
      <c r="F849" s="59"/>
      <c r="G849" s="60"/>
      <c r="I849" s="139"/>
      <c r="J849" s="139"/>
    </row>
    <row r="850" spans="1:10" ht="12" customHeight="1" x14ac:dyDescent="0.2">
      <c r="A850" s="297"/>
      <c r="B850" s="187"/>
      <c r="C850" s="81"/>
      <c r="D850" s="188"/>
      <c r="E850" s="44"/>
      <c r="F850" s="59"/>
      <c r="G850" s="60"/>
      <c r="I850" s="139"/>
      <c r="J850" s="139"/>
    </row>
    <row r="851" spans="1:10" ht="12" customHeight="1" thickBot="1" x14ac:dyDescent="0.25">
      <c r="A851" s="372"/>
      <c r="B851" s="373"/>
      <c r="C851" s="374"/>
      <c r="D851" s="375"/>
      <c r="E851" s="77"/>
      <c r="F851" s="155"/>
      <c r="G851" s="156"/>
      <c r="I851" s="139"/>
      <c r="J851" s="139"/>
    </row>
    <row r="852" spans="1:10" ht="12" customHeight="1" x14ac:dyDescent="0.2">
      <c r="A852" s="289" t="s">
        <v>152</v>
      </c>
      <c r="B852" s="290" t="s">
        <v>69</v>
      </c>
      <c r="C852" s="291"/>
      <c r="D852" s="292"/>
      <c r="E852" s="269"/>
      <c r="F852" s="165"/>
      <c r="G852" s="166"/>
    </row>
    <row r="853" spans="1:10" x14ac:dyDescent="0.2">
      <c r="A853" s="293" t="s">
        <v>164</v>
      </c>
      <c r="B853" s="294" t="s">
        <v>131</v>
      </c>
      <c r="C853" s="217"/>
      <c r="D853" s="295"/>
      <c r="E853" s="213"/>
      <c r="F853" s="218"/>
      <c r="G853" s="296"/>
      <c r="I853" s="139"/>
      <c r="J853" s="139"/>
    </row>
    <row r="854" spans="1:10" x14ac:dyDescent="0.2">
      <c r="A854" s="297" t="s">
        <v>184</v>
      </c>
      <c r="B854" s="187" t="s">
        <v>201</v>
      </c>
      <c r="C854" s="81" t="s">
        <v>15</v>
      </c>
      <c r="D854" s="188">
        <v>1</v>
      </c>
      <c r="E854" s="44"/>
      <c r="F854" s="59"/>
      <c r="G854" s="60">
        <f>(D854*E854)+(D854*F854)</f>
        <v>0</v>
      </c>
    </row>
    <row r="855" spans="1:10" ht="24" x14ac:dyDescent="0.2">
      <c r="A855" s="297" t="s">
        <v>185</v>
      </c>
      <c r="B855" s="187" t="s">
        <v>202</v>
      </c>
      <c r="C855" s="81" t="s">
        <v>15</v>
      </c>
      <c r="D855" s="188">
        <v>1</v>
      </c>
      <c r="E855" s="44"/>
      <c r="F855" s="59"/>
      <c r="G855" s="60">
        <f>(D855*E855)+(D855*F855)</f>
        <v>0</v>
      </c>
    </row>
    <row r="856" spans="1:10" ht="12.75" customHeight="1" x14ac:dyDescent="0.2">
      <c r="A856" s="293" t="s">
        <v>165</v>
      </c>
      <c r="B856" s="298" t="s">
        <v>132</v>
      </c>
      <c r="C856" s="217"/>
      <c r="D856" s="295"/>
      <c r="E856" s="213"/>
      <c r="F856" s="214"/>
      <c r="G856" s="215"/>
    </row>
    <row r="857" spans="1:10" x14ac:dyDescent="0.2">
      <c r="A857" s="297" t="s">
        <v>164</v>
      </c>
      <c r="B857" s="187" t="s">
        <v>343</v>
      </c>
      <c r="C857" s="81" t="s">
        <v>114</v>
      </c>
      <c r="D857" s="188">
        <v>2</v>
      </c>
      <c r="E857" s="44"/>
      <c r="F857" s="59"/>
      <c r="G857" s="60">
        <f>(D857*E857)+(D857*F857)</f>
        <v>0</v>
      </c>
    </row>
    <row r="858" spans="1:10" x14ac:dyDescent="0.2">
      <c r="A858" s="297" t="s">
        <v>165</v>
      </c>
      <c r="B858" s="187" t="s">
        <v>344</v>
      </c>
      <c r="C858" s="81" t="s">
        <v>114</v>
      </c>
      <c r="D858" s="188">
        <v>2</v>
      </c>
      <c r="E858" s="44"/>
      <c r="F858" s="59"/>
      <c r="G858" s="60">
        <f t="shared" ref="G858:G865" si="167">(D858*E858)+(D858*F858)</f>
        <v>0</v>
      </c>
    </row>
    <row r="859" spans="1:10" x14ac:dyDescent="0.2">
      <c r="A859" s="297" t="s">
        <v>175</v>
      </c>
      <c r="B859" s="187" t="s">
        <v>345</v>
      </c>
      <c r="C859" s="81" t="s">
        <v>114</v>
      </c>
      <c r="D859" s="188">
        <f>D858</f>
        <v>2</v>
      </c>
      <c r="E859" s="44"/>
      <c r="F859" s="59"/>
      <c r="G859" s="60">
        <f t="shared" si="167"/>
        <v>0</v>
      </c>
    </row>
    <row r="860" spans="1:10" ht="14.25" customHeight="1" x14ac:dyDescent="0.2">
      <c r="A860" s="297" t="s">
        <v>176</v>
      </c>
      <c r="B860" s="187" t="s">
        <v>133</v>
      </c>
      <c r="C860" s="81" t="s">
        <v>114</v>
      </c>
      <c r="D860" s="188">
        <f>D857</f>
        <v>2</v>
      </c>
      <c r="E860" s="44"/>
      <c r="F860" s="59"/>
      <c r="G860" s="60">
        <f t="shared" si="167"/>
        <v>0</v>
      </c>
    </row>
    <row r="861" spans="1:10" ht="14.25" customHeight="1" x14ac:dyDescent="0.2">
      <c r="A861" s="297" t="s">
        <v>177</v>
      </c>
      <c r="B861" s="187" t="s">
        <v>409</v>
      </c>
      <c r="C861" s="81" t="s">
        <v>114</v>
      </c>
      <c r="D861" s="188">
        <v>2</v>
      </c>
      <c r="E861" s="44"/>
      <c r="F861" s="59"/>
      <c r="G861" s="60">
        <f t="shared" si="167"/>
        <v>0</v>
      </c>
    </row>
    <row r="862" spans="1:10" x14ac:dyDescent="0.2">
      <c r="A862" s="297" t="s">
        <v>178</v>
      </c>
      <c r="B862" s="187" t="s">
        <v>346</v>
      </c>
      <c r="C862" s="81" t="s">
        <v>114</v>
      </c>
      <c r="D862" s="188">
        <f>D857</f>
        <v>2</v>
      </c>
      <c r="E862" s="44"/>
      <c r="F862" s="59"/>
      <c r="G862" s="60">
        <f t="shared" si="167"/>
        <v>0</v>
      </c>
    </row>
    <row r="863" spans="1:10" x14ac:dyDescent="0.2">
      <c r="A863" s="297" t="s">
        <v>179</v>
      </c>
      <c r="B863" s="187" t="s">
        <v>183</v>
      </c>
      <c r="C863" s="81" t="s">
        <v>114</v>
      </c>
      <c r="D863" s="188">
        <v>5</v>
      </c>
      <c r="E863" s="44"/>
      <c r="F863" s="59"/>
      <c r="G863" s="60">
        <f t="shared" si="167"/>
        <v>0</v>
      </c>
    </row>
    <row r="864" spans="1:10" x14ac:dyDescent="0.2">
      <c r="A864" s="297" t="s">
        <v>180</v>
      </c>
      <c r="B864" s="187" t="s">
        <v>347</v>
      </c>
      <c r="C864" s="81" t="s">
        <v>114</v>
      </c>
      <c r="D864" s="188">
        <f>D858</f>
        <v>2</v>
      </c>
      <c r="E864" s="44"/>
      <c r="F864" s="59"/>
      <c r="G864" s="60">
        <f t="shared" si="167"/>
        <v>0</v>
      </c>
    </row>
    <row r="865" spans="1:7" x14ac:dyDescent="0.2">
      <c r="A865" s="297" t="s">
        <v>181</v>
      </c>
      <c r="B865" s="187" t="s">
        <v>246</v>
      </c>
      <c r="C865" s="81" t="s">
        <v>114</v>
      </c>
      <c r="D865" s="188">
        <v>4</v>
      </c>
      <c r="E865" s="44"/>
      <c r="F865" s="59"/>
      <c r="G865" s="60">
        <f t="shared" si="167"/>
        <v>0</v>
      </c>
    </row>
    <row r="866" spans="1:7" x14ac:dyDescent="0.2">
      <c r="A866" s="293" t="s">
        <v>175</v>
      </c>
      <c r="B866" s="300" t="s">
        <v>203</v>
      </c>
      <c r="C866" s="301"/>
      <c r="D866" s="295"/>
      <c r="E866" s="213"/>
      <c r="F866" s="214"/>
      <c r="G866" s="215">
        <f t="shared" ref="G866:G867" si="168">(D866*E866)+(D866*F866)</f>
        <v>0</v>
      </c>
    </row>
    <row r="867" spans="1:7" ht="48" x14ac:dyDescent="0.2">
      <c r="A867" s="297" t="s">
        <v>164</v>
      </c>
      <c r="B867" s="187" t="s">
        <v>367</v>
      </c>
      <c r="C867" s="81" t="s">
        <v>15</v>
      </c>
      <c r="D867" s="188">
        <v>1</v>
      </c>
      <c r="E867" s="44"/>
      <c r="F867" s="59"/>
      <c r="G867" s="60">
        <f t="shared" si="168"/>
        <v>0</v>
      </c>
    </row>
    <row r="868" spans="1:7" x14ac:dyDescent="0.2">
      <c r="A868" s="289" t="s">
        <v>153</v>
      </c>
      <c r="B868" s="290" t="s">
        <v>254</v>
      </c>
      <c r="C868" s="291"/>
      <c r="D868" s="292"/>
      <c r="E868" s="269"/>
      <c r="F868" s="165"/>
      <c r="G868" s="166"/>
    </row>
    <row r="869" spans="1:7" x14ac:dyDescent="0.2">
      <c r="A869" s="293" t="s">
        <v>164</v>
      </c>
      <c r="B869" s="298" t="s">
        <v>132</v>
      </c>
      <c r="C869" s="217"/>
      <c r="D869" s="295"/>
      <c r="E869" s="213"/>
      <c r="F869" s="214"/>
      <c r="G869" s="215"/>
    </row>
    <row r="870" spans="1:7" x14ac:dyDescent="0.2">
      <c r="A870" s="297" t="s">
        <v>164</v>
      </c>
      <c r="B870" s="187" t="s">
        <v>183</v>
      </c>
      <c r="C870" s="81" t="s">
        <v>114</v>
      </c>
      <c r="D870" s="188">
        <v>4</v>
      </c>
      <c r="E870" s="44"/>
      <c r="F870" s="59"/>
      <c r="G870" s="60">
        <f t="shared" ref="G870" si="169">(D870*E870)+(D870*F870)</f>
        <v>0</v>
      </c>
    </row>
    <row r="871" spans="1:7" x14ac:dyDescent="0.2">
      <c r="A871" s="293" t="s">
        <v>165</v>
      </c>
      <c r="B871" s="300" t="s">
        <v>203</v>
      </c>
      <c r="C871" s="301"/>
      <c r="D871" s="295"/>
      <c r="E871" s="213"/>
      <c r="F871" s="214"/>
      <c r="G871" s="215">
        <f t="shared" ref="G871:G872" si="170">(D871*E871)+(D871*F871)</f>
        <v>0</v>
      </c>
    </row>
    <row r="872" spans="1:7" ht="48" x14ac:dyDescent="0.2">
      <c r="A872" s="297" t="s">
        <v>164</v>
      </c>
      <c r="B872" s="187" t="s">
        <v>531</v>
      </c>
      <c r="C872" s="81" t="s">
        <v>15</v>
      </c>
      <c r="D872" s="188">
        <v>1</v>
      </c>
      <c r="E872" s="44"/>
      <c r="F872" s="59"/>
      <c r="G872" s="60">
        <f t="shared" si="170"/>
        <v>0</v>
      </c>
    </row>
    <row r="873" spans="1:7" ht="48" x14ac:dyDescent="0.2">
      <c r="A873" s="297" t="s">
        <v>165</v>
      </c>
      <c r="B873" s="187" t="s">
        <v>530</v>
      </c>
      <c r="C873" s="81" t="s">
        <v>15</v>
      </c>
      <c r="D873" s="188">
        <v>1</v>
      </c>
      <c r="E873" s="44"/>
      <c r="F873" s="59"/>
      <c r="G873" s="60">
        <f t="shared" ref="G873" si="171">(D873*E873)+(D873*F873)</f>
        <v>0</v>
      </c>
    </row>
    <row r="874" spans="1:7" x14ac:dyDescent="0.2">
      <c r="A874" s="297"/>
      <c r="B874" s="187"/>
      <c r="C874" s="81"/>
      <c r="D874" s="188"/>
      <c r="E874" s="44"/>
      <c r="F874" s="59"/>
      <c r="G874" s="60"/>
    </row>
    <row r="875" spans="1:7" x14ac:dyDescent="0.2">
      <c r="A875" s="297"/>
      <c r="B875" s="187"/>
      <c r="C875" s="81"/>
      <c r="D875" s="188"/>
      <c r="E875" s="44"/>
      <c r="F875" s="59"/>
      <c r="G875" s="60"/>
    </row>
    <row r="876" spans="1:7" x14ac:dyDescent="0.2">
      <c r="A876" s="297"/>
      <c r="B876" s="187"/>
      <c r="C876" s="81"/>
      <c r="D876" s="188"/>
      <c r="E876" s="44"/>
      <c r="F876" s="59"/>
      <c r="G876" s="60"/>
    </row>
    <row r="877" spans="1:7" x14ac:dyDescent="0.2">
      <c r="A877" s="297"/>
      <c r="B877" s="187"/>
      <c r="C877" s="81"/>
      <c r="D877" s="188"/>
      <c r="E877" s="44"/>
      <c r="F877" s="59"/>
      <c r="G877" s="60"/>
    </row>
    <row r="878" spans="1:7" x14ac:dyDescent="0.2">
      <c r="A878" s="297"/>
      <c r="B878" s="187"/>
      <c r="C878" s="81"/>
      <c r="D878" s="188"/>
      <c r="E878" s="44"/>
      <c r="F878" s="59"/>
      <c r="G878" s="60"/>
    </row>
    <row r="879" spans="1:7" x14ac:dyDescent="0.2">
      <c r="A879" s="297"/>
      <c r="B879" s="187"/>
      <c r="C879" s="81"/>
      <c r="D879" s="188"/>
      <c r="E879" s="44"/>
      <c r="F879" s="59"/>
      <c r="G879" s="60"/>
    </row>
    <row r="880" spans="1:7" x14ac:dyDescent="0.2">
      <c r="A880" s="297"/>
      <c r="B880" s="187"/>
      <c r="C880" s="81"/>
      <c r="D880" s="188"/>
      <c r="E880" s="44"/>
      <c r="F880" s="59"/>
      <c r="G880" s="60"/>
    </row>
    <row r="881" spans="1:7" x14ac:dyDescent="0.2">
      <c r="A881" s="297"/>
      <c r="B881" s="187"/>
      <c r="C881" s="81"/>
      <c r="D881" s="188"/>
      <c r="E881" s="44"/>
      <c r="F881" s="59"/>
      <c r="G881" s="60"/>
    </row>
    <row r="882" spans="1:7" x14ac:dyDescent="0.2">
      <c r="A882" s="297"/>
      <c r="B882" s="187"/>
      <c r="C882" s="81"/>
      <c r="D882" s="188"/>
      <c r="E882" s="44"/>
      <c r="F882" s="59"/>
      <c r="G882" s="60"/>
    </row>
    <row r="883" spans="1:7" x14ac:dyDescent="0.2">
      <c r="A883" s="297"/>
      <c r="B883" s="187"/>
      <c r="C883" s="81"/>
      <c r="D883" s="188"/>
      <c r="E883" s="44"/>
      <c r="F883" s="59"/>
      <c r="G883" s="60"/>
    </row>
    <row r="884" spans="1:7" x14ac:dyDescent="0.2">
      <c r="A884" s="297"/>
      <c r="B884" s="187"/>
      <c r="C884" s="81"/>
      <c r="D884" s="188"/>
      <c r="E884" s="44"/>
      <c r="F884" s="59"/>
      <c r="G884" s="60"/>
    </row>
    <row r="885" spans="1:7" x14ac:dyDescent="0.2">
      <c r="A885" s="297"/>
      <c r="B885" s="187"/>
      <c r="C885" s="81"/>
      <c r="D885" s="188"/>
      <c r="E885" s="44"/>
      <c r="F885" s="59"/>
      <c r="G885" s="60"/>
    </row>
    <row r="886" spans="1:7" x14ac:dyDescent="0.2">
      <c r="A886" s="297"/>
      <c r="B886" s="187"/>
      <c r="C886" s="81"/>
      <c r="D886" s="188"/>
      <c r="E886" s="44"/>
      <c r="F886" s="59"/>
      <c r="G886" s="60"/>
    </row>
    <row r="887" spans="1:7" x14ac:dyDescent="0.2">
      <c r="A887" s="297"/>
      <c r="B887" s="187"/>
      <c r="C887" s="81"/>
      <c r="D887" s="188"/>
      <c r="E887" s="44"/>
      <c r="F887" s="59"/>
      <c r="G887" s="60"/>
    </row>
    <row r="888" spans="1:7" x14ac:dyDescent="0.2">
      <c r="A888" s="297"/>
      <c r="B888" s="187"/>
      <c r="C888" s="81"/>
      <c r="D888" s="188"/>
      <c r="E888" s="44"/>
      <c r="F888" s="59"/>
      <c r="G888" s="60"/>
    </row>
    <row r="889" spans="1:7" x14ac:dyDescent="0.2">
      <c r="A889" s="297"/>
      <c r="B889" s="187"/>
      <c r="C889" s="81"/>
      <c r="D889" s="188"/>
      <c r="E889" s="44"/>
      <c r="F889" s="59"/>
      <c r="G889" s="60"/>
    </row>
    <row r="890" spans="1:7" x14ac:dyDescent="0.2">
      <c r="A890" s="297"/>
      <c r="B890" s="187"/>
      <c r="C890" s="81"/>
      <c r="D890" s="188"/>
      <c r="E890" s="44"/>
      <c r="F890" s="59"/>
      <c r="G890" s="60"/>
    </row>
    <row r="891" spans="1:7" x14ac:dyDescent="0.2">
      <c r="A891" s="297"/>
      <c r="B891" s="187"/>
      <c r="C891" s="81"/>
      <c r="D891" s="188"/>
      <c r="E891" s="44"/>
      <c r="F891" s="59"/>
      <c r="G891" s="60"/>
    </row>
    <row r="892" spans="1:7" x14ac:dyDescent="0.2">
      <c r="A892" s="297"/>
      <c r="B892" s="187"/>
      <c r="C892" s="81"/>
      <c r="D892" s="188"/>
      <c r="E892" s="44"/>
      <c r="F892" s="59"/>
      <c r="G892" s="60"/>
    </row>
    <row r="893" spans="1:7" x14ac:dyDescent="0.2">
      <c r="A893" s="297"/>
      <c r="B893" s="187"/>
      <c r="C893" s="81"/>
      <c r="D893" s="188"/>
      <c r="E893" s="44"/>
      <c r="F893" s="59"/>
      <c r="G893" s="60"/>
    </row>
    <row r="894" spans="1:7" x14ac:dyDescent="0.2">
      <c r="A894" s="297"/>
      <c r="B894" s="187"/>
      <c r="C894" s="81"/>
      <c r="D894" s="188"/>
      <c r="E894" s="44"/>
      <c r="F894" s="59"/>
      <c r="G894" s="60"/>
    </row>
    <row r="895" spans="1:7" x14ac:dyDescent="0.2">
      <c r="A895" s="297"/>
      <c r="B895" s="187"/>
      <c r="C895" s="81"/>
      <c r="D895" s="188"/>
      <c r="E895" s="44"/>
      <c r="F895" s="59"/>
      <c r="G895" s="60"/>
    </row>
    <row r="896" spans="1:7" x14ac:dyDescent="0.2">
      <c r="A896" s="297"/>
      <c r="B896" s="187"/>
      <c r="C896" s="81"/>
      <c r="D896" s="188"/>
      <c r="E896" s="44"/>
      <c r="F896" s="59"/>
      <c r="G896" s="60"/>
    </row>
    <row r="897" spans="1:7" x14ac:dyDescent="0.2">
      <c r="A897" s="297"/>
      <c r="B897" s="187"/>
      <c r="C897" s="81"/>
      <c r="D897" s="188"/>
      <c r="E897" s="44"/>
      <c r="F897" s="59"/>
      <c r="G897" s="60"/>
    </row>
    <row r="898" spans="1:7" ht="12.75" thickBot="1" x14ac:dyDescent="0.25">
      <c r="A898" s="297"/>
      <c r="B898" s="187"/>
      <c r="C898" s="81"/>
      <c r="D898" s="188"/>
      <c r="E898" s="44"/>
      <c r="F898" s="59"/>
      <c r="G898" s="60"/>
    </row>
    <row r="899" spans="1:7" x14ac:dyDescent="0.2">
      <c r="A899" s="68"/>
      <c r="B899" s="69" t="s">
        <v>194</v>
      </c>
      <c r="C899" s="113"/>
      <c r="D899" s="71"/>
      <c r="E899" s="72"/>
      <c r="F899" s="190"/>
      <c r="G899" s="191"/>
    </row>
    <row r="900" spans="1:7" ht="12.75" thickBot="1" x14ac:dyDescent="0.25">
      <c r="A900" s="73"/>
      <c r="B900" s="74" t="s">
        <v>127</v>
      </c>
      <c r="C900" s="114"/>
      <c r="D900" s="76"/>
      <c r="E900" s="77"/>
      <c r="F900" s="155"/>
      <c r="G900" s="192">
        <f>SUM(G827:G899)</f>
        <v>0</v>
      </c>
    </row>
    <row r="901" spans="1:7" x14ac:dyDescent="0.2">
      <c r="A901" s="141"/>
      <c r="B901" s="199"/>
      <c r="C901" s="143"/>
      <c r="D901" s="91"/>
      <c r="E901" s="92"/>
      <c r="F901" s="59"/>
      <c r="G901" s="60"/>
    </row>
    <row r="902" spans="1:7" x14ac:dyDescent="0.2">
      <c r="A902" s="40"/>
      <c r="B902" s="41" t="s">
        <v>128</v>
      </c>
      <c r="C902" s="56"/>
      <c r="D902" s="57"/>
      <c r="E902" s="44"/>
      <c r="F902" s="59"/>
      <c r="G902" s="60"/>
    </row>
    <row r="903" spans="1:7" x14ac:dyDescent="0.2">
      <c r="A903" s="40"/>
      <c r="B903" s="49" t="s">
        <v>100</v>
      </c>
      <c r="C903" s="56"/>
      <c r="D903" s="57"/>
      <c r="E903" s="44"/>
      <c r="F903" s="59"/>
      <c r="G903" s="60"/>
    </row>
    <row r="904" spans="1:7" x14ac:dyDescent="0.2">
      <c r="A904" s="302" t="s">
        <v>130</v>
      </c>
      <c r="B904" s="98" t="s">
        <v>41</v>
      </c>
      <c r="C904" s="56"/>
      <c r="D904" s="57"/>
      <c r="E904" s="303"/>
      <c r="F904" s="59"/>
      <c r="G904" s="60"/>
    </row>
    <row r="905" spans="1:7" ht="27.75" customHeight="1" x14ac:dyDescent="0.2">
      <c r="A905" s="304"/>
      <c r="B905" s="408" t="s">
        <v>260</v>
      </c>
      <c r="C905" s="409"/>
      <c r="D905" s="409"/>
      <c r="E905" s="409"/>
      <c r="F905" s="410"/>
      <c r="G905" s="195"/>
    </row>
    <row r="906" spans="1:7" ht="29.25" customHeight="1" x14ac:dyDescent="0.2">
      <c r="A906" s="304"/>
      <c r="B906" s="411" t="s">
        <v>261</v>
      </c>
      <c r="C906" s="412"/>
      <c r="D906" s="412"/>
      <c r="E906" s="412"/>
      <c r="F906" s="413"/>
      <c r="G906" s="195"/>
    </row>
    <row r="907" spans="1:7" ht="41.25" customHeight="1" x14ac:dyDescent="0.2">
      <c r="A907" s="304"/>
      <c r="B907" s="411" t="s">
        <v>259</v>
      </c>
      <c r="C907" s="412"/>
      <c r="D907" s="412"/>
      <c r="E907" s="412"/>
      <c r="F907" s="413"/>
      <c r="G907" s="195"/>
    </row>
    <row r="908" spans="1:7" ht="26.25" customHeight="1" x14ac:dyDescent="0.2">
      <c r="A908" s="305"/>
      <c r="B908" s="411" t="s">
        <v>352</v>
      </c>
      <c r="C908" s="412"/>
      <c r="D908" s="412"/>
      <c r="E908" s="412"/>
      <c r="F908" s="413"/>
      <c r="G908" s="195"/>
    </row>
    <row r="909" spans="1:7" ht="15.75" customHeight="1" x14ac:dyDescent="0.2">
      <c r="A909" s="304"/>
      <c r="B909" s="417" t="s">
        <v>351</v>
      </c>
      <c r="C909" s="418"/>
      <c r="D909" s="418"/>
      <c r="E909" s="418"/>
      <c r="F909" s="419"/>
      <c r="G909" s="195"/>
    </row>
    <row r="910" spans="1:7" ht="17.25" customHeight="1" x14ac:dyDescent="0.2">
      <c r="A910" s="304"/>
      <c r="B910" s="420" t="s">
        <v>348</v>
      </c>
      <c r="C910" s="421"/>
      <c r="D910" s="421"/>
      <c r="E910" s="421"/>
      <c r="F910" s="422"/>
      <c r="G910" s="195"/>
    </row>
    <row r="911" spans="1:7" ht="12" customHeight="1" x14ac:dyDescent="0.2">
      <c r="A911" s="304"/>
      <c r="B911" s="306"/>
      <c r="C911" s="194"/>
      <c r="D911" s="194"/>
      <c r="E911" s="194"/>
      <c r="F911" s="194"/>
      <c r="G911" s="195"/>
    </row>
    <row r="912" spans="1:7" x14ac:dyDescent="0.2">
      <c r="A912" s="307" t="s">
        <v>151</v>
      </c>
      <c r="B912" s="308" t="s">
        <v>67</v>
      </c>
      <c r="C912" s="309"/>
      <c r="D912" s="310"/>
      <c r="E912" s="311"/>
      <c r="F912" s="312"/>
      <c r="G912" s="313"/>
    </row>
    <row r="913" spans="1:7" x14ac:dyDescent="0.2">
      <c r="A913" s="344" t="s">
        <v>164</v>
      </c>
      <c r="B913" s="345" t="s">
        <v>209</v>
      </c>
      <c r="C913" s="334"/>
      <c r="D913" s="335"/>
      <c r="E913" s="207"/>
      <c r="F913" s="180"/>
      <c r="G913" s="216">
        <f>D913*E913</f>
        <v>0</v>
      </c>
    </row>
    <row r="914" spans="1:7" ht="25.5" customHeight="1" x14ac:dyDescent="0.2">
      <c r="A914" s="346" t="s">
        <v>184</v>
      </c>
      <c r="B914" s="347" t="s">
        <v>410</v>
      </c>
      <c r="C914" s="348" t="s">
        <v>8</v>
      </c>
      <c r="D914" s="349">
        <v>1</v>
      </c>
      <c r="E914" s="314"/>
      <c r="F914" s="314"/>
      <c r="G914" s="315">
        <f>+D914*E914+D914*F914</f>
        <v>0</v>
      </c>
    </row>
    <row r="915" spans="1:7" ht="36.75" customHeight="1" x14ac:dyDescent="0.2">
      <c r="A915" s="346" t="s">
        <v>185</v>
      </c>
      <c r="B915" s="350" t="s">
        <v>376</v>
      </c>
      <c r="C915" s="348" t="s">
        <v>8</v>
      </c>
      <c r="D915" s="349">
        <v>2</v>
      </c>
      <c r="E915" s="207"/>
      <c r="F915" s="314"/>
      <c r="G915" s="315">
        <f t="shared" ref="G915:G943" si="172">+D915*E915+D915*F915</f>
        <v>0</v>
      </c>
    </row>
    <row r="916" spans="1:7" x14ac:dyDescent="0.2">
      <c r="A916" s="344" t="s">
        <v>165</v>
      </c>
      <c r="B916" s="345" t="s">
        <v>210</v>
      </c>
      <c r="C916" s="351"/>
      <c r="D916" s="352"/>
      <c r="E916" s="207"/>
      <c r="F916" s="314"/>
      <c r="G916" s="316">
        <f t="shared" si="172"/>
        <v>0</v>
      </c>
    </row>
    <row r="917" spans="1:7" x14ac:dyDescent="0.2">
      <c r="A917" s="346"/>
      <c r="B917" s="350" t="s">
        <v>301</v>
      </c>
      <c r="C917" s="334" t="s">
        <v>8</v>
      </c>
      <c r="D917" s="335">
        <v>56</v>
      </c>
      <c r="E917" s="207"/>
      <c r="F917" s="314"/>
      <c r="G917" s="316">
        <f t="shared" ref="G917" si="173">+D917*E917+D917*F917</f>
        <v>0</v>
      </c>
    </row>
    <row r="918" spans="1:7" x14ac:dyDescent="0.2">
      <c r="A918" s="346"/>
      <c r="B918" s="350" t="s">
        <v>532</v>
      </c>
      <c r="C918" s="334" t="s">
        <v>8</v>
      </c>
      <c r="D918" s="335">
        <v>1</v>
      </c>
      <c r="E918" s="207"/>
      <c r="F918" s="314"/>
      <c r="G918" s="316">
        <f t="shared" ref="G918" si="174">+D918*E918+D918*F918</f>
        <v>0</v>
      </c>
    </row>
    <row r="919" spans="1:7" x14ac:dyDescent="0.2">
      <c r="A919" s="346"/>
      <c r="B919" s="350" t="s">
        <v>302</v>
      </c>
      <c r="C919" s="334" t="s">
        <v>8</v>
      </c>
      <c r="D919" s="335">
        <v>29</v>
      </c>
      <c r="E919" s="207"/>
      <c r="F919" s="314"/>
      <c r="G919" s="316">
        <f t="shared" ref="G919" si="175">+D919*E919+D919*F919</f>
        <v>0</v>
      </c>
    </row>
    <row r="920" spans="1:7" x14ac:dyDescent="0.2">
      <c r="A920" s="346"/>
      <c r="B920" s="350" t="s">
        <v>264</v>
      </c>
      <c r="C920" s="334" t="s">
        <v>8</v>
      </c>
      <c r="D920" s="335">
        <v>6</v>
      </c>
      <c r="E920" s="207"/>
      <c r="F920" s="314"/>
      <c r="G920" s="316">
        <f t="shared" ref="G920" si="176">+D920*E920+D920*F920</f>
        <v>0</v>
      </c>
    </row>
    <row r="921" spans="1:7" x14ac:dyDescent="0.2">
      <c r="A921" s="346"/>
      <c r="B921" s="350" t="s">
        <v>533</v>
      </c>
      <c r="C921" s="334" t="s">
        <v>8</v>
      </c>
      <c r="D921" s="335">
        <v>10</v>
      </c>
      <c r="E921" s="207"/>
      <c r="F921" s="314"/>
      <c r="G921" s="316">
        <f t="shared" ref="G921" si="177">+D921*E921+D921*F921</f>
        <v>0</v>
      </c>
    </row>
    <row r="922" spans="1:7" x14ac:dyDescent="0.2">
      <c r="A922" s="346"/>
      <c r="B922" s="350" t="s">
        <v>250</v>
      </c>
      <c r="C922" s="334" t="s">
        <v>8</v>
      </c>
      <c r="D922" s="335">
        <v>28</v>
      </c>
      <c r="E922" s="207"/>
      <c r="F922" s="314"/>
      <c r="G922" s="316">
        <f t="shared" si="172"/>
        <v>0</v>
      </c>
    </row>
    <row r="923" spans="1:7" x14ac:dyDescent="0.2">
      <c r="A923" s="346"/>
      <c r="B923" s="350" t="s">
        <v>337</v>
      </c>
      <c r="C923" s="334" t="s">
        <v>8</v>
      </c>
      <c r="D923" s="335">
        <v>2</v>
      </c>
      <c r="E923" s="207"/>
      <c r="F923" s="314"/>
      <c r="G923" s="316">
        <f t="shared" si="172"/>
        <v>0</v>
      </c>
    </row>
    <row r="924" spans="1:7" x14ac:dyDescent="0.2">
      <c r="A924" s="346"/>
      <c r="B924" s="350" t="s">
        <v>411</v>
      </c>
      <c r="C924" s="348" t="s">
        <v>8</v>
      </c>
      <c r="D924" s="349">
        <v>48</v>
      </c>
      <c r="E924" s="207"/>
      <c r="F924" s="314"/>
      <c r="G924" s="316">
        <f t="shared" ref="G924:G927" si="178">+D924*E924+D924*F924</f>
        <v>0</v>
      </c>
    </row>
    <row r="925" spans="1:7" x14ac:dyDescent="0.2">
      <c r="A925" s="346"/>
      <c r="B925" s="350" t="s">
        <v>412</v>
      </c>
      <c r="C925" s="348" t="s">
        <v>8</v>
      </c>
      <c r="D925" s="349">
        <v>24</v>
      </c>
      <c r="E925" s="207"/>
      <c r="F925" s="314"/>
      <c r="G925" s="316">
        <f t="shared" ref="G925" si="179">+D925*E925+D925*F925</f>
        <v>0</v>
      </c>
    </row>
    <row r="926" spans="1:7" x14ac:dyDescent="0.2">
      <c r="A926" s="346"/>
      <c r="B926" s="350" t="s">
        <v>303</v>
      </c>
      <c r="C926" s="348" t="s">
        <v>8</v>
      </c>
      <c r="D926" s="349">
        <v>18</v>
      </c>
      <c r="E926" s="207"/>
      <c r="F926" s="314"/>
      <c r="G926" s="316">
        <f t="shared" si="178"/>
        <v>0</v>
      </c>
    </row>
    <row r="927" spans="1:7" x14ac:dyDescent="0.2">
      <c r="A927" s="346"/>
      <c r="B927" s="350" t="s">
        <v>338</v>
      </c>
      <c r="C927" s="334" t="s">
        <v>8</v>
      </c>
      <c r="D927" s="335">
        <v>3</v>
      </c>
      <c r="E927" s="207"/>
      <c r="F927" s="314"/>
      <c r="G927" s="316">
        <f t="shared" si="178"/>
        <v>0</v>
      </c>
    </row>
    <row r="928" spans="1:7" x14ac:dyDescent="0.2">
      <c r="A928" s="346"/>
      <c r="B928" s="350" t="s">
        <v>304</v>
      </c>
      <c r="C928" s="334" t="s">
        <v>8</v>
      </c>
      <c r="D928" s="335">
        <v>5</v>
      </c>
      <c r="E928" s="207"/>
      <c r="F928" s="314"/>
      <c r="G928" s="316">
        <f t="shared" ref="G928:G930" si="180">+D928*E928+D928*F928</f>
        <v>0</v>
      </c>
    </row>
    <row r="929" spans="1:7" x14ac:dyDescent="0.2">
      <c r="A929" s="346"/>
      <c r="B929" s="350" t="s">
        <v>305</v>
      </c>
      <c r="C929" s="334" t="s">
        <v>8</v>
      </c>
      <c r="D929" s="335">
        <v>12</v>
      </c>
      <c r="E929" s="207"/>
      <c r="F929" s="314"/>
      <c r="G929" s="316">
        <f t="shared" si="180"/>
        <v>0</v>
      </c>
    </row>
    <row r="930" spans="1:7" x14ac:dyDescent="0.2">
      <c r="A930" s="346"/>
      <c r="B930" s="350" t="s">
        <v>306</v>
      </c>
      <c r="C930" s="334" t="s">
        <v>8</v>
      </c>
      <c r="D930" s="335">
        <v>13</v>
      </c>
      <c r="E930" s="207"/>
      <c r="F930" s="314"/>
      <c r="G930" s="316">
        <f t="shared" si="180"/>
        <v>0</v>
      </c>
    </row>
    <row r="931" spans="1:7" x14ac:dyDescent="0.2">
      <c r="A931" s="346"/>
      <c r="B931" s="350" t="s">
        <v>307</v>
      </c>
      <c r="C931" s="334" t="s">
        <v>8</v>
      </c>
      <c r="D931" s="335">
        <f>D922</f>
        <v>28</v>
      </c>
      <c r="E931" s="207"/>
      <c r="F931" s="314"/>
      <c r="G931" s="316">
        <f t="shared" si="172"/>
        <v>0</v>
      </c>
    </row>
    <row r="932" spans="1:7" x14ac:dyDescent="0.2">
      <c r="A932" s="346"/>
      <c r="B932" s="350" t="s">
        <v>308</v>
      </c>
      <c r="C932" s="334" t="s">
        <v>8</v>
      </c>
      <c r="D932" s="335">
        <v>6</v>
      </c>
      <c r="E932" s="207"/>
      <c r="F932" s="314"/>
      <c r="G932" s="316">
        <f t="shared" ref="G932" si="181">+D932*E932+D932*F932</f>
        <v>0</v>
      </c>
    </row>
    <row r="933" spans="1:7" x14ac:dyDescent="0.2">
      <c r="A933" s="346"/>
      <c r="B933" s="350" t="s">
        <v>414</v>
      </c>
      <c r="C933" s="334" t="s">
        <v>8</v>
      </c>
      <c r="D933" s="335">
        <v>6</v>
      </c>
      <c r="E933" s="207"/>
      <c r="F933" s="314"/>
      <c r="G933" s="316">
        <f t="shared" si="172"/>
        <v>0</v>
      </c>
    </row>
    <row r="934" spans="1:7" x14ac:dyDescent="0.2">
      <c r="A934" s="346"/>
      <c r="B934" s="350" t="s">
        <v>309</v>
      </c>
      <c r="C934" s="334" t="s">
        <v>8</v>
      </c>
      <c r="D934" s="335">
        <v>6</v>
      </c>
      <c r="E934" s="207"/>
      <c r="F934" s="314"/>
      <c r="G934" s="316">
        <f t="shared" ref="G934:G937" si="182">+D934*E934+D934*F934</f>
        <v>0</v>
      </c>
    </row>
    <row r="935" spans="1:7" x14ac:dyDescent="0.2">
      <c r="A935" s="346"/>
      <c r="B935" s="350" t="s">
        <v>534</v>
      </c>
      <c r="C935" s="334" t="s">
        <v>8</v>
      </c>
      <c r="D935" s="335">
        <v>6</v>
      </c>
      <c r="E935" s="207"/>
      <c r="F935" s="314"/>
      <c r="G935" s="316">
        <f t="shared" ref="G935" si="183">+D935*E935+D935*F935</f>
        <v>0</v>
      </c>
    </row>
    <row r="936" spans="1:7" x14ac:dyDescent="0.2">
      <c r="A936" s="346"/>
      <c r="B936" s="350" t="s">
        <v>310</v>
      </c>
      <c r="C936" s="334" t="s">
        <v>8</v>
      </c>
      <c r="D936" s="335">
        <v>12</v>
      </c>
      <c r="E936" s="207"/>
      <c r="F936" s="314"/>
      <c r="G936" s="316">
        <f t="shared" si="182"/>
        <v>0</v>
      </c>
    </row>
    <row r="937" spans="1:7" x14ac:dyDescent="0.2">
      <c r="A937" s="346"/>
      <c r="B937" s="350" t="s">
        <v>319</v>
      </c>
      <c r="C937" s="334" t="s">
        <v>8</v>
      </c>
      <c r="D937" s="335">
        <v>6</v>
      </c>
      <c r="E937" s="207"/>
      <c r="F937" s="314"/>
      <c r="G937" s="316">
        <f t="shared" si="182"/>
        <v>0</v>
      </c>
    </row>
    <row r="938" spans="1:7" x14ac:dyDescent="0.2">
      <c r="A938" s="344" t="s">
        <v>175</v>
      </c>
      <c r="B938" s="345" t="s">
        <v>211</v>
      </c>
      <c r="C938" s="351"/>
      <c r="D938" s="352"/>
      <c r="E938" s="207"/>
      <c r="F938" s="314"/>
      <c r="G938" s="316">
        <f t="shared" si="172"/>
        <v>0</v>
      </c>
    </row>
    <row r="939" spans="1:7" ht="13.5" x14ac:dyDescent="0.2">
      <c r="A939" s="40" t="s">
        <v>164</v>
      </c>
      <c r="B939" s="249" t="s">
        <v>370</v>
      </c>
      <c r="C939" s="279" t="s">
        <v>214</v>
      </c>
      <c r="D939" s="57">
        <f>D917+D918+D922+D920+D921+D919+D923</f>
        <v>132</v>
      </c>
      <c r="E939" s="44"/>
      <c r="F939" s="314"/>
      <c r="G939" s="316">
        <f t="shared" si="172"/>
        <v>0</v>
      </c>
    </row>
    <row r="940" spans="1:7" ht="13.5" x14ac:dyDescent="0.2">
      <c r="A940" s="40" t="s">
        <v>165</v>
      </c>
      <c r="B940" s="249" t="s">
        <v>371</v>
      </c>
      <c r="C940" s="279" t="s">
        <v>214</v>
      </c>
      <c r="D940" s="57">
        <f>D924+D925+D926</f>
        <v>90</v>
      </c>
      <c r="E940" s="44"/>
      <c r="F940" s="314"/>
      <c r="G940" s="316">
        <f t="shared" si="172"/>
        <v>0</v>
      </c>
    </row>
    <row r="941" spans="1:7" ht="13.5" x14ac:dyDescent="0.2">
      <c r="A941" s="40" t="s">
        <v>175</v>
      </c>
      <c r="B941" s="249" t="s">
        <v>372</v>
      </c>
      <c r="C941" s="279" t="s">
        <v>114</v>
      </c>
      <c r="D941" s="57">
        <v>2</v>
      </c>
      <c r="E941" s="44"/>
      <c r="F941" s="314"/>
      <c r="G941" s="316">
        <f t="shared" si="172"/>
        <v>0</v>
      </c>
    </row>
    <row r="942" spans="1:7" x14ac:dyDescent="0.2">
      <c r="A942" s="40" t="s">
        <v>176</v>
      </c>
      <c r="B942" s="249" t="s">
        <v>212</v>
      </c>
      <c r="C942" s="279" t="s">
        <v>114</v>
      </c>
      <c r="D942" s="57">
        <f>D934</f>
        <v>6</v>
      </c>
      <c r="E942" s="44"/>
      <c r="F942" s="314"/>
      <c r="G942" s="316">
        <f t="shared" si="172"/>
        <v>0</v>
      </c>
    </row>
    <row r="943" spans="1:7" x14ac:dyDescent="0.2">
      <c r="A943" s="40" t="s">
        <v>177</v>
      </c>
      <c r="B943" s="249" t="s">
        <v>213</v>
      </c>
      <c r="C943" s="279" t="s">
        <v>114</v>
      </c>
      <c r="D943" s="57">
        <f>D932</f>
        <v>6</v>
      </c>
      <c r="E943" s="44"/>
      <c r="F943" s="314"/>
      <c r="G943" s="316">
        <f t="shared" si="172"/>
        <v>0</v>
      </c>
    </row>
    <row r="944" spans="1:7" x14ac:dyDescent="0.2">
      <c r="A944" s="40" t="s">
        <v>178</v>
      </c>
      <c r="B944" s="249" t="s">
        <v>265</v>
      </c>
      <c r="C944" s="279" t="s">
        <v>114</v>
      </c>
      <c r="D944" s="57">
        <f>D933</f>
        <v>6</v>
      </c>
      <c r="E944" s="44"/>
      <c r="F944" s="314"/>
      <c r="G944" s="316">
        <f t="shared" ref="G944" si="184">+D944*E944+D944*F944</f>
        <v>0</v>
      </c>
    </row>
    <row r="945" spans="1:7" x14ac:dyDescent="0.2">
      <c r="A945" s="40" t="s">
        <v>179</v>
      </c>
      <c r="B945" s="249" t="s">
        <v>311</v>
      </c>
      <c r="C945" s="279" t="s">
        <v>114</v>
      </c>
      <c r="D945" s="57">
        <f>D934</f>
        <v>6</v>
      </c>
      <c r="E945" s="44"/>
      <c r="F945" s="314"/>
      <c r="G945" s="316">
        <f t="shared" ref="G945:G946" si="185">+D945*E945+D945*F945</f>
        <v>0</v>
      </c>
    </row>
    <row r="946" spans="1:7" x14ac:dyDescent="0.2">
      <c r="A946" s="40" t="s">
        <v>180</v>
      </c>
      <c r="B946" s="249" t="s">
        <v>312</v>
      </c>
      <c r="C946" s="279" t="s">
        <v>114</v>
      </c>
      <c r="D946" s="57">
        <f>D935</f>
        <v>6</v>
      </c>
      <c r="E946" s="44"/>
      <c r="F946" s="314"/>
      <c r="G946" s="316">
        <f t="shared" si="185"/>
        <v>0</v>
      </c>
    </row>
    <row r="947" spans="1:7" x14ac:dyDescent="0.2">
      <c r="A947" s="40"/>
      <c r="B947" s="249"/>
      <c r="C947" s="279"/>
      <c r="D947" s="57"/>
      <c r="E947" s="44"/>
      <c r="F947" s="314"/>
      <c r="G947" s="316"/>
    </row>
    <row r="948" spans="1:7" x14ac:dyDescent="0.2">
      <c r="A948" s="40"/>
      <c r="B948" s="249"/>
      <c r="C948" s="279"/>
      <c r="D948" s="57"/>
      <c r="E948" s="44"/>
      <c r="F948" s="314"/>
      <c r="G948" s="316"/>
    </row>
    <row r="949" spans="1:7" ht="12.75" thickBot="1" x14ac:dyDescent="0.25">
      <c r="A949" s="73"/>
      <c r="B949" s="370"/>
      <c r="C949" s="371"/>
      <c r="D949" s="76"/>
      <c r="E949" s="77"/>
      <c r="F949" s="317"/>
      <c r="G949" s="318"/>
    </row>
    <row r="950" spans="1:7" x14ac:dyDescent="0.2">
      <c r="A950" s="307" t="s">
        <v>152</v>
      </c>
      <c r="B950" s="308" t="s">
        <v>69</v>
      </c>
      <c r="C950" s="309"/>
      <c r="D950" s="310"/>
      <c r="E950" s="311"/>
      <c r="F950" s="312"/>
      <c r="G950" s="313"/>
    </row>
    <row r="951" spans="1:7" x14ac:dyDescent="0.2">
      <c r="A951" s="344" t="s">
        <v>164</v>
      </c>
      <c r="B951" s="345" t="s">
        <v>209</v>
      </c>
      <c r="C951" s="334"/>
      <c r="D951" s="335"/>
      <c r="E951" s="207"/>
      <c r="F951" s="180"/>
      <c r="G951" s="216">
        <f>D951*E951</f>
        <v>0</v>
      </c>
    </row>
    <row r="952" spans="1:7" ht="37.5" customHeight="1" x14ac:dyDescent="0.2">
      <c r="A952" s="346" t="s">
        <v>184</v>
      </c>
      <c r="B952" s="353" t="s">
        <v>377</v>
      </c>
      <c r="C952" s="348" t="s">
        <v>8</v>
      </c>
      <c r="D952" s="349">
        <v>2</v>
      </c>
      <c r="E952" s="207"/>
      <c r="F952" s="314"/>
      <c r="G952" s="315">
        <f t="shared" ref="G952:G983" si="186">+D952*E952+D952*F952</f>
        <v>0</v>
      </c>
    </row>
    <row r="953" spans="1:7" x14ac:dyDescent="0.2">
      <c r="A953" s="344" t="s">
        <v>165</v>
      </c>
      <c r="B953" s="345" t="s">
        <v>210</v>
      </c>
      <c r="C953" s="351"/>
      <c r="D953" s="352"/>
      <c r="E953" s="207"/>
      <c r="F953" s="314"/>
      <c r="G953" s="316">
        <f t="shared" si="186"/>
        <v>0</v>
      </c>
    </row>
    <row r="954" spans="1:7" x14ac:dyDescent="0.2">
      <c r="A954" s="346"/>
      <c r="B954" s="350" t="s">
        <v>301</v>
      </c>
      <c r="C954" s="334" t="s">
        <v>8</v>
      </c>
      <c r="D954" s="335">
        <v>16</v>
      </c>
      <c r="E954" s="207"/>
      <c r="F954" s="314"/>
      <c r="G954" s="316">
        <f t="shared" si="186"/>
        <v>0</v>
      </c>
    </row>
    <row r="955" spans="1:7" x14ac:dyDescent="0.2">
      <c r="A955" s="346"/>
      <c r="B955" s="350" t="s">
        <v>532</v>
      </c>
      <c r="C955" s="334" t="s">
        <v>8</v>
      </c>
      <c r="D955" s="335">
        <v>1</v>
      </c>
      <c r="E955" s="207"/>
      <c r="F955" s="314"/>
      <c r="G955" s="316">
        <f t="shared" si="186"/>
        <v>0</v>
      </c>
    </row>
    <row r="956" spans="1:7" x14ac:dyDescent="0.2">
      <c r="A956" s="346"/>
      <c r="B956" s="350" t="s">
        <v>302</v>
      </c>
      <c r="C956" s="334" t="s">
        <v>8</v>
      </c>
      <c r="D956" s="335">
        <v>11</v>
      </c>
      <c r="E956" s="207"/>
      <c r="F956" s="314"/>
      <c r="G956" s="316">
        <f t="shared" si="186"/>
        <v>0</v>
      </c>
    </row>
    <row r="957" spans="1:7" x14ac:dyDescent="0.2">
      <c r="A957" s="346"/>
      <c r="B957" s="350" t="s">
        <v>264</v>
      </c>
      <c r="C957" s="334" t="s">
        <v>8</v>
      </c>
      <c r="D957" s="335">
        <v>3</v>
      </c>
      <c r="E957" s="207"/>
      <c r="F957" s="314"/>
      <c r="G957" s="316">
        <f t="shared" si="186"/>
        <v>0</v>
      </c>
    </row>
    <row r="958" spans="1:7" x14ac:dyDescent="0.2">
      <c r="A958" s="346"/>
      <c r="B958" s="350" t="s">
        <v>250</v>
      </c>
      <c r="C958" s="334" t="s">
        <v>8</v>
      </c>
      <c r="D958" s="335">
        <v>8</v>
      </c>
      <c r="E958" s="207"/>
      <c r="F958" s="314"/>
      <c r="G958" s="316">
        <f t="shared" si="186"/>
        <v>0</v>
      </c>
    </row>
    <row r="959" spans="1:7" x14ac:dyDescent="0.2">
      <c r="A959" s="346"/>
      <c r="B959" s="350" t="s">
        <v>337</v>
      </c>
      <c r="C959" s="334" t="s">
        <v>8</v>
      </c>
      <c r="D959" s="335">
        <v>2</v>
      </c>
      <c r="E959" s="207"/>
      <c r="F959" s="314"/>
      <c r="G959" s="316">
        <f t="shared" si="186"/>
        <v>0</v>
      </c>
    </row>
    <row r="960" spans="1:7" x14ac:dyDescent="0.2">
      <c r="A960" s="346"/>
      <c r="B960" s="350" t="s">
        <v>411</v>
      </c>
      <c r="C960" s="348" t="s">
        <v>8</v>
      </c>
      <c r="D960" s="349">
        <v>22</v>
      </c>
      <c r="E960" s="207"/>
      <c r="F960" s="314"/>
      <c r="G960" s="316">
        <f t="shared" si="186"/>
        <v>0</v>
      </c>
    </row>
    <row r="961" spans="1:7" x14ac:dyDescent="0.2">
      <c r="A961" s="346"/>
      <c r="B961" s="350" t="s">
        <v>412</v>
      </c>
      <c r="C961" s="348" t="s">
        <v>8</v>
      </c>
      <c r="D961" s="349">
        <v>10</v>
      </c>
      <c r="E961" s="207"/>
      <c r="F961" s="314"/>
      <c r="G961" s="316">
        <f t="shared" si="186"/>
        <v>0</v>
      </c>
    </row>
    <row r="962" spans="1:7" x14ac:dyDescent="0.2">
      <c r="A962" s="346"/>
      <c r="B962" s="350" t="s">
        <v>303</v>
      </c>
      <c r="C962" s="348" t="s">
        <v>8</v>
      </c>
      <c r="D962" s="349">
        <v>6</v>
      </c>
      <c r="E962" s="207"/>
      <c r="F962" s="314"/>
      <c r="G962" s="316">
        <f t="shared" si="186"/>
        <v>0</v>
      </c>
    </row>
    <row r="963" spans="1:7" x14ac:dyDescent="0.2">
      <c r="A963" s="346"/>
      <c r="B963" s="350" t="s">
        <v>338</v>
      </c>
      <c r="C963" s="334" t="s">
        <v>8</v>
      </c>
      <c r="D963" s="335">
        <v>4</v>
      </c>
      <c r="E963" s="207"/>
      <c r="F963" s="314"/>
      <c r="G963" s="316">
        <f t="shared" si="186"/>
        <v>0</v>
      </c>
    </row>
    <row r="964" spans="1:7" x14ac:dyDescent="0.2">
      <c r="A964" s="346"/>
      <c r="B964" s="350" t="s">
        <v>536</v>
      </c>
      <c r="C964" s="334" t="s">
        <v>8</v>
      </c>
      <c r="D964" s="335">
        <v>8</v>
      </c>
      <c r="E964" s="207"/>
      <c r="F964" s="314"/>
      <c r="G964" s="316">
        <f t="shared" si="186"/>
        <v>0</v>
      </c>
    </row>
    <row r="965" spans="1:7" x14ac:dyDescent="0.2">
      <c r="A965" s="346"/>
      <c r="B965" s="350" t="s">
        <v>537</v>
      </c>
      <c r="C965" s="334" t="s">
        <v>8</v>
      </c>
      <c r="D965" s="335">
        <v>10</v>
      </c>
      <c r="E965" s="207"/>
      <c r="F965" s="314"/>
      <c r="G965" s="316">
        <f t="shared" si="186"/>
        <v>0</v>
      </c>
    </row>
    <row r="966" spans="1:7" x14ac:dyDescent="0.2">
      <c r="A966" s="346"/>
      <c r="B966" s="350" t="s">
        <v>306</v>
      </c>
      <c r="C966" s="334" t="s">
        <v>8</v>
      </c>
      <c r="D966" s="335">
        <v>4</v>
      </c>
      <c r="E966" s="207"/>
      <c r="F966" s="314"/>
      <c r="G966" s="316">
        <f t="shared" si="186"/>
        <v>0</v>
      </c>
    </row>
    <row r="967" spans="1:7" x14ac:dyDescent="0.2">
      <c r="A967" s="346"/>
      <c r="B967" s="350" t="s">
        <v>535</v>
      </c>
      <c r="C967" s="334" t="s">
        <v>8</v>
      </c>
      <c r="D967" s="335">
        <v>36</v>
      </c>
      <c r="E967" s="207"/>
      <c r="F967" s="314"/>
      <c r="G967" s="316">
        <f t="shared" si="186"/>
        <v>0</v>
      </c>
    </row>
    <row r="968" spans="1:7" x14ac:dyDescent="0.2">
      <c r="A968" s="346"/>
      <c r="B968" s="350" t="s">
        <v>308</v>
      </c>
      <c r="C968" s="334" t="s">
        <v>8</v>
      </c>
      <c r="D968" s="335">
        <v>2</v>
      </c>
      <c r="E968" s="207"/>
      <c r="F968" s="314"/>
      <c r="G968" s="316">
        <f t="shared" si="186"/>
        <v>0</v>
      </c>
    </row>
    <row r="969" spans="1:7" x14ac:dyDescent="0.2">
      <c r="A969" s="346"/>
      <c r="B969" s="350" t="s">
        <v>414</v>
      </c>
      <c r="C969" s="334" t="s">
        <v>8</v>
      </c>
      <c r="D969" s="335">
        <v>4</v>
      </c>
      <c r="E969" s="207"/>
      <c r="F969" s="314"/>
      <c r="G969" s="316">
        <f t="shared" si="186"/>
        <v>0</v>
      </c>
    </row>
    <row r="970" spans="1:7" x14ac:dyDescent="0.2">
      <c r="A970" s="346"/>
      <c r="B970" s="350" t="s">
        <v>309</v>
      </c>
      <c r="C970" s="334" t="s">
        <v>8</v>
      </c>
      <c r="D970" s="335">
        <v>2</v>
      </c>
      <c r="E970" s="207"/>
      <c r="F970" s="314"/>
      <c r="G970" s="316">
        <f t="shared" si="186"/>
        <v>0</v>
      </c>
    </row>
    <row r="971" spans="1:7" x14ac:dyDescent="0.2">
      <c r="A971" s="346"/>
      <c r="B971" s="350" t="s">
        <v>413</v>
      </c>
      <c r="C971" s="334" t="s">
        <v>8</v>
      </c>
      <c r="D971" s="335">
        <v>4</v>
      </c>
      <c r="E971" s="207"/>
      <c r="F971" s="314"/>
      <c r="G971" s="316">
        <f t="shared" si="186"/>
        <v>0</v>
      </c>
    </row>
    <row r="972" spans="1:7" x14ac:dyDescent="0.2">
      <c r="A972" s="346"/>
      <c r="B972" s="350" t="s">
        <v>534</v>
      </c>
      <c r="C972" s="334" t="s">
        <v>8</v>
      </c>
      <c r="D972" s="335">
        <v>2</v>
      </c>
      <c r="E972" s="207"/>
      <c r="F972" s="314"/>
      <c r="G972" s="316">
        <f t="shared" si="186"/>
        <v>0</v>
      </c>
    </row>
    <row r="973" spans="1:7" x14ac:dyDescent="0.2">
      <c r="A973" s="346"/>
      <c r="B973" s="350" t="s">
        <v>310</v>
      </c>
      <c r="C973" s="334" t="s">
        <v>8</v>
      </c>
      <c r="D973" s="335">
        <v>4</v>
      </c>
      <c r="E973" s="207"/>
      <c r="F973" s="314"/>
      <c r="G973" s="316">
        <f t="shared" si="186"/>
        <v>0</v>
      </c>
    </row>
    <row r="974" spans="1:7" x14ac:dyDescent="0.2">
      <c r="A974" s="346"/>
      <c r="B974" s="350" t="s">
        <v>319</v>
      </c>
      <c r="C974" s="334" t="s">
        <v>8</v>
      </c>
      <c r="D974" s="335">
        <v>2</v>
      </c>
      <c r="E974" s="207"/>
      <c r="F974" s="314"/>
      <c r="G974" s="316">
        <f t="shared" si="186"/>
        <v>0</v>
      </c>
    </row>
    <row r="975" spans="1:7" x14ac:dyDescent="0.2">
      <c r="A975" s="344" t="s">
        <v>175</v>
      </c>
      <c r="B975" s="345" t="s">
        <v>211</v>
      </c>
      <c r="C975" s="351"/>
      <c r="D975" s="352"/>
      <c r="E975" s="207"/>
      <c r="F975" s="314"/>
      <c r="G975" s="316">
        <f t="shared" si="186"/>
        <v>0</v>
      </c>
    </row>
    <row r="976" spans="1:7" ht="13.5" x14ac:dyDescent="0.2">
      <c r="A976" s="40"/>
      <c r="B976" s="249" t="s">
        <v>370</v>
      </c>
      <c r="C976" s="279" t="s">
        <v>214</v>
      </c>
      <c r="D976" s="57">
        <f>D954+D955+D958+D957+D956+D959</f>
        <v>41</v>
      </c>
      <c r="E976" s="44"/>
      <c r="F976" s="314"/>
      <c r="G976" s="316">
        <f t="shared" si="186"/>
        <v>0</v>
      </c>
    </row>
    <row r="977" spans="1:7" ht="13.5" x14ac:dyDescent="0.2">
      <c r="A977" s="40"/>
      <c r="B977" s="249" t="s">
        <v>371</v>
      </c>
      <c r="C977" s="279" t="s">
        <v>214</v>
      </c>
      <c r="D977" s="57">
        <f>D960+D961+D962</f>
        <v>38</v>
      </c>
      <c r="E977" s="44"/>
      <c r="F977" s="314"/>
      <c r="G977" s="316">
        <f t="shared" si="186"/>
        <v>0</v>
      </c>
    </row>
    <row r="978" spans="1:7" ht="13.5" x14ac:dyDescent="0.2">
      <c r="A978" s="40"/>
      <c r="B978" s="249" t="s">
        <v>372</v>
      </c>
      <c r="C978" s="279" t="s">
        <v>114</v>
      </c>
      <c r="D978" s="57">
        <v>2</v>
      </c>
      <c r="E978" s="44"/>
      <c r="F978" s="314"/>
      <c r="G978" s="316">
        <f t="shared" si="186"/>
        <v>0</v>
      </c>
    </row>
    <row r="979" spans="1:7" x14ac:dyDescent="0.2">
      <c r="A979" s="40"/>
      <c r="B979" s="249" t="s">
        <v>212</v>
      </c>
      <c r="C979" s="279" t="s">
        <v>114</v>
      </c>
      <c r="D979" s="57">
        <f>D970</f>
        <v>2</v>
      </c>
      <c r="E979" s="44"/>
      <c r="F979" s="314"/>
      <c r="G979" s="316">
        <f t="shared" si="186"/>
        <v>0</v>
      </c>
    </row>
    <row r="980" spans="1:7" x14ac:dyDescent="0.2">
      <c r="A980" s="40"/>
      <c r="B980" s="249" t="s">
        <v>213</v>
      </c>
      <c r="C980" s="279" t="s">
        <v>114</v>
      </c>
      <c r="D980" s="57">
        <f>D968</f>
        <v>2</v>
      </c>
      <c r="E980" s="44"/>
      <c r="F980" s="314"/>
      <c r="G980" s="316">
        <f t="shared" si="186"/>
        <v>0</v>
      </c>
    </row>
    <row r="981" spans="1:7" x14ac:dyDescent="0.2">
      <c r="A981" s="40"/>
      <c r="B981" s="249" t="s">
        <v>265</v>
      </c>
      <c r="C981" s="279" t="s">
        <v>114</v>
      </c>
      <c r="D981" s="57">
        <f>D969</f>
        <v>4</v>
      </c>
      <c r="E981" s="44"/>
      <c r="F981" s="314"/>
      <c r="G981" s="316">
        <f t="shared" si="186"/>
        <v>0</v>
      </c>
    </row>
    <row r="982" spans="1:7" x14ac:dyDescent="0.2">
      <c r="A982" s="40"/>
      <c r="B982" s="249" t="s">
        <v>311</v>
      </c>
      <c r="C982" s="279" t="s">
        <v>114</v>
      </c>
      <c r="D982" s="57">
        <f t="shared" ref="D982" si="187">D970</f>
        <v>2</v>
      </c>
      <c r="E982" s="44"/>
      <c r="F982" s="314"/>
      <c r="G982" s="316">
        <f t="shared" si="186"/>
        <v>0</v>
      </c>
    </row>
    <row r="983" spans="1:7" x14ac:dyDescent="0.2">
      <c r="A983" s="40"/>
      <c r="B983" s="249" t="s">
        <v>312</v>
      </c>
      <c r="C983" s="279" t="s">
        <v>114</v>
      </c>
      <c r="D983" s="57">
        <f>D971+D972</f>
        <v>6</v>
      </c>
      <c r="E983" s="44"/>
      <c r="F983" s="314"/>
      <c r="G983" s="316">
        <f t="shared" si="186"/>
        <v>0</v>
      </c>
    </row>
    <row r="984" spans="1:7" x14ac:dyDescent="0.2">
      <c r="A984" s="307" t="s">
        <v>57</v>
      </c>
      <c r="B984" s="308" t="s">
        <v>71</v>
      </c>
      <c r="C984" s="309"/>
      <c r="D984" s="310"/>
      <c r="E984" s="311"/>
      <c r="F984" s="312"/>
      <c r="G984" s="313"/>
    </row>
    <row r="985" spans="1:7" x14ac:dyDescent="0.2">
      <c r="A985" s="344" t="s">
        <v>164</v>
      </c>
      <c r="B985" s="345" t="s">
        <v>209</v>
      </c>
      <c r="C985" s="334"/>
      <c r="D985" s="335"/>
      <c r="E985" s="207"/>
      <c r="F985" s="180"/>
      <c r="G985" s="216">
        <f>D985*E985</f>
        <v>0</v>
      </c>
    </row>
    <row r="986" spans="1:7" ht="36.75" customHeight="1" x14ac:dyDescent="0.2">
      <c r="A986" s="346" t="s">
        <v>184</v>
      </c>
      <c r="B986" s="353" t="s">
        <v>377</v>
      </c>
      <c r="C986" s="348" t="s">
        <v>8</v>
      </c>
      <c r="D986" s="349">
        <v>2</v>
      </c>
      <c r="E986" s="207"/>
      <c r="F986" s="314"/>
      <c r="G986" s="315">
        <f t="shared" ref="G986:G1014" si="188">+D986*E986+D986*F986</f>
        <v>0</v>
      </c>
    </row>
    <row r="987" spans="1:7" x14ac:dyDescent="0.2">
      <c r="A987" s="344" t="s">
        <v>165</v>
      </c>
      <c r="B987" s="345" t="s">
        <v>210</v>
      </c>
      <c r="C987" s="351"/>
      <c r="D987" s="352"/>
      <c r="E987" s="207"/>
      <c r="F987" s="314"/>
      <c r="G987" s="316">
        <f t="shared" si="188"/>
        <v>0</v>
      </c>
    </row>
    <row r="988" spans="1:7" x14ac:dyDescent="0.2">
      <c r="A988" s="346"/>
      <c r="B988" s="350" t="s">
        <v>301</v>
      </c>
      <c r="C988" s="334" t="s">
        <v>8</v>
      </c>
      <c r="D988" s="335">
        <v>56</v>
      </c>
      <c r="E988" s="207"/>
      <c r="F988" s="314"/>
      <c r="G988" s="316">
        <f t="shared" si="188"/>
        <v>0</v>
      </c>
    </row>
    <row r="989" spans="1:7" x14ac:dyDescent="0.2">
      <c r="A989" s="346"/>
      <c r="B989" s="350" t="s">
        <v>532</v>
      </c>
      <c r="C989" s="334" t="s">
        <v>8</v>
      </c>
      <c r="D989" s="335">
        <v>1</v>
      </c>
      <c r="E989" s="207"/>
      <c r="F989" s="314"/>
      <c r="G989" s="316">
        <f t="shared" si="188"/>
        <v>0</v>
      </c>
    </row>
    <row r="990" spans="1:7" x14ac:dyDescent="0.2">
      <c r="A990" s="346"/>
      <c r="B990" s="350" t="s">
        <v>302</v>
      </c>
      <c r="C990" s="334" t="s">
        <v>8</v>
      </c>
      <c r="D990" s="335">
        <v>4</v>
      </c>
      <c r="E990" s="207"/>
      <c r="F990" s="314"/>
      <c r="G990" s="316">
        <f t="shared" si="188"/>
        <v>0</v>
      </c>
    </row>
    <row r="991" spans="1:7" x14ac:dyDescent="0.2">
      <c r="A991" s="346"/>
      <c r="B991" s="350" t="s">
        <v>250</v>
      </c>
      <c r="C991" s="334" t="s">
        <v>8</v>
      </c>
      <c r="D991" s="335">
        <v>36</v>
      </c>
      <c r="E991" s="207"/>
      <c r="F991" s="314"/>
      <c r="G991" s="316">
        <f t="shared" si="188"/>
        <v>0</v>
      </c>
    </row>
    <row r="992" spans="1:7" x14ac:dyDescent="0.2">
      <c r="A992" s="346"/>
      <c r="B992" s="350" t="s">
        <v>411</v>
      </c>
      <c r="C992" s="348" t="s">
        <v>8</v>
      </c>
      <c r="D992" s="349">
        <v>12</v>
      </c>
      <c r="E992" s="207"/>
      <c r="F992" s="314"/>
      <c r="G992" s="316">
        <f t="shared" si="188"/>
        <v>0</v>
      </c>
    </row>
    <row r="993" spans="1:7" x14ac:dyDescent="0.2">
      <c r="A993" s="346"/>
      <c r="B993" s="350" t="s">
        <v>412</v>
      </c>
      <c r="C993" s="348" t="s">
        <v>8</v>
      </c>
      <c r="D993" s="349">
        <v>10</v>
      </c>
      <c r="E993" s="207"/>
      <c r="F993" s="314"/>
      <c r="G993" s="316">
        <f t="shared" si="188"/>
        <v>0</v>
      </c>
    </row>
    <row r="994" spans="1:7" x14ac:dyDescent="0.2">
      <c r="A994" s="346"/>
      <c r="B994" s="350" t="s">
        <v>303</v>
      </c>
      <c r="C994" s="348" t="s">
        <v>8</v>
      </c>
      <c r="D994" s="349">
        <v>6</v>
      </c>
      <c r="E994" s="207"/>
      <c r="F994" s="314"/>
      <c r="G994" s="316">
        <f t="shared" si="188"/>
        <v>0</v>
      </c>
    </row>
    <row r="995" spans="1:7" x14ac:dyDescent="0.2">
      <c r="A995" s="346"/>
      <c r="B995" s="350" t="s">
        <v>338</v>
      </c>
      <c r="C995" s="334" t="s">
        <v>8</v>
      </c>
      <c r="D995" s="335">
        <v>1</v>
      </c>
      <c r="E995" s="207"/>
      <c r="F995" s="314"/>
      <c r="G995" s="316">
        <f t="shared" si="188"/>
        <v>0</v>
      </c>
    </row>
    <row r="996" spans="1:7" x14ac:dyDescent="0.2">
      <c r="A996" s="346"/>
      <c r="B996" s="350" t="s">
        <v>306</v>
      </c>
      <c r="C996" s="334" t="s">
        <v>8</v>
      </c>
      <c r="D996" s="335">
        <v>6</v>
      </c>
      <c r="E996" s="207"/>
      <c r="F996" s="314"/>
      <c r="G996" s="316">
        <f t="shared" si="188"/>
        <v>0</v>
      </c>
    </row>
    <row r="997" spans="1:7" x14ac:dyDescent="0.2">
      <c r="A997" s="346"/>
      <c r="B997" s="350" t="s">
        <v>307</v>
      </c>
      <c r="C997" s="334" t="s">
        <v>8</v>
      </c>
      <c r="D997" s="335">
        <v>8</v>
      </c>
      <c r="E997" s="207"/>
      <c r="F997" s="314"/>
      <c r="G997" s="316">
        <f t="shared" si="188"/>
        <v>0</v>
      </c>
    </row>
    <row r="998" spans="1:7" x14ac:dyDescent="0.2">
      <c r="A998" s="346"/>
      <c r="B998" s="350" t="s">
        <v>308</v>
      </c>
      <c r="C998" s="334" t="s">
        <v>8</v>
      </c>
      <c r="D998" s="335">
        <v>2</v>
      </c>
      <c r="E998" s="207"/>
      <c r="F998" s="314"/>
      <c r="G998" s="316">
        <f t="shared" si="188"/>
        <v>0</v>
      </c>
    </row>
    <row r="999" spans="1:7" x14ac:dyDescent="0.2">
      <c r="A999" s="346"/>
      <c r="B999" s="350" t="s">
        <v>414</v>
      </c>
      <c r="C999" s="334" t="s">
        <v>8</v>
      </c>
      <c r="D999" s="335">
        <v>2</v>
      </c>
      <c r="E999" s="207"/>
      <c r="F999" s="314"/>
      <c r="G999" s="316">
        <f t="shared" si="188"/>
        <v>0</v>
      </c>
    </row>
    <row r="1000" spans="1:7" x14ac:dyDescent="0.2">
      <c r="A1000" s="346"/>
      <c r="B1000" s="350" t="s">
        <v>309</v>
      </c>
      <c r="C1000" s="334" t="s">
        <v>8</v>
      </c>
      <c r="D1000" s="335">
        <v>2</v>
      </c>
      <c r="E1000" s="207"/>
      <c r="F1000" s="314"/>
      <c r="G1000" s="316">
        <f t="shared" si="188"/>
        <v>0</v>
      </c>
    </row>
    <row r="1001" spans="1:7" x14ac:dyDescent="0.2">
      <c r="A1001" s="346"/>
      <c r="B1001" s="350" t="s">
        <v>534</v>
      </c>
      <c r="C1001" s="334" t="s">
        <v>8</v>
      </c>
      <c r="D1001" s="335">
        <v>2</v>
      </c>
      <c r="E1001" s="207"/>
      <c r="F1001" s="314"/>
      <c r="G1001" s="316">
        <f t="shared" si="188"/>
        <v>0</v>
      </c>
    </row>
    <row r="1002" spans="1:7" x14ac:dyDescent="0.2">
      <c r="A1002" s="346"/>
      <c r="B1002" s="350" t="s">
        <v>310</v>
      </c>
      <c r="C1002" s="334" t="s">
        <v>8</v>
      </c>
      <c r="D1002" s="335">
        <v>4</v>
      </c>
      <c r="E1002" s="207"/>
      <c r="F1002" s="314"/>
      <c r="G1002" s="316">
        <f t="shared" si="188"/>
        <v>0</v>
      </c>
    </row>
    <row r="1003" spans="1:7" x14ac:dyDescent="0.2">
      <c r="A1003" s="346"/>
      <c r="B1003" s="350" t="s">
        <v>319</v>
      </c>
      <c r="C1003" s="334" t="s">
        <v>8</v>
      </c>
      <c r="D1003" s="335">
        <v>2</v>
      </c>
      <c r="E1003" s="207"/>
      <c r="F1003" s="314"/>
      <c r="G1003" s="316">
        <f t="shared" si="188"/>
        <v>0</v>
      </c>
    </row>
    <row r="1004" spans="1:7" ht="12.75" thickBot="1" x14ac:dyDescent="0.25">
      <c r="A1004" s="392"/>
      <c r="B1004" s="393"/>
      <c r="C1004" s="342"/>
      <c r="D1004" s="343"/>
      <c r="E1004" s="394"/>
      <c r="F1004" s="317"/>
      <c r="G1004" s="318"/>
    </row>
    <row r="1005" spans="1:7" x14ac:dyDescent="0.2">
      <c r="A1005" s="346"/>
      <c r="B1005" s="350"/>
      <c r="C1005" s="334"/>
      <c r="D1005" s="335"/>
      <c r="E1005" s="207"/>
      <c r="F1005" s="314"/>
      <c r="G1005" s="316"/>
    </row>
    <row r="1006" spans="1:7" x14ac:dyDescent="0.2">
      <c r="A1006" s="344" t="s">
        <v>175</v>
      </c>
      <c r="B1006" s="345" t="s">
        <v>211</v>
      </c>
      <c r="C1006" s="351"/>
      <c r="D1006" s="352"/>
      <c r="E1006" s="207"/>
      <c r="F1006" s="314"/>
      <c r="G1006" s="316">
        <f t="shared" si="188"/>
        <v>0</v>
      </c>
    </row>
    <row r="1007" spans="1:7" ht="13.5" x14ac:dyDescent="0.2">
      <c r="A1007" s="40"/>
      <c r="B1007" s="249" t="s">
        <v>370</v>
      </c>
      <c r="C1007" s="279" t="s">
        <v>214</v>
      </c>
      <c r="D1007" s="57">
        <f>D988+D989+D991+D990</f>
        <v>97</v>
      </c>
      <c r="E1007" s="44"/>
      <c r="F1007" s="314"/>
      <c r="G1007" s="316">
        <f t="shared" si="188"/>
        <v>0</v>
      </c>
    </row>
    <row r="1008" spans="1:7" ht="13.5" x14ac:dyDescent="0.2">
      <c r="A1008" s="40"/>
      <c r="B1008" s="249" t="s">
        <v>371</v>
      </c>
      <c r="C1008" s="279" t="s">
        <v>214</v>
      </c>
      <c r="D1008" s="57">
        <f>D992+D993+D994</f>
        <v>28</v>
      </c>
      <c r="E1008" s="44"/>
      <c r="F1008" s="314"/>
      <c r="G1008" s="316">
        <f t="shared" si="188"/>
        <v>0</v>
      </c>
    </row>
    <row r="1009" spans="1:9" ht="13.5" x14ac:dyDescent="0.2">
      <c r="A1009" s="40"/>
      <c r="B1009" s="249" t="s">
        <v>372</v>
      </c>
      <c r="C1009" s="279" t="s">
        <v>114</v>
      </c>
      <c r="D1009" s="57">
        <v>2</v>
      </c>
      <c r="E1009" s="44"/>
      <c r="F1009" s="314"/>
      <c r="G1009" s="316">
        <f t="shared" si="188"/>
        <v>0</v>
      </c>
    </row>
    <row r="1010" spans="1:9" x14ac:dyDescent="0.2">
      <c r="A1010" s="40"/>
      <c r="B1010" s="249" t="s">
        <v>212</v>
      </c>
      <c r="C1010" s="279" t="s">
        <v>114</v>
      </c>
      <c r="D1010" s="57">
        <f>D1000</f>
        <v>2</v>
      </c>
      <c r="E1010" s="44"/>
      <c r="F1010" s="314"/>
      <c r="G1010" s="316">
        <f t="shared" si="188"/>
        <v>0</v>
      </c>
    </row>
    <row r="1011" spans="1:9" x14ac:dyDescent="0.2">
      <c r="A1011" s="40"/>
      <c r="B1011" s="249" t="s">
        <v>213</v>
      </c>
      <c r="C1011" s="279" t="s">
        <v>114</v>
      </c>
      <c r="D1011" s="57">
        <f>D998</f>
        <v>2</v>
      </c>
      <c r="E1011" s="44"/>
      <c r="F1011" s="314"/>
      <c r="G1011" s="316">
        <f t="shared" si="188"/>
        <v>0</v>
      </c>
    </row>
    <row r="1012" spans="1:9" x14ac:dyDescent="0.2">
      <c r="A1012" s="40"/>
      <c r="B1012" s="249" t="s">
        <v>265</v>
      </c>
      <c r="C1012" s="279" t="s">
        <v>114</v>
      </c>
      <c r="D1012" s="57">
        <f>D999</f>
        <v>2</v>
      </c>
      <c r="E1012" s="44"/>
      <c r="F1012" s="314"/>
      <c r="G1012" s="316">
        <f t="shared" si="188"/>
        <v>0</v>
      </c>
    </row>
    <row r="1013" spans="1:9" ht="12" customHeight="1" x14ac:dyDescent="0.2">
      <c r="A1013" s="40"/>
      <c r="B1013" s="249" t="s">
        <v>311</v>
      </c>
      <c r="C1013" s="279" t="s">
        <v>114</v>
      </c>
      <c r="D1013" s="57">
        <f>D1000</f>
        <v>2</v>
      </c>
      <c r="E1013" s="44"/>
      <c r="F1013" s="314"/>
      <c r="G1013" s="316">
        <f t="shared" si="188"/>
        <v>0</v>
      </c>
    </row>
    <row r="1014" spans="1:9" ht="12" customHeight="1" x14ac:dyDescent="0.2">
      <c r="A1014" s="40"/>
      <c r="B1014" s="249" t="s">
        <v>312</v>
      </c>
      <c r="C1014" s="279" t="s">
        <v>114</v>
      </c>
      <c r="D1014" s="57">
        <f>D1001</f>
        <v>2</v>
      </c>
      <c r="E1014" s="44"/>
      <c r="F1014" s="314"/>
      <c r="G1014" s="316">
        <f t="shared" si="188"/>
        <v>0</v>
      </c>
    </row>
    <row r="1015" spans="1:9" ht="12" customHeight="1" x14ac:dyDescent="0.2">
      <c r="A1015" s="40"/>
      <c r="B1015" s="249"/>
      <c r="C1015" s="279"/>
      <c r="D1015" s="57"/>
      <c r="E1015" s="44"/>
      <c r="F1015" s="314"/>
      <c r="G1015" s="316"/>
    </row>
    <row r="1016" spans="1:9" ht="12" customHeight="1" x14ac:dyDescent="0.2">
      <c r="A1016" s="346"/>
      <c r="B1016" s="350"/>
      <c r="C1016" s="348"/>
      <c r="D1016" s="349"/>
      <c r="E1016" s="207"/>
      <c r="F1016" s="314"/>
      <c r="G1016" s="316"/>
    </row>
    <row r="1017" spans="1:9" ht="12" customHeight="1" thickBot="1" x14ac:dyDescent="0.25">
      <c r="A1017" s="346"/>
      <c r="B1017" s="350"/>
      <c r="C1017" s="348"/>
      <c r="D1017" s="349"/>
      <c r="E1017" s="207"/>
      <c r="F1017" s="314"/>
      <c r="G1017" s="316"/>
    </row>
    <row r="1018" spans="1:9" ht="12" customHeight="1" x14ac:dyDescent="0.2">
      <c r="A1018" s="68"/>
      <c r="B1018" s="69" t="s">
        <v>182</v>
      </c>
      <c r="C1018" s="319"/>
      <c r="D1018" s="320"/>
      <c r="E1018" s="321"/>
      <c r="F1018" s="190"/>
      <c r="G1018" s="191"/>
    </row>
    <row r="1019" spans="1:9" ht="12" customHeight="1" thickBot="1" x14ac:dyDescent="0.25">
      <c r="A1019" s="73"/>
      <c r="B1019" s="74" t="s">
        <v>134</v>
      </c>
      <c r="C1019" s="153"/>
      <c r="D1019" s="154"/>
      <c r="E1019" s="182"/>
      <c r="F1019" s="155"/>
      <c r="G1019" s="192">
        <f>SUM(G914:G1018)</f>
        <v>0</v>
      </c>
      <c r="I1019" s="168"/>
    </row>
    <row r="1020" spans="1:9" x14ac:dyDescent="0.2">
      <c r="A1020" s="322"/>
      <c r="B1020" s="80"/>
      <c r="C1020" s="143"/>
      <c r="D1020" s="59"/>
      <c r="E1020" s="92"/>
      <c r="F1020" s="59"/>
      <c r="G1020" s="150"/>
    </row>
    <row r="1021" spans="1:9" x14ac:dyDescent="0.2">
      <c r="A1021" s="322"/>
      <c r="B1021" s="41" t="s">
        <v>332</v>
      </c>
      <c r="C1021" s="143"/>
      <c r="D1021" s="59"/>
      <c r="E1021" s="92"/>
      <c r="F1021" s="59"/>
      <c r="G1021" s="150"/>
    </row>
    <row r="1022" spans="1:9" x14ac:dyDescent="0.2">
      <c r="A1022" s="322"/>
      <c r="B1022" s="49" t="s">
        <v>415</v>
      </c>
      <c r="C1022" s="143"/>
      <c r="D1022" s="59"/>
      <c r="E1022" s="92"/>
      <c r="F1022" s="59"/>
      <c r="G1022" s="150"/>
    </row>
    <row r="1023" spans="1:9" x14ac:dyDescent="0.2">
      <c r="A1023" s="322"/>
      <c r="B1023" s="80"/>
      <c r="C1023" s="143"/>
      <c r="D1023" s="59"/>
      <c r="E1023" s="92"/>
      <c r="F1023" s="59"/>
      <c r="G1023" s="150"/>
    </row>
    <row r="1024" spans="1:9" x14ac:dyDescent="0.2">
      <c r="A1024" s="322">
        <v>13.1</v>
      </c>
      <c r="B1024" s="364" t="s">
        <v>106</v>
      </c>
      <c r="C1024" s="143"/>
      <c r="D1024" s="59"/>
      <c r="E1024" s="92"/>
      <c r="F1024" s="59"/>
      <c r="G1024" s="316">
        <f t="shared" ref="G1024" si="189">+D1024*E1024+D1024*F1024</f>
        <v>0</v>
      </c>
    </row>
    <row r="1025" spans="1:10" x14ac:dyDescent="0.2">
      <c r="A1025" s="322" t="s">
        <v>416</v>
      </c>
      <c r="B1025" s="364" t="s">
        <v>385</v>
      </c>
      <c r="C1025" s="143"/>
      <c r="D1025" s="59"/>
      <c r="E1025" s="92"/>
      <c r="F1025" s="59"/>
      <c r="G1025" s="150"/>
    </row>
    <row r="1026" spans="1:10" x14ac:dyDescent="0.2">
      <c r="A1026" s="322" t="s">
        <v>386</v>
      </c>
      <c r="B1026" s="366" t="s">
        <v>387</v>
      </c>
      <c r="C1026" s="143"/>
      <c r="D1026" s="59"/>
      <c r="E1026" s="92"/>
      <c r="F1026" s="59"/>
      <c r="G1026" s="150"/>
    </row>
    <row r="1027" spans="1:10" ht="13.5" x14ac:dyDescent="0.2">
      <c r="A1027" s="322"/>
      <c r="B1027" s="365" t="s">
        <v>417</v>
      </c>
      <c r="C1027" s="143" t="s">
        <v>357</v>
      </c>
      <c r="D1027" s="59">
        <v>60.35</v>
      </c>
      <c r="E1027" s="92"/>
      <c r="F1027" s="59"/>
      <c r="G1027" s="316">
        <f t="shared" ref="G1027:G1030" si="190">+D1027*E1027+D1027*F1027</f>
        <v>0</v>
      </c>
      <c r="I1027" s="28">
        <f>6.075*5+4.925*2</f>
        <v>40.225000000000001</v>
      </c>
      <c r="J1027" s="28">
        <f>I1027*1.5</f>
        <v>60.337500000000006</v>
      </c>
    </row>
    <row r="1028" spans="1:10" x14ac:dyDescent="0.2">
      <c r="A1028" s="322" t="s">
        <v>384</v>
      </c>
      <c r="B1028" s="364" t="s">
        <v>107</v>
      </c>
      <c r="C1028" s="143"/>
      <c r="D1028" s="59"/>
      <c r="E1028" s="92"/>
      <c r="F1028" s="59"/>
      <c r="G1028" s="316">
        <f t="shared" si="190"/>
        <v>0</v>
      </c>
    </row>
    <row r="1029" spans="1:10" ht="13.5" x14ac:dyDescent="0.2">
      <c r="A1029" s="322"/>
      <c r="B1029" s="365" t="s">
        <v>418</v>
      </c>
      <c r="C1029" s="143" t="s">
        <v>357</v>
      </c>
      <c r="D1029" s="59">
        <v>120.7</v>
      </c>
      <c r="E1029" s="92"/>
      <c r="F1029" s="59"/>
      <c r="G1029" s="316">
        <f t="shared" ref="G1029" si="191">+D1029*E1029+D1029*F1029</f>
        <v>0</v>
      </c>
      <c r="I1029" s="28">
        <f>40.225*1.5*2</f>
        <v>120.67500000000001</v>
      </c>
    </row>
    <row r="1030" spans="1:10" x14ac:dyDescent="0.2">
      <c r="A1030" s="322">
        <v>13.2</v>
      </c>
      <c r="B1030" s="364" t="s">
        <v>388</v>
      </c>
      <c r="C1030" s="143"/>
      <c r="D1030" s="59"/>
      <c r="E1030" s="92"/>
      <c r="F1030" s="59"/>
      <c r="G1030" s="316">
        <f t="shared" si="190"/>
        <v>0</v>
      </c>
    </row>
    <row r="1031" spans="1:10" x14ac:dyDescent="0.2">
      <c r="A1031" s="242"/>
      <c r="B1031" s="243"/>
      <c r="C1031" s="244"/>
      <c r="D1031" s="245"/>
      <c r="E1031" s="246"/>
      <c r="F1031" s="247"/>
      <c r="G1031" s="248"/>
    </row>
    <row r="1032" spans="1:10" x14ac:dyDescent="0.2">
      <c r="A1032" s="63" t="s">
        <v>184</v>
      </c>
      <c r="B1032" s="249" t="s">
        <v>571</v>
      </c>
      <c r="C1032" s="250" t="s">
        <v>114</v>
      </c>
      <c r="D1032" s="57">
        <v>4</v>
      </c>
      <c r="E1032" s="44"/>
      <c r="F1032" s="103"/>
      <c r="G1032" s="104">
        <f t="shared" ref="G1032" si="192">(D1032*E1032)+(D1032*F1032)</f>
        <v>0</v>
      </c>
    </row>
    <row r="1033" spans="1:10" x14ac:dyDescent="0.2">
      <c r="A1033" s="322"/>
      <c r="B1033" s="365"/>
      <c r="C1033" s="143"/>
      <c r="D1033" s="59"/>
      <c r="E1033" s="92"/>
      <c r="F1033" s="59"/>
      <c r="G1033" s="60"/>
    </row>
    <row r="1034" spans="1:10" x14ac:dyDescent="0.2">
      <c r="A1034" s="322">
        <v>13.3</v>
      </c>
      <c r="B1034" s="364" t="s">
        <v>95</v>
      </c>
      <c r="C1034" s="143"/>
      <c r="D1034" s="59"/>
      <c r="E1034" s="92"/>
      <c r="F1034" s="59"/>
      <c r="G1034" s="316">
        <f t="shared" ref="G1034" si="193">+D1034*E1034+D1034*F1034</f>
        <v>0</v>
      </c>
    </row>
    <row r="1035" spans="1:10" ht="13.5" x14ac:dyDescent="0.2">
      <c r="A1035" s="63"/>
      <c r="B1035" s="365" t="s">
        <v>389</v>
      </c>
      <c r="C1035" s="143" t="s">
        <v>357</v>
      </c>
      <c r="D1035" s="59">
        <f>D1029</f>
        <v>120.7</v>
      </c>
      <c r="E1035" s="92"/>
      <c r="F1035" s="59"/>
      <c r="G1035" s="316">
        <f t="shared" ref="G1035" si="194">+D1035*E1035+D1035*F1035</f>
        <v>0</v>
      </c>
    </row>
    <row r="1036" spans="1:10" x14ac:dyDescent="0.2">
      <c r="A1036" s="63"/>
      <c r="B1036" s="365"/>
      <c r="C1036" s="143"/>
      <c r="D1036" s="59"/>
      <c r="E1036" s="92"/>
      <c r="F1036" s="59"/>
      <c r="G1036" s="316"/>
    </row>
    <row r="1037" spans="1:10" x14ac:dyDescent="0.2">
      <c r="A1037" s="322">
        <v>13.4</v>
      </c>
      <c r="B1037" s="364" t="s">
        <v>298</v>
      </c>
      <c r="C1037" s="143"/>
      <c r="D1037" s="59"/>
      <c r="E1037" s="92"/>
      <c r="F1037" s="59"/>
      <c r="G1037" s="316">
        <f t="shared" ref="G1037:G1038" si="195">+D1037*E1037+D1037*F1037</f>
        <v>0</v>
      </c>
    </row>
    <row r="1038" spans="1:10" x14ac:dyDescent="0.2">
      <c r="A1038" s="63"/>
      <c r="B1038" s="365" t="s">
        <v>419</v>
      </c>
      <c r="C1038" s="143" t="s">
        <v>126</v>
      </c>
      <c r="D1038" s="59">
        <v>261</v>
      </c>
      <c r="E1038" s="92"/>
      <c r="F1038" s="59"/>
      <c r="G1038" s="316">
        <f t="shared" si="195"/>
        <v>0</v>
      </c>
      <c r="I1038" s="28">
        <f>8.5*8+10.3*8</f>
        <v>150.4</v>
      </c>
    </row>
    <row r="1039" spans="1:10" ht="13.5" x14ac:dyDescent="0.2">
      <c r="A1039" s="322"/>
      <c r="B1039" s="365" t="s">
        <v>421</v>
      </c>
      <c r="C1039" s="143" t="s">
        <v>357</v>
      </c>
      <c r="D1039" s="59">
        <v>93.2</v>
      </c>
      <c r="E1039" s="92"/>
      <c r="F1039" s="59"/>
      <c r="G1039" s="60"/>
    </row>
    <row r="1040" spans="1:10" x14ac:dyDescent="0.2">
      <c r="A1040" s="322"/>
      <c r="B1040" s="365" t="s">
        <v>569</v>
      </c>
      <c r="C1040" s="143" t="s">
        <v>114</v>
      </c>
      <c r="D1040" s="59">
        <v>2</v>
      </c>
      <c r="E1040" s="92"/>
      <c r="F1040" s="59"/>
      <c r="G1040" s="60"/>
    </row>
    <row r="1041" spans="1:7" x14ac:dyDescent="0.2">
      <c r="A1041" s="322">
        <v>13.5</v>
      </c>
      <c r="B1041" s="364" t="s">
        <v>420</v>
      </c>
      <c r="C1041" s="143"/>
      <c r="D1041" s="59"/>
      <c r="E1041" s="92"/>
      <c r="F1041" s="59"/>
      <c r="G1041" s="316">
        <f t="shared" ref="G1041" si="196">+D1041*E1041+D1041*F1041</f>
        <v>0</v>
      </c>
    </row>
    <row r="1042" spans="1:7" ht="13.5" x14ac:dyDescent="0.2">
      <c r="A1042" s="344"/>
      <c r="B1042" s="350" t="s">
        <v>570</v>
      </c>
      <c r="C1042" s="143" t="s">
        <v>357</v>
      </c>
      <c r="D1042" s="335">
        <f>D1039</f>
        <v>93.2</v>
      </c>
      <c r="E1042" s="207"/>
      <c r="F1042" s="314"/>
      <c r="G1042" s="216"/>
    </row>
    <row r="1043" spans="1:7" x14ac:dyDescent="0.2">
      <c r="A1043" s="344"/>
      <c r="B1043" s="345"/>
      <c r="C1043" s="351"/>
      <c r="D1043" s="352"/>
      <c r="E1043" s="207"/>
      <c r="F1043" s="314"/>
      <c r="G1043" s="316"/>
    </row>
    <row r="1044" spans="1:7" x14ac:dyDescent="0.2">
      <c r="A1044" s="346"/>
      <c r="B1044" s="350"/>
      <c r="C1044" s="334"/>
      <c r="D1044" s="335"/>
      <c r="E1044" s="207"/>
      <c r="F1044" s="314"/>
      <c r="G1044" s="316"/>
    </row>
    <row r="1045" spans="1:7" x14ac:dyDescent="0.2">
      <c r="A1045" s="346"/>
      <c r="B1045" s="350"/>
      <c r="C1045" s="334"/>
      <c r="D1045" s="335"/>
      <c r="E1045" s="207"/>
      <c r="F1045" s="314"/>
      <c r="G1045" s="316"/>
    </row>
    <row r="1046" spans="1:7" x14ac:dyDescent="0.2">
      <c r="A1046" s="346"/>
      <c r="B1046" s="350"/>
      <c r="C1046" s="334"/>
      <c r="D1046" s="335"/>
      <c r="E1046" s="207"/>
      <c r="F1046" s="314"/>
      <c r="G1046" s="316"/>
    </row>
    <row r="1047" spans="1:7" x14ac:dyDescent="0.2">
      <c r="A1047" s="346"/>
      <c r="B1047" s="350"/>
      <c r="C1047" s="334"/>
      <c r="D1047" s="335"/>
      <c r="E1047" s="207"/>
      <c r="F1047" s="314"/>
      <c r="G1047" s="316"/>
    </row>
    <row r="1048" spans="1:7" x14ac:dyDescent="0.2">
      <c r="A1048" s="322"/>
      <c r="B1048" s="365"/>
      <c r="C1048" s="143"/>
      <c r="D1048" s="59"/>
      <c r="E1048" s="92"/>
      <c r="F1048" s="59"/>
      <c r="G1048" s="60"/>
    </row>
    <row r="1049" spans="1:7" x14ac:dyDescent="0.2">
      <c r="A1049" s="344"/>
      <c r="B1049" s="345"/>
      <c r="C1049" s="351"/>
      <c r="D1049" s="352"/>
      <c r="E1049" s="207"/>
      <c r="F1049" s="314"/>
      <c r="G1049" s="316"/>
    </row>
    <row r="1050" spans="1:7" x14ac:dyDescent="0.2">
      <c r="A1050" s="344"/>
      <c r="B1050" s="345"/>
      <c r="C1050" s="351"/>
      <c r="D1050" s="352"/>
      <c r="E1050" s="207"/>
      <c r="F1050" s="314"/>
      <c r="G1050" s="316"/>
    </row>
    <row r="1051" spans="1:7" x14ac:dyDescent="0.2">
      <c r="A1051" s="344"/>
      <c r="B1051" s="345"/>
      <c r="C1051" s="351"/>
      <c r="D1051" s="352"/>
      <c r="E1051" s="207"/>
      <c r="F1051" s="314"/>
      <c r="G1051" s="316"/>
    </row>
    <row r="1052" spans="1:7" x14ac:dyDescent="0.2">
      <c r="A1052" s="344"/>
      <c r="B1052" s="345"/>
      <c r="C1052" s="351"/>
      <c r="D1052" s="352"/>
      <c r="E1052" s="207"/>
      <c r="F1052" s="314"/>
      <c r="G1052" s="316"/>
    </row>
    <row r="1053" spans="1:7" x14ac:dyDescent="0.2">
      <c r="A1053" s="344"/>
      <c r="B1053" s="345"/>
      <c r="C1053" s="351"/>
      <c r="D1053" s="352"/>
      <c r="E1053" s="207"/>
      <c r="F1053" s="314"/>
      <c r="G1053" s="316"/>
    </row>
    <row r="1054" spans="1:7" x14ac:dyDescent="0.2">
      <c r="A1054" s="344"/>
      <c r="B1054" s="345"/>
      <c r="C1054" s="351"/>
      <c r="D1054" s="352"/>
      <c r="E1054" s="207"/>
      <c r="F1054" s="314"/>
      <c r="G1054" s="316"/>
    </row>
    <row r="1055" spans="1:7" x14ac:dyDescent="0.2">
      <c r="A1055" s="344"/>
      <c r="B1055" s="345"/>
      <c r="C1055" s="351"/>
      <c r="D1055" s="352"/>
      <c r="E1055" s="207"/>
      <c r="F1055" s="314"/>
      <c r="G1055" s="316"/>
    </row>
    <row r="1056" spans="1:7" x14ac:dyDescent="0.2">
      <c r="A1056" s="344"/>
      <c r="B1056" s="345"/>
      <c r="C1056" s="351"/>
      <c r="D1056" s="352"/>
      <c r="E1056" s="207"/>
      <c r="F1056" s="314"/>
      <c r="G1056" s="316"/>
    </row>
    <row r="1057" spans="1:7" x14ac:dyDescent="0.2">
      <c r="A1057" s="344"/>
      <c r="B1057" s="345"/>
      <c r="C1057" s="351"/>
      <c r="D1057" s="352"/>
      <c r="E1057" s="207"/>
      <c r="F1057" s="314"/>
      <c r="G1057" s="316"/>
    </row>
    <row r="1058" spans="1:7" x14ac:dyDescent="0.2">
      <c r="A1058" s="344"/>
      <c r="B1058" s="345"/>
      <c r="C1058" s="351"/>
      <c r="D1058" s="352"/>
      <c r="E1058" s="207"/>
      <c r="F1058" s="314"/>
      <c r="G1058" s="316"/>
    </row>
    <row r="1059" spans="1:7" x14ac:dyDescent="0.2">
      <c r="A1059" s="344"/>
      <c r="B1059" s="345"/>
      <c r="C1059" s="351"/>
      <c r="D1059" s="352"/>
      <c r="E1059" s="207"/>
      <c r="F1059" s="314"/>
      <c r="G1059" s="316"/>
    </row>
    <row r="1060" spans="1:7" ht="12.75" thickBot="1" x14ac:dyDescent="0.25">
      <c r="A1060" s="344"/>
      <c r="B1060" s="345"/>
      <c r="C1060" s="351"/>
      <c r="D1060" s="352"/>
      <c r="E1060" s="207"/>
      <c r="F1060" s="314"/>
      <c r="G1060" s="316"/>
    </row>
    <row r="1061" spans="1:7" x14ac:dyDescent="0.2">
      <c r="A1061" s="326"/>
      <c r="B1061" s="69" t="s">
        <v>566</v>
      </c>
      <c r="C1061" s="319"/>
      <c r="D1061" s="190"/>
      <c r="E1061" s="321"/>
      <c r="F1061" s="190"/>
      <c r="G1061" s="191"/>
    </row>
    <row r="1062" spans="1:7" ht="12.75" thickBot="1" x14ac:dyDescent="0.25">
      <c r="A1062" s="327"/>
      <c r="B1062" s="74" t="s">
        <v>318</v>
      </c>
      <c r="C1062" s="153"/>
      <c r="D1062" s="155"/>
      <c r="E1062" s="182"/>
      <c r="F1062" s="155"/>
      <c r="G1062" s="192">
        <f>SUM(G1023:G1061)</f>
        <v>0</v>
      </c>
    </row>
    <row r="1063" spans="1:7" x14ac:dyDescent="0.2">
      <c r="A1063" s="322"/>
      <c r="B1063" s="365"/>
      <c r="C1063" s="143"/>
      <c r="D1063" s="59"/>
      <c r="E1063" s="92"/>
      <c r="F1063" s="59"/>
      <c r="G1063" s="60"/>
    </row>
    <row r="1064" spans="1:7" x14ac:dyDescent="0.2">
      <c r="A1064" s="322"/>
      <c r="B1064" s="41" t="s">
        <v>332</v>
      </c>
      <c r="C1064" s="56"/>
      <c r="D1064" s="188"/>
      <c r="E1064" s="44"/>
      <c r="F1064" s="59"/>
      <c r="G1064" s="60"/>
    </row>
    <row r="1065" spans="1:7" x14ac:dyDescent="0.2">
      <c r="A1065" s="322"/>
      <c r="B1065" s="49" t="s">
        <v>329</v>
      </c>
      <c r="C1065" s="56"/>
      <c r="D1065" s="188"/>
      <c r="E1065" s="44"/>
      <c r="F1065" s="59"/>
      <c r="G1065" s="60"/>
    </row>
    <row r="1066" spans="1:7" x14ac:dyDescent="0.2">
      <c r="A1066" s="323">
        <v>13.1</v>
      </c>
      <c r="B1066" s="266" t="s">
        <v>41</v>
      </c>
      <c r="C1066" s="324"/>
      <c r="D1066" s="325"/>
      <c r="E1066" s="122"/>
      <c r="F1066" s="233"/>
      <c r="G1066" s="234"/>
    </row>
    <row r="1067" spans="1:7" x14ac:dyDescent="0.2">
      <c r="A1067" s="328"/>
      <c r="B1067" s="266" t="s">
        <v>331</v>
      </c>
      <c r="C1067" s="324"/>
      <c r="D1067" s="325"/>
      <c r="E1067" s="122"/>
      <c r="F1067" s="233"/>
      <c r="G1067" s="234"/>
    </row>
    <row r="1068" spans="1:7" x14ac:dyDescent="0.2">
      <c r="A1068" s="322"/>
      <c r="B1068" s="249"/>
      <c r="C1068" s="279"/>
      <c r="D1068" s="188"/>
      <c r="E1068" s="44"/>
      <c r="F1068" s="59"/>
      <c r="G1068" s="60"/>
    </row>
    <row r="1069" spans="1:7" x14ac:dyDescent="0.2">
      <c r="A1069" s="322"/>
      <c r="B1069" s="249"/>
      <c r="C1069" s="279"/>
      <c r="D1069" s="188"/>
      <c r="E1069" s="44"/>
      <c r="F1069" s="59"/>
      <c r="G1069" s="60"/>
    </row>
    <row r="1070" spans="1:7" x14ac:dyDescent="0.2">
      <c r="A1070" s="322"/>
      <c r="B1070" s="249"/>
      <c r="C1070" s="279"/>
      <c r="D1070" s="188"/>
      <c r="E1070" s="44"/>
      <c r="F1070" s="59"/>
      <c r="G1070" s="60"/>
    </row>
    <row r="1071" spans="1:7" x14ac:dyDescent="0.2">
      <c r="A1071" s="322"/>
      <c r="B1071" s="249"/>
      <c r="C1071" s="279"/>
      <c r="D1071" s="188"/>
      <c r="E1071" s="44"/>
      <c r="F1071" s="59"/>
      <c r="G1071" s="60"/>
    </row>
    <row r="1072" spans="1:7" x14ac:dyDescent="0.2">
      <c r="A1072" s="322"/>
      <c r="B1072" s="249"/>
      <c r="C1072" s="279"/>
      <c r="D1072" s="188"/>
      <c r="E1072" s="44"/>
      <c r="F1072" s="59"/>
      <c r="G1072" s="60"/>
    </row>
    <row r="1073" spans="1:7" x14ac:dyDescent="0.2">
      <c r="A1073" s="322"/>
      <c r="B1073" s="249"/>
      <c r="C1073" s="279"/>
      <c r="D1073" s="188"/>
      <c r="E1073" s="44"/>
      <c r="F1073" s="59"/>
      <c r="G1073" s="60"/>
    </row>
    <row r="1074" spans="1:7" x14ac:dyDescent="0.2">
      <c r="A1074" s="322"/>
      <c r="B1074" s="249"/>
      <c r="C1074" s="279"/>
      <c r="D1074" s="188"/>
      <c r="E1074" s="44"/>
      <c r="F1074" s="59"/>
      <c r="G1074" s="60"/>
    </row>
    <row r="1075" spans="1:7" x14ac:dyDescent="0.2">
      <c r="A1075" s="322"/>
      <c r="B1075" s="249"/>
      <c r="C1075" s="279"/>
      <c r="D1075" s="188"/>
      <c r="E1075" s="44"/>
      <c r="F1075" s="59"/>
      <c r="G1075" s="60"/>
    </row>
    <row r="1076" spans="1:7" x14ac:dyDescent="0.2">
      <c r="A1076" s="322"/>
      <c r="B1076" s="249"/>
      <c r="C1076" s="279"/>
      <c r="D1076" s="188"/>
      <c r="E1076" s="44"/>
      <c r="F1076" s="59"/>
      <c r="G1076" s="60"/>
    </row>
    <row r="1077" spans="1:7" x14ac:dyDescent="0.2">
      <c r="A1077" s="322"/>
      <c r="B1077" s="249"/>
      <c r="C1077" s="279"/>
      <c r="D1077" s="188"/>
      <c r="E1077" s="44"/>
      <c r="F1077" s="59"/>
      <c r="G1077" s="60"/>
    </row>
    <row r="1078" spans="1:7" x14ac:dyDescent="0.2">
      <c r="A1078" s="322"/>
      <c r="B1078" s="249"/>
      <c r="C1078" s="279"/>
      <c r="D1078" s="188"/>
      <c r="E1078" s="44"/>
      <c r="F1078" s="59"/>
      <c r="G1078" s="60"/>
    </row>
    <row r="1079" spans="1:7" x14ac:dyDescent="0.2">
      <c r="A1079" s="322"/>
      <c r="B1079" s="249"/>
      <c r="C1079" s="279"/>
      <c r="D1079" s="188"/>
      <c r="E1079" s="44"/>
      <c r="F1079" s="59"/>
      <c r="G1079" s="60"/>
    </row>
    <row r="1080" spans="1:7" x14ac:dyDescent="0.2">
      <c r="A1080" s="322"/>
      <c r="B1080" s="249"/>
      <c r="C1080" s="279"/>
      <c r="D1080" s="188"/>
      <c r="E1080" s="44"/>
      <c r="F1080" s="59"/>
      <c r="G1080" s="60"/>
    </row>
    <row r="1081" spans="1:7" x14ac:dyDescent="0.2">
      <c r="A1081" s="322"/>
      <c r="B1081" s="249"/>
      <c r="C1081" s="279"/>
      <c r="D1081" s="188"/>
      <c r="E1081" s="44"/>
      <c r="F1081" s="59"/>
      <c r="G1081" s="60"/>
    </row>
    <row r="1082" spans="1:7" x14ac:dyDescent="0.2">
      <c r="A1082" s="322"/>
      <c r="B1082" s="249"/>
      <c r="C1082" s="279"/>
      <c r="D1082" s="188"/>
      <c r="E1082" s="44"/>
      <c r="F1082" s="59"/>
      <c r="G1082" s="60"/>
    </row>
    <row r="1083" spans="1:7" x14ac:dyDescent="0.2">
      <c r="A1083" s="322"/>
      <c r="B1083" s="249"/>
      <c r="C1083" s="279"/>
      <c r="D1083" s="188"/>
      <c r="E1083" s="44"/>
      <c r="F1083" s="59"/>
      <c r="G1083" s="60"/>
    </row>
    <row r="1084" spans="1:7" x14ac:dyDescent="0.2">
      <c r="A1084" s="322"/>
      <c r="B1084" s="249"/>
      <c r="C1084" s="279"/>
      <c r="D1084" s="188"/>
      <c r="E1084" s="44"/>
      <c r="F1084" s="59"/>
      <c r="G1084" s="60"/>
    </row>
    <row r="1085" spans="1:7" x14ac:dyDescent="0.2">
      <c r="A1085" s="322"/>
      <c r="B1085" s="249"/>
      <c r="C1085" s="279"/>
      <c r="D1085" s="188"/>
      <c r="E1085" s="44"/>
      <c r="F1085" s="59"/>
      <c r="G1085" s="60"/>
    </row>
    <row r="1086" spans="1:7" x14ac:dyDescent="0.2">
      <c r="A1086" s="322"/>
      <c r="B1086" s="249"/>
      <c r="C1086" s="279"/>
      <c r="D1086" s="188"/>
      <c r="E1086" s="44"/>
      <c r="F1086" s="59"/>
      <c r="G1086" s="60"/>
    </row>
    <row r="1087" spans="1:7" x14ac:dyDescent="0.2">
      <c r="A1087" s="322"/>
      <c r="B1087" s="249"/>
      <c r="C1087" s="279"/>
      <c r="D1087" s="188"/>
      <c r="E1087" s="44"/>
      <c r="F1087" s="59"/>
      <c r="G1087" s="60"/>
    </row>
    <row r="1088" spans="1:7" x14ac:dyDescent="0.2">
      <c r="A1088" s="322"/>
      <c r="B1088" s="249"/>
      <c r="C1088" s="279"/>
      <c r="D1088" s="188"/>
      <c r="E1088" s="44"/>
      <c r="F1088" s="59"/>
      <c r="G1088" s="60"/>
    </row>
    <row r="1089" spans="1:7" x14ac:dyDescent="0.2">
      <c r="A1089" s="322"/>
      <c r="B1089" s="249"/>
      <c r="C1089" s="279"/>
      <c r="D1089" s="188"/>
      <c r="E1089" s="44"/>
      <c r="F1089" s="59"/>
      <c r="G1089" s="60"/>
    </row>
    <row r="1090" spans="1:7" x14ac:dyDescent="0.2">
      <c r="A1090" s="322"/>
      <c r="B1090" s="249"/>
      <c r="C1090" s="279"/>
      <c r="D1090" s="188"/>
      <c r="E1090" s="44"/>
      <c r="F1090" s="59"/>
      <c r="G1090" s="60"/>
    </row>
    <row r="1091" spans="1:7" x14ac:dyDescent="0.2">
      <c r="A1091" s="322"/>
      <c r="B1091" s="249"/>
      <c r="C1091" s="279"/>
      <c r="D1091" s="188"/>
      <c r="E1091" s="44"/>
      <c r="F1091" s="59"/>
      <c r="G1091" s="60"/>
    </row>
    <row r="1092" spans="1:7" x14ac:dyDescent="0.2">
      <c r="A1092" s="322"/>
      <c r="B1092" s="249"/>
      <c r="C1092" s="279"/>
      <c r="D1092" s="188"/>
      <c r="E1092" s="44"/>
      <c r="F1092" s="59"/>
      <c r="G1092" s="60"/>
    </row>
    <row r="1093" spans="1:7" x14ac:dyDescent="0.2">
      <c r="A1093" s="322"/>
      <c r="B1093" s="249"/>
      <c r="C1093" s="279"/>
      <c r="D1093" s="188"/>
      <c r="E1093" s="44"/>
      <c r="F1093" s="59"/>
      <c r="G1093" s="60"/>
    </row>
    <row r="1094" spans="1:7" x14ac:dyDescent="0.2">
      <c r="A1094" s="322"/>
      <c r="B1094" s="249"/>
      <c r="C1094" s="279"/>
      <c r="D1094" s="188"/>
      <c r="E1094" s="44"/>
      <c r="F1094" s="59"/>
      <c r="G1094" s="60"/>
    </row>
    <row r="1095" spans="1:7" x14ac:dyDescent="0.2">
      <c r="A1095" s="322"/>
      <c r="B1095" s="249"/>
      <c r="C1095" s="279"/>
      <c r="D1095" s="188"/>
      <c r="E1095" s="44"/>
      <c r="F1095" s="59"/>
      <c r="G1095" s="60"/>
    </row>
    <row r="1096" spans="1:7" x14ac:dyDescent="0.2">
      <c r="A1096" s="322"/>
      <c r="B1096" s="249"/>
      <c r="C1096" s="279"/>
      <c r="D1096" s="188"/>
      <c r="E1096" s="44"/>
      <c r="F1096" s="59"/>
      <c r="G1096" s="60"/>
    </row>
    <row r="1097" spans="1:7" x14ac:dyDescent="0.2">
      <c r="A1097" s="322"/>
      <c r="B1097" s="249"/>
      <c r="C1097" s="279"/>
      <c r="D1097" s="188"/>
      <c r="E1097" s="44"/>
      <c r="F1097" s="59"/>
      <c r="G1097" s="60"/>
    </row>
    <row r="1098" spans="1:7" x14ac:dyDescent="0.2">
      <c r="A1098" s="322"/>
      <c r="B1098" s="249"/>
      <c r="C1098" s="279"/>
      <c r="D1098" s="188"/>
      <c r="E1098" s="44"/>
      <c r="F1098" s="59"/>
      <c r="G1098" s="60"/>
    </row>
    <row r="1099" spans="1:7" x14ac:dyDescent="0.2">
      <c r="A1099" s="322"/>
      <c r="B1099" s="249"/>
      <c r="C1099" s="279"/>
      <c r="D1099" s="188"/>
      <c r="E1099" s="44"/>
      <c r="F1099" s="59"/>
      <c r="G1099" s="60"/>
    </row>
    <row r="1100" spans="1:7" x14ac:dyDescent="0.2">
      <c r="A1100" s="322"/>
      <c r="B1100" s="249"/>
      <c r="C1100" s="279"/>
      <c r="D1100" s="188"/>
      <c r="E1100" s="44"/>
      <c r="F1100" s="59"/>
      <c r="G1100" s="60"/>
    </row>
    <row r="1101" spans="1:7" x14ac:dyDescent="0.2">
      <c r="A1101" s="322"/>
      <c r="B1101" s="249"/>
      <c r="C1101" s="279"/>
      <c r="D1101" s="188"/>
      <c r="E1101" s="44"/>
      <c r="F1101" s="59"/>
      <c r="G1101" s="60"/>
    </row>
    <row r="1102" spans="1:7" x14ac:dyDescent="0.2">
      <c r="A1102" s="322"/>
      <c r="B1102" s="249"/>
      <c r="C1102" s="279"/>
      <c r="D1102" s="188"/>
      <c r="E1102" s="44"/>
      <c r="F1102" s="59"/>
      <c r="G1102" s="60"/>
    </row>
    <row r="1103" spans="1:7" x14ac:dyDescent="0.2">
      <c r="A1103" s="322"/>
      <c r="B1103" s="249"/>
      <c r="C1103" s="279"/>
      <c r="D1103" s="188"/>
      <c r="E1103" s="44"/>
      <c r="F1103" s="59"/>
      <c r="G1103" s="60"/>
    </row>
    <row r="1104" spans="1:7" x14ac:dyDescent="0.2">
      <c r="A1104" s="322"/>
      <c r="B1104" s="249"/>
      <c r="C1104" s="279"/>
      <c r="D1104" s="188"/>
      <c r="E1104" s="44"/>
      <c r="F1104" s="59"/>
      <c r="G1104" s="60"/>
    </row>
    <row r="1105" spans="1:7" x14ac:dyDescent="0.2">
      <c r="A1105" s="322"/>
      <c r="B1105" s="249"/>
      <c r="C1105" s="279"/>
      <c r="D1105" s="188"/>
      <c r="E1105" s="44"/>
      <c r="F1105" s="59"/>
      <c r="G1105" s="60"/>
    </row>
    <row r="1106" spans="1:7" x14ac:dyDescent="0.2">
      <c r="A1106" s="322"/>
      <c r="B1106" s="249"/>
      <c r="C1106" s="279"/>
      <c r="D1106" s="188"/>
      <c r="E1106" s="44"/>
      <c r="F1106" s="59"/>
      <c r="G1106" s="60"/>
    </row>
    <row r="1107" spans="1:7" x14ac:dyDescent="0.2">
      <c r="A1107" s="322"/>
      <c r="B1107" s="249"/>
      <c r="C1107" s="279"/>
      <c r="D1107" s="188"/>
      <c r="E1107" s="44"/>
      <c r="F1107" s="59"/>
      <c r="G1107" s="60"/>
    </row>
    <row r="1108" spans="1:7" x14ac:dyDescent="0.2">
      <c r="A1108" s="322"/>
      <c r="B1108" s="249"/>
      <c r="C1108" s="279"/>
      <c r="D1108" s="188"/>
      <c r="E1108" s="44"/>
      <c r="F1108" s="59"/>
      <c r="G1108" s="60"/>
    </row>
    <row r="1109" spans="1:7" x14ac:dyDescent="0.2">
      <c r="A1109" s="322"/>
      <c r="B1109" s="249"/>
      <c r="C1109" s="279"/>
      <c r="D1109" s="188"/>
      <c r="E1109" s="44"/>
      <c r="F1109" s="59"/>
      <c r="G1109" s="60"/>
    </row>
    <row r="1110" spans="1:7" x14ac:dyDescent="0.2">
      <c r="A1110" s="322"/>
      <c r="B1110" s="249"/>
      <c r="C1110" s="279"/>
      <c r="D1110" s="188"/>
      <c r="E1110" s="44"/>
      <c r="F1110" s="59"/>
      <c r="G1110" s="60"/>
    </row>
    <row r="1111" spans="1:7" x14ac:dyDescent="0.2">
      <c r="A1111" s="322"/>
      <c r="B1111" s="249"/>
      <c r="C1111" s="279"/>
      <c r="D1111" s="188"/>
      <c r="E1111" s="44"/>
      <c r="F1111" s="59"/>
      <c r="G1111" s="60"/>
    </row>
    <row r="1112" spans="1:7" x14ac:dyDescent="0.2">
      <c r="A1112" s="322"/>
      <c r="B1112" s="249"/>
      <c r="C1112" s="279"/>
      <c r="D1112" s="188"/>
      <c r="E1112" s="44"/>
      <c r="F1112" s="59"/>
      <c r="G1112" s="60"/>
    </row>
    <row r="1113" spans="1:7" x14ac:dyDescent="0.2">
      <c r="A1113" s="322"/>
      <c r="B1113" s="249"/>
      <c r="C1113" s="279"/>
      <c r="D1113" s="188"/>
      <c r="E1113" s="44"/>
      <c r="F1113" s="59"/>
      <c r="G1113" s="60"/>
    </row>
    <row r="1114" spans="1:7" x14ac:dyDescent="0.2">
      <c r="A1114" s="322"/>
      <c r="B1114" s="249"/>
      <c r="C1114" s="279"/>
      <c r="D1114" s="188"/>
      <c r="E1114" s="44"/>
      <c r="F1114" s="59"/>
      <c r="G1114" s="60"/>
    </row>
    <row r="1115" spans="1:7" x14ac:dyDescent="0.2">
      <c r="A1115" s="322"/>
      <c r="B1115" s="249"/>
      <c r="C1115" s="279"/>
      <c r="D1115" s="188"/>
      <c r="E1115" s="44"/>
      <c r="F1115" s="59"/>
      <c r="G1115" s="60"/>
    </row>
    <row r="1116" spans="1:7" x14ac:dyDescent="0.2">
      <c r="A1116" s="322"/>
      <c r="B1116" s="249"/>
      <c r="C1116" s="279"/>
      <c r="D1116" s="188"/>
      <c r="E1116" s="44"/>
      <c r="F1116" s="59"/>
      <c r="G1116" s="60"/>
    </row>
    <row r="1117" spans="1:7" x14ac:dyDescent="0.2">
      <c r="A1117" s="322"/>
      <c r="B1117" s="249"/>
      <c r="C1117" s="279"/>
      <c r="D1117" s="188"/>
      <c r="E1117" s="44"/>
      <c r="F1117" s="59"/>
      <c r="G1117" s="60"/>
    </row>
    <row r="1118" spans="1:7" x14ac:dyDescent="0.2">
      <c r="A1118" s="322"/>
      <c r="B1118" s="249"/>
      <c r="C1118" s="279"/>
      <c r="D1118" s="188"/>
      <c r="E1118" s="44"/>
      <c r="F1118" s="59"/>
      <c r="G1118" s="60"/>
    </row>
    <row r="1119" spans="1:7" ht="12.75" thickBot="1" x14ac:dyDescent="0.25">
      <c r="A1119" s="322"/>
      <c r="B1119" s="249"/>
      <c r="C1119" s="279"/>
      <c r="D1119" s="188"/>
      <c r="E1119" s="44"/>
      <c r="F1119" s="59"/>
      <c r="G1119" s="60"/>
    </row>
    <row r="1120" spans="1:7" x14ac:dyDescent="0.2">
      <c r="A1120" s="326"/>
      <c r="B1120" s="69" t="s">
        <v>567</v>
      </c>
      <c r="C1120" s="319"/>
      <c r="D1120" s="190"/>
      <c r="E1120" s="321"/>
      <c r="F1120" s="190"/>
      <c r="G1120" s="191"/>
    </row>
    <row r="1121" spans="1:7" ht="12.75" thickBot="1" x14ac:dyDescent="0.25">
      <c r="A1121" s="327"/>
      <c r="B1121" s="74" t="s">
        <v>334</v>
      </c>
      <c r="C1121" s="153"/>
      <c r="D1121" s="155"/>
      <c r="E1121" s="182"/>
      <c r="F1121" s="155"/>
      <c r="G1121" s="192">
        <f>SUM(G1066:G1120)</f>
        <v>0</v>
      </c>
    </row>
    <row r="1122" spans="1:7" x14ac:dyDescent="0.2">
      <c r="A1122" s="322"/>
      <c r="B1122" s="80"/>
      <c r="C1122" s="143"/>
      <c r="D1122" s="59"/>
      <c r="E1122" s="92"/>
      <c r="F1122" s="59"/>
      <c r="G1122" s="150"/>
    </row>
    <row r="1123" spans="1:7" x14ac:dyDescent="0.2">
      <c r="A1123" s="322"/>
      <c r="B1123" s="41" t="s">
        <v>335</v>
      </c>
      <c r="C1123" s="56"/>
      <c r="D1123" s="188"/>
      <c r="E1123" s="44"/>
      <c r="F1123" s="59"/>
      <c r="G1123" s="60"/>
    </row>
    <row r="1124" spans="1:7" x14ac:dyDescent="0.2">
      <c r="A1124" s="322"/>
      <c r="B1124" s="49" t="s">
        <v>330</v>
      </c>
      <c r="C1124" s="56"/>
      <c r="D1124" s="188"/>
      <c r="E1124" s="44"/>
      <c r="F1124" s="59"/>
      <c r="G1124" s="60"/>
    </row>
    <row r="1125" spans="1:7" x14ac:dyDescent="0.2">
      <c r="A1125" s="323">
        <v>14.1</v>
      </c>
      <c r="B1125" s="266" t="s">
        <v>41</v>
      </c>
      <c r="C1125" s="324"/>
      <c r="D1125" s="325"/>
      <c r="E1125" s="122"/>
      <c r="F1125" s="233"/>
      <c r="G1125" s="234"/>
    </row>
    <row r="1126" spans="1:7" x14ac:dyDescent="0.2">
      <c r="A1126" s="329"/>
      <c r="B1126" s="330" t="s">
        <v>333</v>
      </c>
      <c r="C1126" s="81"/>
      <c r="D1126" s="188"/>
      <c r="E1126" s="207"/>
      <c r="F1126" s="180"/>
      <c r="G1126" s="216"/>
    </row>
    <row r="1127" spans="1:7" x14ac:dyDescent="0.2">
      <c r="A1127" s="322"/>
      <c r="B1127" s="249"/>
      <c r="C1127" s="279"/>
      <c r="D1127" s="188"/>
      <c r="E1127" s="44"/>
      <c r="F1127" s="59"/>
      <c r="G1127" s="60"/>
    </row>
    <row r="1128" spans="1:7" x14ac:dyDescent="0.2">
      <c r="A1128" s="322"/>
      <c r="B1128" s="249"/>
      <c r="C1128" s="279"/>
      <c r="D1128" s="188"/>
      <c r="E1128" s="44"/>
      <c r="F1128" s="59"/>
      <c r="G1128" s="60"/>
    </row>
    <row r="1129" spans="1:7" x14ac:dyDescent="0.2">
      <c r="A1129" s="322"/>
      <c r="B1129" s="249"/>
      <c r="C1129" s="279"/>
      <c r="D1129" s="188"/>
      <c r="E1129" s="44"/>
      <c r="F1129" s="59"/>
      <c r="G1129" s="60"/>
    </row>
    <row r="1130" spans="1:7" x14ac:dyDescent="0.2">
      <c r="A1130" s="322"/>
      <c r="B1130" s="249"/>
      <c r="C1130" s="279"/>
      <c r="D1130" s="188"/>
      <c r="E1130" s="44"/>
      <c r="F1130" s="59"/>
      <c r="G1130" s="60"/>
    </row>
    <row r="1131" spans="1:7" x14ac:dyDescent="0.2">
      <c r="A1131" s="322"/>
      <c r="B1131" s="249"/>
      <c r="C1131" s="279"/>
      <c r="D1131" s="188"/>
      <c r="E1131" s="44"/>
      <c r="F1131" s="59"/>
      <c r="G1131" s="60"/>
    </row>
    <row r="1132" spans="1:7" x14ac:dyDescent="0.2">
      <c r="A1132" s="322"/>
      <c r="B1132" s="249"/>
      <c r="C1132" s="279"/>
      <c r="D1132" s="188"/>
      <c r="E1132" s="44"/>
      <c r="F1132" s="59"/>
      <c r="G1132" s="60"/>
    </row>
    <row r="1133" spans="1:7" x14ac:dyDescent="0.2">
      <c r="A1133" s="322"/>
      <c r="B1133" s="249"/>
      <c r="C1133" s="279"/>
      <c r="D1133" s="188"/>
      <c r="E1133" s="44"/>
      <c r="F1133" s="59"/>
      <c r="G1133" s="60"/>
    </row>
    <row r="1134" spans="1:7" x14ac:dyDescent="0.2">
      <c r="A1134" s="322"/>
      <c r="B1134" s="249"/>
      <c r="C1134" s="279"/>
      <c r="D1134" s="188"/>
      <c r="E1134" s="44"/>
      <c r="F1134" s="59"/>
      <c r="G1134" s="60"/>
    </row>
    <row r="1135" spans="1:7" x14ac:dyDescent="0.2">
      <c r="A1135" s="322"/>
      <c r="B1135" s="249"/>
      <c r="C1135" s="279"/>
      <c r="D1135" s="188"/>
      <c r="E1135" s="44"/>
      <c r="F1135" s="59"/>
      <c r="G1135" s="60"/>
    </row>
    <row r="1136" spans="1:7" x14ac:dyDescent="0.2">
      <c r="A1136" s="322"/>
      <c r="B1136" s="249"/>
      <c r="C1136" s="279"/>
      <c r="D1136" s="188"/>
      <c r="E1136" s="44"/>
      <c r="F1136" s="59"/>
      <c r="G1136" s="60"/>
    </row>
    <row r="1137" spans="1:7" x14ac:dyDescent="0.2">
      <c r="A1137" s="322"/>
      <c r="B1137" s="249"/>
      <c r="C1137" s="279"/>
      <c r="D1137" s="188"/>
      <c r="E1137" s="44"/>
      <c r="F1137" s="59"/>
      <c r="G1137" s="60"/>
    </row>
    <row r="1138" spans="1:7" x14ac:dyDescent="0.2">
      <c r="A1138" s="322"/>
      <c r="B1138" s="249"/>
      <c r="C1138" s="279"/>
      <c r="D1138" s="188"/>
      <c r="E1138" s="44"/>
      <c r="F1138" s="59"/>
      <c r="G1138" s="60"/>
    </row>
    <row r="1139" spans="1:7" x14ac:dyDescent="0.2">
      <c r="A1139" s="322"/>
      <c r="B1139" s="249"/>
      <c r="C1139" s="279"/>
      <c r="D1139" s="188"/>
      <c r="E1139" s="44"/>
      <c r="F1139" s="59"/>
      <c r="G1139" s="60"/>
    </row>
    <row r="1140" spans="1:7" x14ac:dyDescent="0.2">
      <c r="A1140" s="322"/>
      <c r="B1140" s="249"/>
      <c r="C1140" s="279"/>
      <c r="D1140" s="188"/>
      <c r="E1140" s="44"/>
      <c r="F1140" s="59"/>
      <c r="G1140" s="60"/>
    </row>
    <row r="1141" spans="1:7" x14ac:dyDescent="0.2">
      <c r="A1141" s="322"/>
      <c r="B1141" s="249"/>
      <c r="C1141" s="279"/>
      <c r="D1141" s="188"/>
      <c r="E1141" s="44"/>
      <c r="F1141" s="59"/>
      <c r="G1141" s="60"/>
    </row>
    <row r="1142" spans="1:7" x14ac:dyDescent="0.2">
      <c r="A1142" s="322"/>
      <c r="B1142" s="249"/>
      <c r="C1142" s="279"/>
      <c r="D1142" s="188"/>
      <c r="E1142" s="44"/>
      <c r="F1142" s="59"/>
      <c r="G1142" s="60"/>
    </row>
    <row r="1143" spans="1:7" x14ac:dyDescent="0.2">
      <c r="A1143" s="322"/>
      <c r="B1143" s="249"/>
      <c r="C1143" s="279"/>
      <c r="D1143" s="188"/>
      <c r="E1143" s="44"/>
      <c r="F1143" s="59"/>
      <c r="G1143" s="60"/>
    </row>
    <row r="1144" spans="1:7" x14ac:dyDescent="0.2">
      <c r="A1144" s="322"/>
      <c r="B1144" s="249"/>
      <c r="C1144" s="279"/>
      <c r="D1144" s="188"/>
      <c r="E1144" s="44"/>
      <c r="F1144" s="59"/>
      <c r="G1144" s="60"/>
    </row>
    <row r="1145" spans="1:7" x14ac:dyDescent="0.2">
      <c r="A1145" s="322"/>
      <c r="B1145" s="249"/>
      <c r="C1145" s="279"/>
      <c r="D1145" s="188"/>
      <c r="E1145" s="44"/>
      <c r="F1145" s="59"/>
      <c r="G1145" s="60"/>
    </row>
    <row r="1146" spans="1:7" x14ac:dyDescent="0.2">
      <c r="A1146" s="322"/>
      <c r="B1146" s="249"/>
      <c r="C1146" s="279"/>
      <c r="D1146" s="188"/>
      <c r="E1146" s="44"/>
      <c r="F1146" s="59"/>
      <c r="G1146" s="60"/>
    </row>
    <row r="1147" spans="1:7" x14ac:dyDescent="0.2">
      <c r="A1147" s="322"/>
      <c r="B1147" s="249"/>
      <c r="C1147" s="279"/>
      <c r="D1147" s="188"/>
      <c r="E1147" s="44"/>
      <c r="F1147" s="59"/>
      <c r="G1147" s="60"/>
    </row>
    <row r="1148" spans="1:7" x14ac:dyDescent="0.2">
      <c r="A1148" s="322"/>
      <c r="B1148" s="249"/>
      <c r="C1148" s="279"/>
      <c r="D1148" s="188"/>
      <c r="E1148" s="44"/>
      <c r="F1148" s="59"/>
      <c r="G1148" s="60"/>
    </row>
    <row r="1149" spans="1:7" x14ac:dyDescent="0.2">
      <c r="A1149" s="322"/>
      <c r="B1149" s="249"/>
      <c r="C1149" s="279"/>
      <c r="D1149" s="188"/>
      <c r="E1149" s="44"/>
      <c r="F1149" s="59"/>
      <c r="G1149" s="60"/>
    </row>
    <row r="1150" spans="1:7" x14ac:dyDescent="0.2">
      <c r="A1150" s="322"/>
      <c r="B1150" s="249"/>
      <c r="C1150" s="279"/>
      <c r="D1150" s="188"/>
      <c r="E1150" s="44"/>
      <c r="F1150" s="59"/>
      <c r="G1150" s="60"/>
    </row>
    <row r="1151" spans="1:7" x14ac:dyDescent="0.2">
      <c r="A1151" s="322"/>
      <c r="B1151" s="249"/>
      <c r="C1151" s="279"/>
      <c r="D1151" s="188"/>
      <c r="E1151" s="44"/>
      <c r="F1151" s="59"/>
      <c r="G1151" s="60"/>
    </row>
    <row r="1152" spans="1:7" x14ac:dyDescent="0.2">
      <c r="A1152" s="322"/>
      <c r="B1152" s="249"/>
      <c r="C1152" s="279"/>
      <c r="D1152" s="188"/>
      <c r="E1152" s="44"/>
      <c r="F1152" s="59"/>
      <c r="G1152" s="60"/>
    </row>
    <row r="1153" spans="1:7" x14ac:dyDescent="0.2">
      <c r="A1153" s="322"/>
      <c r="B1153" s="249"/>
      <c r="C1153" s="279"/>
      <c r="D1153" s="188"/>
      <c r="E1153" s="44"/>
      <c r="F1153" s="59"/>
      <c r="G1153" s="60"/>
    </row>
    <row r="1154" spans="1:7" x14ac:dyDescent="0.2">
      <c r="A1154" s="322"/>
      <c r="B1154" s="249"/>
      <c r="C1154" s="279"/>
      <c r="D1154" s="188"/>
      <c r="E1154" s="44"/>
      <c r="F1154" s="59"/>
      <c r="G1154" s="60"/>
    </row>
    <row r="1155" spans="1:7" x14ac:dyDescent="0.2">
      <c r="A1155" s="322"/>
      <c r="B1155" s="249"/>
      <c r="C1155" s="279"/>
      <c r="D1155" s="188"/>
      <c r="E1155" s="44"/>
      <c r="F1155" s="59"/>
      <c r="G1155" s="60"/>
    </row>
    <row r="1156" spans="1:7" x14ac:dyDescent="0.2">
      <c r="A1156" s="322"/>
      <c r="B1156" s="249"/>
      <c r="C1156" s="279"/>
      <c r="D1156" s="188"/>
      <c r="E1156" s="44"/>
      <c r="F1156" s="59"/>
      <c r="G1156" s="60"/>
    </row>
    <row r="1157" spans="1:7" x14ac:dyDescent="0.2">
      <c r="A1157" s="322"/>
      <c r="B1157" s="249"/>
      <c r="C1157" s="279"/>
      <c r="D1157" s="188"/>
      <c r="E1157" s="44"/>
      <c r="F1157" s="59"/>
      <c r="G1157" s="60"/>
    </row>
    <row r="1158" spans="1:7" x14ac:dyDescent="0.2">
      <c r="A1158" s="322"/>
      <c r="B1158" s="249"/>
      <c r="C1158" s="279"/>
      <c r="D1158" s="188"/>
      <c r="E1158" s="44"/>
      <c r="F1158" s="59"/>
      <c r="G1158" s="60"/>
    </row>
    <row r="1159" spans="1:7" x14ac:dyDescent="0.2">
      <c r="A1159" s="322"/>
      <c r="B1159" s="249"/>
      <c r="C1159" s="279"/>
      <c r="D1159" s="188"/>
      <c r="E1159" s="44"/>
      <c r="F1159" s="59"/>
      <c r="G1159" s="60"/>
    </row>
    <row r="1160" spans="1:7" x14ac:dyDescent="0.2">
      <c r="A1160" s="322"/>
      <c r="B1160" s="249"/>
      <c r="C1160" s="279"/>
      <c r="D1160" s="188"/>
      <c r="E1160" s="44"/>
      <c r="F1160" s="59"/>
      <c r="G1160" s="60"/>
    </row>
    <row r="1161" spans="1:7" x14ac:dyDescent="0.2">
      <c r="A1161" s="322"/>
      <c r="B1161" s="249"/>
      <c r="C1161" s="279"/>
      <c r="D1161" s="188"/>
      <c r="E1161" s="44"/>
      <c r="F1161" s="59"/>
      <c r="G1161" s="60"/>
    </row>
    <row r="1162" spans="1:7" x14ac:dyDescent="0.2">
      <c r="A1162" s="322"/>
      <c r="B1162" s="249"/>
      <c r="C1162" s="279"/>
      <c r="D1162" s="188"/>
      <c r="E1162" s="44"/>
      <c r="F1162" s="59"/>
      <c r="G1162" s="60"/>
    </row>
    <row r="1163" spans="1:7" x14ac:dyDescent="0.2">
      <c r="A1163" s="322"/>
      <c r="B1163" s="249"/>
      <c r="C1163" s="279"/>
      <c r="D1163" s="188"/>
      <c r="E1163" s="44"/>
      <c r="F1163" s="59"/>
      <c r="G1163" s="60"/>
    </row>
    <row r="1164" spans="1:7" x14ac:dyDescent="0.2">
      <c r="A1164" s="322"/>
      <c r="B1164" s="249"/>
      <c r="C1164" s="279"/>
      <c r="D1164" s="188"/>
      <c r="E1164" s="44"/>
      <c r="F1164" s="59"/>
      <c r="G1164" s="60"/>
    </row>
    <row r="1165" spans="1:7" x14ac:dyDescent="0.2">
      <c r="A1165" s="322"/>
      <c r="B1165" s="249"/>
      <c r="C1165" s="279"/>
      <c r="D1165" s="188"/>
      <c r="E1165" s="44"/>
      <c r="F1165" s="59"/>
      <c r="G1165" s="60"/>
    </row>
    <row r="1166" spans="1:7" x14ac:dyDescent="0.2">
      <c r="A1166" s="322"/>
      <c r="B1166" s="249"/>
      <c r="C1166" s="279"/>
      <c r="D1166" s="188"/>
      <c r="E1166" s="44"/>
      <c r="F1166" s="59"/>
      <c r="G1166" s="60"/>
    </row>
    <row r="1167" spans="1:7" x14ac:dyDescent="0.2">
      <c r="A1167" s="322"/>
      <c r="B1167" s="249"/>
      <c r="C1167" s="279"/>
      <c r="D1167" s="188"/>
      <c r="E1167" s="44"/>
      <c r="F1167" s="59"/>
      <c r="G1167" s="60"/>
    </row>
    <row r="1168" spans="1:7" x14ac:dyDescent="0.2">
      <c r="A1168" s="322"/>
      <c r="B1168" s="249"/>
      <c r="C1168" s="279"/>
      <c r="D1168" s="188"/>
      <c r="E1168" s="44"/>
      <c r="F1168" s="59"/>
      <c r="G1168" s="60"/>
    </row>
    <row r="1169" spans="1:7" x14ac:dyDescent="0.2">
      <c r="A1169" s="322"/>
      <c r="B1169" s="249"/>
      <c r="C1169" s="279"/>
      <c r="D1169" s="188"/>
      <c r="E1169" s="44"/>
      <c r="F1169" s="59"/>
      <c r="G1169" s="60"/>
    </row>
    <row r="1170" spans="1:7" x14ac:dyDescent="0.2">
      <c r="A1170" s="322"/>
      <c r="B1170" s="249"/>
      <c r="C1170" s="279"/>
      <c r="D1170" s="188"/>
      <c r="E1170" s="44"/>
      <c r="F1170" s="59"/>
      <c r="G1170" s="60"/>
    </row>
    <row r="1171" spans="1:7" x14ac:dyDescent="0.2">
      <c r="A1171" s="322"/>
      <c r="B1171" s="249"/>
      <c r="C1171" s="279"/>
      <c r="D1171" s="188"/>
      <c r="E1171" s="44"/>
      <c r="F1171" s="59"/>
      <c r="G1171" s="60"/>
    </row>
    <row r="1172" spans="1:7" x14ac:dyDescent="0.2">
      <c r="A1172" s="322"/>
      <c r="B1172" s="249"/>
      <c r="C1172" s="279"/>
      <c r="D1172" s="188"/>
      <c r="E1172" s="44"/>
      <c r="F1172" s="59"/>
      <c r="G1172" s="60"/>
    </row>
    <row r="1173" spans="1:7" x14ac:dyDescent="0.2">
      <c r="A1173" s="322"/>
      <c r="B1173" s="249"/>
      <c r="C1173" s="279"/>
      <c r="D1173" s="188"/>
      <c r="E1173" s="44"/>
      <c r="F1173" s="59"/>
      <c r="G1173" s="60"/>
    </row>
    <row r="1174" spans="1:7" x14ac:dyDescent="0.2">
      <c r="A1174" s="322"/>
      <c r="B1174" s="249"/>
      <c r="C1174" s="279"/>
      <c r="D1174" s="188"/>
      <c r="E1174" s="44"/>
      <c r="F1174" s="59"/>
      <c r="G1174" s="60"/>
    </row>
    <row r="1175" spans="1:7" x14ac:dyDescent="0.2">
      <c r="A1175" s="322"/>
      <c r="B1175" s="249"/>
      <c r="C1175" s="279"/>
      <c r="D1175" s="188"/>
      <c r="E1175" s="44"/>
      <c r="F1175" s="59"/>
      <c r="G1175" s="60"/>
    </row>
    <row r="1176" spans="1:7" x14ac:dyDescent="0.2">
      <c r="A1176" s="322"/>
      <c r="B1176" s="249"/>
      <c r="C1176" s="279"/>
      <c r="D1176" s="188"/>
      <c r="E1176" s="44"/>
      <c r="F1176" s="59"/>
      <c r="G1176" s="60"/>
    </row>
    <row r="1177" spans="1:7" x14ac:dyDescent="0.2">
      <c r="A1177" s="322"/>
      <c r="B1177" s="249"/>
      <c r="C1177" s="279"/>
      <c r="D1177" s="188"/>
      <c r="E1177" s="44"/>
      <c r="F1177" s="59"/>
      <c r="G1177" s="60"/>
    </row>
    <row r="1178" spans="1:7" ht="12.75" thickBot="1" x14ac:dyDescent="0.25">
      <c r="A1178" s="322"/>
      <c r="B1178" s="249"/>
      <c r="C1178" s="279"/>
      <c r="D1178" s="188"/>
      <c r="E1178" s="44"/>
      <c r="F1178" s="59"/>
      <c r="G1178" s="60"/>
    </row>
    <row r="1179" spans="1:7" x14ac:dyDescent="0.2">
      <c r="A1179" s="326"/>
      <c r="B1179" s="69" t="s">
        <v>568</v>
      </c>
      <c r="C1179" s="319"/>
      <c r="D1179" s="190"/>
      <c r="E1179" s="321"/>
      <c r="F1179" s="190"/>
      <c r="G1179" s="191"/>
    </row>
    <row r="1180" spans="1:7" ht="12.75" thickBot="1" x14ac:dyDescent="0.25">
      <c r="A1180" s="327"/>
      <c r="B1180" s="74" t="s">
        <v>336</v>
      </c>
      <c r="C1180" s="153"/>
      <c r="D1180" s="155"/>
      <c r="E1180" s="182"/>
      <c r="F1180" s="155"/>
      <c r="G1180" s="192">
        <f>SUM(G1126:G1179)</f>
        <v>0</v>
      </c>
    </row>
  </sheetData>
  <mergeCells count="20">
    <mergeCell ref="B909:F909"/>
    <mergeCell ref="B910:F910"/>
    <mergeCell ref="B759:E759"/>
    <mergeCell ref="B905:F905"/>
    <mergeCell ref="B906:F906"/>
    <mergeCell ref="B907:F907"/>
    <mergeCell ref="B908:F908"/>
    <mergeCell ref="B785:F785"/>
    <mergeCell ref="A1:G1"/>
    <mergeCell ref="B617:G617"/>
    <mergeCell ref="B756:E756"/>
    <mergeCell ref="B757:E757"/>
    <mergeCell ref="B758:E758"/>
    <mergeCell ref="B391:D391"/>
    <mergeCell ref="B392:D392"/>
    <mergeCell ref="B393:D393"/>
    <mergeCell ref="B509:E509"/>
    <mergeCell ref="B510:E510"/>
    <mergeCell ref="B511:E511"/>
    <mergeCell ref="B512:E512"/>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&amp;L&amp;8NILANDHOO SCHOOL&amp;R&amp;8     BILL OF QUANTITIES</oddHeader>
    <oddFooter>&amp;L&amp;8AUGUST 2015&amp;C&amp;8&amp;P&amp;R&amp;8ArchEng Studio Pvt. Ltd</oddFooter>
  </headerFooter>
  <rowBreaks count="1" manualBreakCount="1">
    <brk id="44"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Isra Abdulla</cp:lastModifiedBy>
  <cp:lastPrinted>2015-08-15T15:49:28Z</cp:lastPrinted>
  <dcterms:created xsi:type="dcterms:W3CDTF">2011-03-24T06:48:27Z</dcterms:created>
  <dcterms:modified xsi:type="dcterms:W3CDTF">2015-11-15T03:38:45Z</dcterms:modified>
</cp:coreProperties>
</file>