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Vilimale' Fish Market\3. BOQ\"/>
    </mc:Choice>
  </mc:AlternateContent>
  <bookViews>
    <workbookView xWindow="0" yWindow="0" windowWidth="14370" windowHeight="10845" tabRatio="818" firstSheet="2" activeTab="6"/>
  </bookViews>
  <sheets>
    <sheet name="GRAND SUMMARY" sheetId="45" r:id="rId1"/>
    <sheet name="GENERAL SUMMARY " sheetId="38" r:id="rId2"/>
    <sheet name="BILL 1 PRELIMINARIES" sheetId="35" r:id="rId3"/>
    <sheet name="BILL 2 WORKS BELOW GROUND" sheetId="36" r:id="rId4"/>
    <sheet name="BILL 3 CONCRETE WORKS" sheetId="37" r:id="rId5"/>
    <sheet name="BILL4 METAL AND CARPENTRY WORKS" sheetId="14" r:id="rId6"/>
    <sheet name="BILL 5 MASONRY AND PLASTERING" sheetId="4" r:id="rId7"/>
    <sheet name="Bill 6 DOORS AND WINDOWS" sheetId="7" r:id="rId8"/>
    <sheet name="Bill 7 PAINTING WORKS" sheetId="42" r:id="rId9"/>
    <sheet name="Bill 08 FLOOR FINISHES" sheetId="43" r:id="rId10"/>
    <sheet name="BILL 09 HYDRAULICS AND DRAINAGE" sheetId="9" r:id="rId11"/>
    <sheet name="BILL 10 ELECTRICAL INSTALLATION" sheetId="10" r:id="rId12"/>
    <sheet name="BILL 11 MECHANICAL SYSTEMS" sheetId="41" r:id="rId13"/>
    <sheet name="BILL 12 Additions" sheetId="46" r:id="rId14"/>
    <sheet name="BILL 13 Omissions" sheetId="48" r:id="rId15"/>
  </sheets>
  <definedNames>
    <definedName name="ddd">#REF!</definedName>
    <definedName name="FLOORFINISHES" localSheetId="13">#REF!</definedName>
    <definedName name="FLOORFINISHES" localSheetId="14">#REF!</definedName>
    <definedName name="FLOORFINISHES" localSheetId="0">#REF!</definedName>
    <definedName name="FLOORFINISHES">#REF!</definedName>
    <definedName name="markup" localSheetId="9">#REF!</definedName>
    <definedName name="markup" localSheetId="12">#REF!</definedName>
    <definedName name="markup" localSheetId="13">#REF!</definedName>
    <definedName name="markup" localSheetId="14">#REF!</definedName>
    <definedName name="markup" localSheetId="8">#REF!</definedName>
    <definedName name="markup" localSheetId="0">#REF!</definedName>
    <definedName name="markup">#REF!</definedName>
    <definedName name="_xlnm.Print_Area" localSheetId="9">'Bill 08 FLOOR FINISHES'!$A$1:$F$25</definedName>
    <definedName name="_xlnm.Print_Area" localSheetId="10">'BILL 09 HYDRAULICS AND DRAINAGE'!$A$1:$F$54</definedName>
    <definedName name="_xlnm.Print_Area" localSheetId="2">'BILL 1 PRELIMINARIES'!$A$1:$F$29</definedName>
    <definedName name="_xlnm.Print_Area" localSheetId="11">'BILL 10 ELECTRICAL INSTALLATION'!$A$1:$F$71</definedName>
    <definedName name="_xlnm.Print_Area" localSheetId="12">'BILL 11 MECHANICAL SYSTEMS'!$A$1:$F$12</definedName>
    <definedName name="_xlnm.Print_Area" localSheetId="13">'BILL 12 Additions'!$A$1:$F$58</definedName>
    <definedName name="_xlnm.Print_Area" localSheetId="14">'BILL 13 Omissions'!$A$1:$F$58</definedName>
    <definedName name="_xlnm.Print_Area" localSheetId="3">'BILL 2 WORKS BELOW GROUND'!$A$1:$F$20</definedName>
    <definedName name="_xlnm.Print_Area" localSheetId="4">'BILL 3 CONCRETE WORKS'!$A$1:$F$232</definedName>
    <definedName name="_xlnm.Print_Area" localSheetId="6">'BILL 5 MASONRY AND PLASTERING'!$A$1:$F$38</definedName>
    <definedName name="_xlnm.Print_Area" localSheetId="7">'Bill 6 DOORS AND WINDOWS'!$A$1:$F$21</definedName>
    <definedName name="_xlnm.Print_Area" localSheetId="8">'Bill 7 PAINTING WORKS'!$A$1:$F$18</definedName>
    <definedName name="_xlnm.Print_Area" localSheetId="5">'BILL4 METAL AND CARPENTRY WORKS'!$A$1:$F$24</definedName>
    <definedName name="_xlnm.Print_Titles" localSheetId="10">'BILL 09 HYDRAULICS AND DRAINAGE'!$1:$2</definedName>
    <definedName name="_xlnm.Print_Titles" localSheetId="11">'BILL 10 ELECTRICAL INSTALLATION'!$1:$2</definedName>
    <definedName name="_xlnm.Print_Titles" localSheetId="12">'BILL 11 MECHANICAL SYSTEMS'!$1:$2</definedName>
    <definedName name="_xlnm.Print_Titles" localSheetId="3">'BILL 2 WORKS BELOW GROUND'!$1:$2</definedName>
    <definedName name="_xlnm.Print_Titles" localSheetId="4">'BILL 3 CONCRETE WORKS'!$1:$2</definedName>
    <definedName name="_xlnm.Print_Titles" localSheetId="5">'BILL4 METAL AND CARPENTRY WORKS'!$1:$2</definedName>
    <definedName name="_xlnm.Print_Titles" localSheetId="1">'GENERAL SUMMARY '!$A:$B</definedName>
    <definedName name="_xlnm.Print_Titles" localSheetId="0">'GRAND SUMMARY'!$A:$B</definedName>
    <definedName name="wastage" localSheetId="9">#REF!</definedName>
    <definedName name="wastage" localSheetId="12">#REF!</definedName>
    <definedName name="wastage" localSheetId="13">#REF!</definedName>
    <definedName name="wastage" localSheetId="14">#REF!</definedName>
    <definedName name="wastage" localSheetId="8">#REF!</definedName>
    <definedName name="wastage" localSheetId="0">#REF!</definedName>
    <definedName name="wastage">#REF!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5" i="4" l="1"/>
  <c r="F32" i="4" s="1"/>
  <c r="G16" i="38" s="1"/>
  <c r="F36" i="4"/>
  <c r="P36" i="4"/>
  <c r="J36" i="4"/>
  <c r="K36" i="4" s="1"/>
  <c r="K35" i="4"/>
  <c r="F34" i="4"/>
  <c r="F20" i="14" l="1"/>
  <c r="F21" i="14"/>
  <c r="F22" i="14"/>
  <c r="F18" i="14" s="1"/>
  <c r="F15" i="38" s="1"/>
  <c r="F15" i="14"/>
  <c r="F16" i="14"/>
  <c r="F12" i="14" s="1"/>
  <c r="F14" i="38" s="1"/>
  <c r="P25" i="4"/>
  <c r="P26" i="4" s="1"/>
  <c r="J25" i="4"/>
  <c r="L176" i="37"/>
  <c r="K177" i="37"/>
  <c r="K176" i="37"/>
  <c r="J177" i="37"/>
  <c r="J176" i="37"/>
  <c r="C177" i="37"/>
  <c r="F177" i="37" s="1"/>
  <c r="F178" i="37"/>
  <c r="F176" i="37"/>
  <c r="K16" i="38"/>
  <c r="K15" i="38"/>
  <c r="J15" i="38"/>
  <c r="J14" i="38"/>
  <c r="H15" i="38"/>
  <c r="H14" i="38"/>
  <c r="F16" i="43"/>
  <c r="F8" i="43"/>
  <c r="F13" i="7"/>
  <c r="F13" i="4"/>
  <c r="F14" i="4"/>
  <c r="F25" i="4"/>
  <c r="D12" i="38"/>
  <c r="C12" i="38"/>
  <c r="F60" i="10"/>
  <c r="F61" i="10"/>
  <c r="F62" i="10"/>
  <c r="F36" i="10" s="1"/>
  <c r="L15" i="38" s="1"/>
  <c r="F63" i="10"/>
  <c r="F64" i="10"/>
  <c r="F65" i="10"/>
  <c r="F66" i="10"/>
  <c r="F68" i="10"/>
  <c r="F70" i="10"/>
  <c r="F59" i="10"/>
  <c r="F58" i="10"/>
  <c r="F57" i="10"/>
  <c r="F56" i="10"/>
  <c r="F55" i="10"/>
  <c r="F54" i="10"/>
  <c r="F53" i="10"/>
  <c r="F52" i="10"/>
  <c r="F51" i="10"/>
  <c r="F50" i="10"/>
  <c r="F49" i="10"/>
  <c r="F48" i="10"/>
  <c r="F47" i="10"/>
  <c r="F46" i="10"/>
  <c r="F45" i="10"/>
  <c r="F44" i="10"/>
  <c r="F43" i="10"/>
  <c r="F42" i="10"/>
  <c r="F41" i="10"/>
  <c r="F40" i="10"/>
  <c r="F39" i="10"/>
  <c r="F38" i="10"/>
  <c r="F53" i="9"/>
  <c r="F52" i="9"/>
  <c r="F51" i="9"/>
  <c r="F50" i="9"/>
  <c r="F47" i="9"/>
  <c r="F46" i="9"/>
  <c r="F45" i="9"/>
  <c r="F44" i="9"/>
  <c r="F43" i="9"/>
  <c r="F42" i="9"/>
  <c r="F41" i="9"/>
  <c r="F40" i="9"/>
  <c r="F39" i="9"/>
  <c r="F38" i="9"/>
  <c r="F37" i="9"/>
  <c r="F36" i="9"/>
  <c r="F35" i="9"/>
  <c r="F34" i="9"/>
  <c r="F33" i="9"/>
  <c r="F24" i="9"/>
  <c r="F25" i="9"/>
  <c r="F26" i="9"/>
  <c r="F27" i="9"/>
  <c r="F28" i="9"/>
  <c r="F29" i="9"/>
  <c r="C19" i="43"/>
  <c r="F19" i="43" s="1"/>
  <c r="F23" i="43"/>
  <c r="F22" i="43"/>
  <c r="F21" i="43"/>
  <c r="F20" i="43"/>
  <c r="F18" i="43"/>
  <c r="F17" i="43"/>
  <c r="C11" i="43"/>
  <c r="F12" i="42"/>
  <c r="F9" i="42"/>
  <c r="F14" i="7"/>
  <c r="F15" i="7"/>
  <c r="F16" i="7"/>
  <c r="F17" i="7"/>
  <c r="F18" i="7"/>
  <c r="F19" i="7"/>
  <c r="K25" i="4"/>
  <c r="C29" i="4"/>
  <c r="F29" i="4" s="1"/>
  <c r="C30" i="4"/>
  <c r="F30" i="4" s="1"/>
  <c r="J30" i="4"/>
  <c r="K30" i="4" s="1"/>
  <c r="C28" i="4"/>
  <c r="F28" i="4" s="1"/>
  <c r="F27" i="4"/>
  <c r="K24" i="4"/>
  <c r="F24" i="4"/>
  <c r="F23" i="4"/>
  <c r="C19" i="4"/>
  <c r="F19" i="4" s="1"/>
  <c r="C18" i="4"/>
  <c r="F18" i="4" s="1"/>
  <c r="C17" i="4"/>
  <c r="C10" i="42" s="1"/>
  <c r="F10" i="42" s="1"/>
  <c r="J14" i="4"/>
  <c r="K14" i="4" s="1"/>
  <c r="J13" i="4"/>
  <c r="K13" i="4" s="1"/>
  <c r="K12" i="4"/>
  <c r="C19" i="14"/>
  <c r="C13" i="14"/>
  <c r="J100" i="37"/>
  <c r="L99" i="37" s="1"/>
  <c r="J99" i="37"/>
  <c r="K99" i="37" s="1"/>
  <c r="J97" i="37"/>
  <c r="F100" i="37"/>
  <c r="F101" i="37"/>
  <c r="F99" i="37"/>
  <c r="Q188" i="37"/>
  <c r="R188" i="37" s="1"/>
  <c r="S188" i="37" s="1"/>
  <c r="J189" i="37"/>
  <c r="L188" i="37" s="1"/>
  <c r="F228" i="37"/>
  <c r="F227" i="37"/>
  <c r="S226" i="37"/>
  <c r="T226" i="37" s="1"/>
  <c r="C226" i="37" s="1"/>
  <c r="F226" i="37" s="1"/>
  <c r="N226" i="37"/>
  <c r="M226" i="37"/>
  <c r="Y225" i="37"/>
  <c r="Z225" i="37" s="1"/>
  <c r="AA225" i="37" s="1"/>
  <c r="C224" i="37" s="1"/>
  <c r="F224" i="37" s="1"/>
  <c r="S225" i="37"/>
  <c r="T225" i="37" s="1"/>
  <c r="C225" i="37" s="1"/>
  <c r="F225" i="37" s="1"/>
  <c r="N225" i="37"/>
  <c r="C229" i="37" s="1"/>
  <c r="F229" i="37" s="1"/>
  <c r="M225" i="37"/>
  <c r="C222" i="37" s="1"/>
  <c r="F222" i="37" s="1"/>
  <c r="F223" i="37"/>
  <c r="F221" i="37"/>
  <c r="F220" i="37"/>
  <c r="F218" i="37"/>
  <c r="F217" i="37"/>
  <c r="F214" i="37"/>
  <c r="F212" i="37"/>
  <c r="F211" i="37"/>
  <c r="F209" i="37"/>
  <c r="F208" i="37"/>
  <c r="J207" i="37"/>
  <c r="J216" i="37" s="1"/>
  <c r="F205" i="37"/>
  <c r="F203" i="37"/>
  <c r="F202" i="37"/>
  <c r="F200" i="37"/>
  <c r="F199" i="37"/>
  <c r="S198" i="37"/>
  <c r="T198" i="37" s="1"/>
  <c r="C198" i="37" s="1"/>
  <c r="F198" i="37" s="1"/>
  <c r="N198" i="37"/>
  <c r="M198" i="37"/>
  <c r="Y197" i="37"/>
  <c r="Z197" i="37" s="1"/>
  <c r="AA197" i="37" s="1"/>
  <c r="C196" i="37" s="1"/>
  <c r="F196" i="37" s="1"/>
  <c r="S197" i="37"/>
  <c r="T197" i="37" s="1"/>
  <c r="C197" i="37" s="1"/>
  <c r="F197" i="37" s="1"/>
  <c r="N197" i="37"/>
  <c r="C201" i="37" s="1"/>
  <c r="F201" i="37" s="1"/>
  <c r="M197" i="37"/>
  <c r="C194" i="37" s="1"/>
  <c r="F194" i="37" s="1"/>
  <c r="F195" i="37"/>
  <c r="F193" i="37"/>
  <c r="F192" i="37"/>
  <c r="F190" i="37"/>
  <c r="C189" i="37"/>
  <c r="F189" i="37" s="1"/>
  <c r="J188" i="37"/>
  <c r="K188" i="37" s="1"/>
  <c r="F188" i="37"/>
  <c r="F187" i="37"/>
  <c r="F185" i="37"/>
  <c r="X184" i="37"/>
  <c r="Y184" i="37" s="1"/>
  <c r="Q184" i="37"/>
  <c r="R184" i="37" s="1"/>
  <c r="J184" i="37"/>
  <c r="L183" i="37" s="1"/>
  <c r="F184" i="37"/>
  <c r="X183" i="37"/>
  <c r="Z184" i="37" s="1"/>
  <c r="Q183" i="37"/>
  <c r="R183" i="37" s="1"/>
  <c r="J183" i="37"/>
  <c r="L184" i="37" s="1"/>
  <c r="F183" i="37"/>
  <c r="S148" i="37"/>
  <c r="T148" i="37" s="1"/>
  <c r="C148" i="37" s="1"/>
  <c r="F148" i="37" s="1"/>
  <c r="S149" i="37"/>
  <c r="T149" i="37" s="1"/>
  <c r="C149" i="37" s="1"/>
  <c r="F149" i="37" s="1"/>
  <c r="N149" i="37"/>
  <c r="M149" i="37"/>
  <c r="J130" i="37"/>
  <c r="S130" i="37" s="1"/>
  <c r="T130" i="37" s="1"/>
  <c r="C130" i="37" s="1"/>
  <c r="F130" i="37" s="1"/>
  <c r="S121" i="37"/>
  <c r="T121" i="37" s="1"/>
  <c r="C121" i="37" s="1"/>
  <c r="F121" i="37" s="1"/>
  <c r="N121" i="37"/>
  <c r="M121" i="37"/>
  <c r="C112" i="37"/>
  <c r="F112" i="37" s="1"/>
  <c r="Q111" i="37"/>
  <c r="R111" i="37" s="1"/>
  <c r="S111" i="37" s="1"/>
  <c r="J112" i="37"/>
  <c r="L111" i="37" s="1"/>
  <c r="J111" i="37"/>
  <c r="K111" i="37" s="1"/>
  <c r="X107" i="37"/>
  <c r="Z106" i="37" s="1"/>
  <c r="X106" i="37"/>
  <c r="Z107" i="37" s="1"/>
  <c r="Q107" i="37"/>
  <c r="S106" i="37" s="1"/>
  <c r="Q106" i="37"/>
  <c r="R106" i="37" s="1"/>
  <c r="J107" i="37"/>
  <c r="L106" i="37" s="1"/>
  <c r="J106" i="37"/>
  <c r="K106" i="37" s="1"/>
  <c r="F153" i="37"/>
  <c r="F151" i="37"/>
  <c r="F150" i="37"/>
  <c r="Y148" i="37"/>
  <c r="Z148" i="37" s="1"/>
  <c r="AA148" i="37" s="1"/>
  <c r="C147" i="37" s="1"/>
  <c r="F147" i="37" s="1"/>
  <c r="N148" i="37"/>
  <c r="C152" i="37" s="1"/>
  <c r="F152" i="37" s="1"/>
  <c r="M148" i="37"/>
  <c r="C145" i="37" s="1"/>
  <c r="F145" i="37" s="1"/>
  <c r="F146" i="37"/>
  <c r="F144" i="37"/>
  <c r="F143" i="37"/>
  <c r="F141" i="37"/>
  <c r="F140" i="37"/>
  <c r="F137" i="37"/>
  <c r="F135" i="37"/>
  <c r="F134" i="37"/>
  <c r="F132" i="37"/>
  <c r="F131" i="37"/>
  <c r="F128" i="37"/>
  <c r="F126" i="37"/>
  <c r="F125" i="37"/>
  <c r="F123" i="37"/>
  <c r="F122" i="37"/>
  <c r="Y120" i="37"/>
  <c r="Z120" i="37" s="1"/>
  <c r="S120" i="37"/>
  <c r="T120" i="37" s="1"/>
  <c r="C120" i="37" s="1"/>
  <c r="F120" i="37" s="1"/>
  <c r="N120" i="37"/>
  <c r="C124" i="37" s="1"/>
  <c r="M120" i="37"/>
  <c r="C117" i="37" s="1"/>
  <c r="F117" i="37" s="1"/>
  <c r="F118" i="37"/>
  <c r="F116" i="37"/>
  <c r="F115" i="37"/>
  <c r="F113" i="37"/>
  <c r="F111" i="37"/>
  <c r="F180" i="37"/>
  <c r="F173" i="37"/>
  <c r="F172" i="37"/>
  <c r="F171" i="37"/>
  <c r="D170" i="37"/>
  <c r="C170" i="37"/>
  <c r="F170" i="37" s="1"/>
  <c r="B170" i="37"/>
  <c r="B169" i="37"/>
  <c r="W168" i="37"/>
  <c r="X168" i="37" s="1"/>
  <c r="Y168" i="37" s="1"/>
  <c r="R168" i="37"/>
  <c r="S168" i="37" s="1"/>
  <c r="O168" i="37"/>
  <c r="M168" i="37"/>
  <c r="N168" i="37" s="1"/>
  <c r="W167" i="37"/>
  <c r="X167" i="37" s="1"/>
  <c r="Y167" i="37" s="1"/>
  <c r="C168" i="37" s="1"/>
  <c r="F168" i="37" s="1"/>
  <c r="R167" i="37"/>
  <c r="S167" i="37" s="1"/>
  <c r="C169" i="37" s="1"/>
  <c r="F169" i="37" s="1"/>
  <c r="O167" i="37"/>
  <c r="C174" i="37" s="1"/>
  <c r="F174" i="37" s="1"/>
  <c r="M167" i="37"/>
  <c r="N167" i="37" s="1"/>
  <c r="C166" i="37" s="1"/>
  <c r="F166" i="37" s="1"/>
  <c r="F167" i="37"/>
  <c r="F165" i="37"/>
  <c r="B165" i="37"/>
  <c r="F164" i="37"/>
  <c r="F162" i="37"/>
  <c r="F161" i="37"/>
  <c r="F160" i="37"/>
  <c r="D159" i="37"/>
  <c r="C159" i="37"/>
  <c r="F159" i="37" s="1"/>
  <c r="B159" i="37"/>
  <c r="B158" i="37"/>
  <c r="W157" i="37"/>
  <c r="X157" i="37" s="1"/>
  <c r="Y157" i="37" s="1"/>
  <c r="R157" i="37"/>
  <c r="S157" i="37" s="1"/>
  <c r="O157" i="37"/>
  <c r="M157" i="37"/>
  <c r="N157" i="37" s="1"/>
  <c r="W156" i="37"/>
  <c r="X156" i="37" s="1"/>
  <c r="Y156" i="37" s="1"/>
  <c r="C157" i="37" s="1"/>
  <c r="F157" i="37" s="1"/>
  <c r="R156" i="37"/>
  <c r="S156" i="37" s="1"/>
  <c r="C158" i="37" s="1"/>
  <c r="F158" i="37" s="1"/>
  <c r="O156" i="37"/>
  <c r="C163" i="37" s="1"/>
  <c r="F163" i="37" s="1"/>
  <c r="N156" i="37"/>
  <c r="C155" i="37" s="1"/>
  <c r="F155" i="37" s="1"/>
  <c r="F156" i="37"/>
  <c r="F154" i="37"/>
  <c r="B154" i="37"/>
  <c r="F110" i="37"/>
  <c r="F108" i="37"/>
  <c r="F106" i="37"/>
  <c r="W79" i="37"/>
  <c r="X79" i="37" s="1"/>
  <c r="F103" i="37"/>
  <c r="F96" i="37"/>
  <c r="F95" i="37"/>
  <c r="F94" i="37"/>
  <c r="D93" i="37"/>
  <c r="C93" i="37"/>
  <c r="F93" i="37" s="1"/>
  <c r="B93" i="37"/>
  <c r="B92" i="37"/>
  <c r="W91" i="37"/>
  <c r="X91" i="37" s="1"/>
  <c r="Y91" i="37" s="1"/>
  <c r="R91" i="37"/>
  <c r="S91" i="37" s="1"/>
  <c r="O91" i="37"/>
  <c r="M91" i="37"/>
  <c r="N91" i="37" s="1"/>
  <c r="W90" i="37"/>
  <c r="X90" i="37" s="1"/>
  <c r="Y90" i="37" s="1"/>
  <c r="C91" i="37" s="1"/>
  <c r="F91" i="37" s="1"/>
  <c r="R90" i="37"/>
  <c r="S90" i="37" s="1"/>
  <c r="C92" i="37" s="1"/>
  <c r="F92" i="37" s="1"/>
  <c r="O90" i="37"/>
  <c r="C97" i="37" s="1"/>
  <c r="F97" i="37" s="1"/>
  <c r="M90" i="37"/>
  <c r="N90" i="37" s="1"/>
  <c r="C89" i="37" s="1"/>
  <c r="F89" i="37" s="1"/>
  <c r="F90" i="37"/>
  <c r="F88" i="37"/>
  <c r="B88" i="37"/>
  <c r="C75" i="37"/>
  <c r="C72" i="37" s="1"/>
  <c r="X72" i="37"/>
  <c r="Y72" i="37" s="1"/>
  <c r="X71" i="37"/>
  <c r="Y71" i="37" s="1"/>
  <c r="Q71" i="37"/>
  <c r="S72" i="37" s="1"/>
  <c r="Q72" i="37"/>
  <c r="S71" i="37" s="1"/>
  <c r="J72" i="37"/>
  <c r="K72" i="37" s="1"/>
  <c r="J71" i="37"/>
  <c r="K71" i="37" s="1"/>
  <c r="F66" i="37"/>
  <c r="F65" i="37"/>
  <c r="Y64" i="37"/>
  <c r="Z64" i="37" s="1"/>
  <c r="AA64" i="37" s="1"/>
  <c r="C63" i="37" s="1"/>
  <c r="F63" i="37" s="1"/>
  <c r="S64" i="37"/>
  <c r="T64" i="37" s="1"/>
  <c r="C64" i="37" s="1"/>
  <c r="F64" i="37" s="1"/>
  <c r="N64" i="37"/>
  <c r="C67" i="37" s="1"/>
  <c r="F67" i="37" s="1"/>
  <c r="M64" i="37"/>
  <c r="C61" i="37" s="1"/>
  <c r="F61" i="37" s="1"/>
  <c r="F62" i="37"/>
  <c r="F60" i="37"/>
  <c r="T28" i="37"/>
  <c r="C28" i="37" s="1"/>
  <c r="F28" i="37" s="1"/>
  <c r="T29" i="37"/>
  <c r="C36" i="37" s="1"/>
  <c r="F36" i="37" s="1"/>
  <c r="T30" i="37"/>
  <c r="C44" i="37" s="1"/>
  <c r="F44" i="37" s="1"/>
  <c r="T27" i="37"/>
  <c r="C20" i="37" s="1"/>
  <c r="S28" i="37"/>
  <c r="U28" i="37" s="1"/>
  <c r="C31" i="37" s="1"/>
  <c r="F31" i="37" s="1"/>
  <c r="S29" i="37"/>
  <c r="C41" i="37" s="1"/>
  <c r="F41" i="37" s="1"/>
  <c r="S30" i="37"/>
  <c r="U30" i="37" s="1"/>
  <c r="C47" i="37" s="1"/>
  <c r="F47" i="37" s="1"/>
  <c r="S27" i="37"/>
  <c r="C25" i="37" s="1"/>
  <c r="Q30" i="37"/>
  <c r="R30" i="37" s="1"/>
  <c r="C46" i="37" s="1"/>
  <c r="F46" i="37" s="1"/>
  <c r="Q29" i="37"/>
  <c r="R29" i="37" s="1"/>
  <c r="C38" i="37" s="1"/>
  <c r="F38" i="37" s="1"/>
  <c r="Q28" i="37"/>
  <c r="R28" i="37" s="1"/>
  <c r="C30" i="37" s="1"/>
  <c r="F30" i="37" s="1"/>
  <c r="Q27" i="37"/>
  <c r="R27" i="37" s="1"/>
  <c r="C22" i="37" s="1"/>
  <c r="F48" i="37"/>
  <c r="F45" i="37"/>
  <c r="F43" i="37"/>
  <c r="F42" i="37"/>
  <c r="F40" i="37"/>
  <c r="F37" i="37"/>
  <c r="F35" i="37"/>
  <c r="F34" i="37"/>
  <c r="F32" i="37"/>
  <c r="F29" i="37"/>
  <c r="F27" i="37"/>
  <c r="F26" i="37"/>
  <c r="N22" i="37"/>
  <c r="O22" i="37" s="1"/>
  <c r="N21" i="37"/>
  <c r="O21" i="37" s="1"/>
  <c r="N20" i="37"/>
  <c r="O20" i="37" s="1"/>
  <c r="N19" i="37"/>
  <c r="O19" i="37" s="1"/>
  <c r="N18" i="37"/>
  <c r="O18" i="37" s="1"/>
  <c r="T17" i="37"/>
  <c r="U17" i="37" s="1"/>
  <c r="O27" i="36"/>
  <c r="N27" i="36"/>
  <c r="O26" i="36"/>
  <c r="N26" i="36"/>
  <c r="N25" i="36"/>
  <c r="O25" i="36" s="1"/>
  <c r="N24" i="36"/>
  <c r="O24" i="36" s="1"/>
  <c r="N23" i="36"/>
  <c r="O23" i="36" s="1"/>
  <c r="S17" i="36"/>
  <c r="S15" i="36"/>
  <c r="N21" i="36"/>
  <c r="N17" i="36"/>
  <c r="N18" i="36"/>
  <c r="N19" i="36"/>
  <c r="N20" i="36"/>
  <c r="N16" i="36"/>
  <c r="M20" i="36"/>
  <c r="M19" i="36"/>
  <c r="M18" i="36"/>
  <c r="M17" i="36"/>
  <c r="M16" i="36"/>
  <c r="F10" i="9" l="1"/>
  <c r="K14" i="38" s="1"/>
  <c r="C11" i="42"/>
  <c r="F11" i="42" s="1"/>
  <c r="F8" i="42" s="1"/>
  <c r="I14" i="38" s="1"/>
  <c r="C15" i="42"/>
  <c r="C16" i="42"/>
  <c r="M176" i="37"/>
  <c r="N176" i="37" s="1"/>
  <c r="O176" i="37" s="1"/>
  <c r="C179" i="37" s="1"/>
  <c r="F179" i="37" s="1"/>
  <c r="F48" i="9"/>
  <c r="F31" i="9"/>
  <c r="F21" i="4"/>
  <c r="G15" i="38" s="1"/>
  <c r="K100" i="37"/>
  <c r="M99" i="37" s="1"/>
  <c r="K184" i="37"/>
  <c r="N130" i="37"/>
  <c r="C133" i="37" s="1"/>
  <c r="F133" i="37" s="1"/>
  <c r="K189" i="37"/>
  <c r="M188" i="37" s="1"/>
  <c r="N188" i="37" s="1"/>
  <c r="O188" i="37" s="1"/>
  <c r="C191" i="37" s="1"/>
  <c r="F191" i="37" s="1"/>
  <c r="S184" i="37"/>
  <c r="N216" i="37"/>
  <c r="C219" i="37" s="1"/>
  <c r="F219" i="37" s="1"/>
  <c r="M216" i="37"/>
  <c r="C213" i="37" s="1"/>
  <c r="F213" i="37" s="1"/>
  <c r="Y216" i="37"/>
  <c r="Z216" i="37" s="1"/>
  <c r="AA216" i="37" s="1"/>
  <c r="C215" i="37" s="1"/>
  <c r="F215" i="37" s="1"/>
  <c r="S216" i="37"/>
  <c r="T216" i="37" s="1"/>
  <c r="C216" i="37" s="1"/>
  <c r="F216" i="37" s="1"/>
  <c r="Z183" i="37"/>
  <c r="N207" i="37"/>
  <c r="C210" i="37" s="1"/>
  <c r="F210" i="37" s="1"/>
  <c r="K183" i="37"/>
  <c r="Y183" i="37"/>
  <c r="M207" i="37"/>
  <c r="C204" i="37" s="1"/>
  <c r="F204" i="37" s="1"/>
  <c r="S207" i="37"/>
  <c r="T207" i="37" s="1"/>
  <c r="C207" i="37" s="1"/>
  <c r="F207" i="37" s="1"/>
  <c r="Y207" i="37"/>
  <c r="Z207" i="37" s="1"/>
  <c r="AA207" i="37" s="1"/>
  <c r="C206" i="37" s="1"/>
  <c r="F206" i="37" s="1"/>
  <c r="S183" i="37"/>
  <c r="T183" i="37" s="1"/>
  <c r="U183" i="37" s="1"/>
  <c r="V183" i="37" s="1"/>
  <c r="R72" i="37"/>
  <c r="S107" i="37"/>
  <c r="K112" i="37"/>
  <c r="M130" i="37"/>
  <c r="C127" i="37" s="1"/>
  <c r="F127" i="37" s="1"/>
  <c r="J139" i="37"/>
  <c r="Y139" i="37" s="1"/>
  <c r="Z139" i="37" s="1"/>
  <c r="AA139" i="37" s="1"/>
  <c r="C138" i="37" s="1"/>
  <c r="F138" i="37" s="1"/>
  <c r="F124" i="37"/>
  <c r="Y130" i="37"/>
  <c r="Z130" i="37" s="1"/>
  <c r="AA130" i="37" s="1"/>
  <c r="C129" i="37" s="1"/>
  <c r="F129" i="37" s="1"/>
  <c r="AA120" i="37"/>
  <c r="C119" i="37" s="1"/>
  <c r="F119" i="37" s="1"/>
  <c r="C33" i="37"/>
  <c r="F33" i="37" s="1"/>
  <c r="C49" i="37"/>
  <c r="F49" i="37" s="1"/>
  <c r="L107" i="37"/>
  <c r="U29" i="37"/>
  <c r="C39" i="37" s="1"/>
  <c r="F39" i="37" s="1"/>
  <c r="U27" i="37"/>
  <c r="C23" i="37" s="1"/>
  <c r="R107" i="37"/>
  <c r="T106" i="37" s="1"/>
  <c r="Y107" i="37"/>
  <c r="F107" i="37"/>
  <c r="Y106" i="37"/>
  <c r="Z71" i="37"/>
  <c r="Z72" i="37"/>
  <c r="K107" i="37"/>
  <c r="R71" i="37"/>
  <c r="P18" i="37"/>
  <c r="V17" i="37"/>
  <c r="O24" i="37"/>
  <c r="P20" i="37"/>
  <c r="P22" i="37"/>
  <c r="P21" i="37"/>
  <c r="P19" i="37"/>
  <c r="O28" i="36"/>
  <c r="Q28" i="36" s="1"/>
  <c r="F14" i="14"/>
  <c r="N139" i="37" l="1"/>
  <c r="C142" i="37" s="1"/>
  <c r="F142" i="37" s="1"/>
  <c r="AA183" i="37"/>
  <c r="AB183" i="37" s="1"/>
  <c r="AC183" i="37" s="1"/>
  <c r="S139" i="37"/>
  <c r="T139" i="37" s="1"/>
  <c r="C139" i="37" s="1"/>
  <c r="F139" i="37" s="1"/>
  <c r="M139" i="37"/>
  <c r="C136" i="37" s="1"/>
  <c r="F136" i="37" s="1"/>
  <c r="N99" i="37"/>
  <c r="O99" i="37" s="1"/>
  <c r="M183" i="37"/>
  <c r="N183" i="37" s="1"/>
  <c r="O183" i="37" s="1"/>
  <c r="C186" i="37" s="1"/>
  <c r="F186" i="37" s="1"/>
  <c r="M106" i="37"/>
  <c r="N106" i="37" s="1"/>
  <c r="O106" i="37" s="1"/>
  <c r="AA71" i="37"/>
  <c r="AB71" i="37" s="1"/>
  <c r="AC71" i="37" s="1"/>
  <c r="T71" i="37"/>
  <c r="U71" i="37" s="1"/>
  <c r="V71" i="37" s="1"/>
  <c r="M111" i="37"/>
  <c r="P24" i="37"/>
  <c r="R24" i="37" s="1"/>
  <c r="S24" i="37" s="1"/>
  <c r="AA106" i="37"/>
  <c r="U106" i="37"/>
  <c r="V106" i="37" s="1"/>
  <c r="C102" i="37" l="1"/>
  <c r="F102" i="37" s="1"/>
  <c r="N111" i="37"/>
  <c r="O111" i="37" s="1"/>
  <c r="AB106" i="37"/>
  <c r="AC106" i="37" s="1"/>
  <c r="C109" i="37" s="1"/>
  <c r="F109" i="37" s="1"/>
  <c r="C114" i="37" l="1"/>
  <c r="F114" i="37" s="1"/>
  <c r="F104" i="37" s="1"/>
  <c r="E15" i="38" s="1"/>
  <c r="J19" i="4"/>
  <c r="K19" i="4" s="1"/>
  <c r="C18" i="36"/>
  <c r="F9" i="41" l="1"/>
  <c r="F10" i="41"/>
  <c r="F12" i="9"/>
  <c r="F13" i="9"/>
  <c r="F14" i="9"/>
  <c r="F15" i="9"/>
  <c r="F16" i="9"/>
  <c r="F17" i="9"/>
  <c r="F18" i="9"/>
  <c r="F19" i="9"/>
  <c r="F20" i="9"/>
  <c r="F21" i="9"/>
  <c r="F22" i="9"/>
  <c r="F23" i="9"/>
  <c r="F30" i="9"/>
  <c r="F15" i="42"/>
  <c r="N55" i="37"/>
  <c r="C58" i="37" s="1"/>
  <c r="F58" i="37" s="1"/>
  <c r="S55" i="37"/>
  <c r="T55" i="37" s="1"/>
  <c r="C55" i="37" s="1"/>
  <c r="F55" i="37" s="1"/>
  <c r="M55" i="37"/>
  <c r="C52" i="37" s="1"/>
  <c r="F52" i="37" s="1"/>
  <c r="Y55" i="37"/>
  <c r="Z55" i="37" s="1"/>
  <c r="AA55" i="37" s="1"/>
  <c r="C54" i="37" s="1"/>
  <c r="F54" i="37" s="1"/>
  <c r="M182" i="37"/>
  <c r="X182" i="37"/>
  <c r="Y182" i="37" s="1"/>
  <c r="Z182" i="37" s="1"/>
  <c r="R182" i="37"/>
  <c r="S182" i="37" s="1"/>
  <c r="L182" i="37"/>
  <c r="F20" i="35"/>
  <c r="F2" i="35" s="1"/>
  <c r="C18" i="38" s="1"/>
  <c r="D10" i="45" s="1"/>
  <c r="F21" i="35"/>
  <c r="F22" i="35"/>
  <c r="F23" i="35"/>
  <c r="F24" i="35"/>
  <c r="F25" i="35"/>
  <c r="F26" i="35"/>
  <c r="F27" i="35"/>
  <c r="F23" i="10"/>
  <c r="F24" i="10"/>
  <c r="F25" i="10"/>
  <c r="F26" i="10"/>
  <c r="F27" i="10"/>
  <c r="F28" i="10"/>
  <c r="F29" i="10"/>
  <c r="F30" i="10"/>
  <c r="F31" i="10"/>
  <c r="F11" i="7"/>
  <c r="F182" i="37"/>
  <c r="L71" i="37"/>
  <c r="F59" i="37"/>
  <c r="L72" i="37"/>
  <c r="F28" i="35"/>
  <c r="F7" i="36"/>
  <c r="F8" i="36"/>
  <c r="F9" i="36"/>
  <c r="F10" i="36"/>
  <c r="F11" i="36"/>
  <c r="F12" i="36"/>
  <c r="F13" i="36"/>
  <c r="F14" i="36"/>
  <c r="F15" i="36"/>
  <c r="F16" i="36"/>
  <c r="F17" i="36"/>
  <c r="F18" i="36"/>
  <c r="F19" i="36"/>
  <c r="F6" i="36"/>
  <c r="F14" i="10"/>
  <c r="F15" i="10"/>
  <c r="F16" i="10"/>
  <c r="F17" i="10"/>
  <c r="F18" i="10"/>
  <c r="F19" i="10"/>
  <c r="F20" i="10"/>
  <c r="F21" i="10"/>
  <c r="F22" i="10"/>
  <c r="F32" i="10"/>
  <c r="F33" i="10"/>
  <c r="F34" i="10"/>
  <c r="F13" i="10"/>
  <c r="F11" i="43"/>
  <c r="F12" i="43"/>
  <c r="F13" i="43"/>
  <c r="F14" i="43"/>
  <c r="F10" i="43"/>
  <c r="F17" i="42"/>
  <c r="F10" i="7"/>
  <c r="F20" i="7"/>
  <c r="F9" i="7"/>
  <c r="F16" i="4"/>
  <c r="F12" i="4"/>
  <c r="F12" i="37"/>
  <c r="E12" i="38" s="1"/>
  <c r="F17" i="37"/>
  <c r="F18" i="37"/>
  <c r="F19" i="37"/>
  <c r="F20" i="37"/>
  <c r="F21" i="37"/>
  <c r="F22" i="37"/>
  <c r="F23" i="37"/>
  <c r="F24" i="37"/>
  <c r="F25" i="37"/>
  <c r="F50" i="37"/>
  <c r="F51" i="37"/>
  <c r="F53" i="37"/>
  <c r="F56" i="37"/>
  <c r="F57" i="37"/>
  <c r="F16" i="37"/>
  <c r="F230" i="37"/>
  <c r="F72" i="37"/>
  <c r="F73" i="37"/>
  <c r="F75" i="37"/>
  <c r="F76" i="37"/>
  <c r="F77" i="37"/>
  <c r="F79" i="37"/>
  <c r="F83" i="37"/>
  <c r="F84" i="37"/>
  <c r="F85" i="37"/>
  <c r="F87" i="37"/>
  <c r="F71" i="37"/>
  <c r="F16" i="42"/>
  <c r="F19" i="14"/>
  <c r="F13" i="14"/>
  <c r="D82" i="37"/>
  <c r="B82" i="37"/>
  <c r="B81" i="37"/>
  <c r="W80" i="37"/>
  <c r="X80" i="37" s="1"/>
  <c r="Y80" i="37" s="1"/>
  <c r="R80" i="37"/>
  <c r="S80" i="37" s="1"/>
  <c r="C82" i="37"/>
  <c r="F82" i="37" s="1"/>
  <c r="O80" i="37"/>
  <c r="M80" i="37"/>
  <c r="N80" i="37" s="1"/>
  <c r="Y79" i="37"/>
  <c r="C80" i="37" s="1"/>
  <c r="F80" i="37" s="1"/>
  <c r="R79" i="37"/>
  <c r="S79" i="37" s="1"/>
  <c r="C81" i="37" s="1"/>
  <c r="F81" i="37" s="1"/>
  <c r="O79" i="37"/>
  <c r="C86" i="37" s="1"/>
  <c r="F86" i="37" s="1"/>
  <c r="N79" i="37"/>
  <c r="C78" i="37" s="1"/>
  <c r="F78" i="37" s="1"/>
  <c r="B77" i="37"/>
  <c r="F5" i="48"/>
  <c r="F6" i="48"/>
  <c r="F7" i="48"/>
  <c r="F8" i="48"/>
  <c r="F9" i="48"/>
  <c r="F10" i="48"/>
  <c r="F11" i="48"/>
  <c r="F12" i="48"/>
  <c r="F13" i="48"/>
  <c r="F14" i="48"/>
  <c r="F15" i="48"/>
  <c r="F2" i="48" s="1"/>
  <c r="D22" i="45" s="1"/>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42" i="48"/>
  <c r="F43" i="48"/>
  <c r="F44" i="48"/>
  <c r="F45" i="48"/>
  <c r="F46" i="48"/>
  <c r="F47" i="48"/>
  <c r="F48" i="48"/>
  <c r="F49" i="48"/>
  <c r="F50" i="48"/>
  <c r="F51" i="48"/>
  <c r="F52" i="48"/>
  <c r="F53" i="48"/>
  <c r="F54" i="48"/>
  <c r="F55" i="48"/>
  <c r="F56" i="48"/>
  <c r="F5" i="46"/>
  <c r="F6" i="46"/>
  <c r="F7" i="46"/>
  <c r="F8" i="46"/>
  <c r="F9" i="46"/>
  <c r="F10" i="46"/>
  <c r="F11" i="46"/>
  <c r="F12" i="46"/>
  <c r="F13" i="46"/>
  <c r="F14" i="46"/>
  <c r="F15" i="46"/>
  <c r="F16" i="46"/>
  <c r="F17" i="46"/>
  <c r="F18" i="46"/>
  <c r="F19" i="46"/>
  <c r="F20" i="46"/>
  <c r="F21" i="46"/>
  <c r="F22" i="46"/>
  <c r="F23" i="46"/>
  <c r="F24" i="46"/>
  <c r="F25" i="46"/>
  <c r="F26" i="46"/>
  <c r="F27" i="46"/>
  <c r="F28" i="46"/>
  <c r="F29" i="46"/>
  <c r="F30" i="46"/>
  <c r="F31" i="46"/>
  <c r="F32" i="46"/>
  <c r="F33" i="46"/>
  <c r="F34" i="46"/>
  <c r="F35" i="46"/>
  <c r="F36" i="46"/>
  <c r="F37" i="46"/>
  <c r="F38" i="46"/>
  <c r="F39" i="46"/>
  <c r="F40" i="46"/>
  <c r="F41" i="46"/>
  <c r="F42" i="46"/>
  <c r="F43" i="46"/>
  <c r="F44" i="46"/>
  <c r="F45" i="46"/>
  <c r="F46" i="46"/>
  <c r="F47" i="46"/>
  <c r="F48" i="46"/>
  <c r="F49" i="46"/>
  <c r="F50" i="46"/>
  <c r="F51" i="46"/>
  <c r="F52" i="46"/>
  <c r="F53" i="46"/>
  <c r="F54" i="46"/>
  <c r="F55" i="46"/>
  <c r="F56" i="46"/>
  <c r="F4" i="48"/>
  <c r="F4" i="46"/>
  <c r="F2" i="46" s="1"/>
  <c r="D21" i="45" s="1"/>
  <c r="F11" i="41"/>
  <c r="F35" i="10"/>
  <c r="F15" i="43"/>
  <c r="F24" i="43"/>
  <c r="F9" i="43"/>
  <c r="F14" i="42"/>
  <c r="F11" i="4"/>
  <c r="A9" i="38"/>
  <c r="A8" i="38"/>
  <c r="A7" i="38"/>
  <c r="F13" i="42" l="1"/>
  <c r="I15" i="38" s="1"/>
  <c r="I18" i="38" s="1"/>
  <c r="D16" i="45" s="1"/>
  <c r="F181" i="37"/>
  <c r="E16" i="38" s="1"/>
  <c r="F14" i="37"/>
  <c r="E13" i="38" s="1"/>
  <c r="F8" i="7"/>
  <c r="M71" i="37"/>
  <c r="N71" i="37" s="1"/>
  <c r="O71" i="37" s="1"/>
  <c r="C74" i="37" s="1"/>
  <c r="F74" i="37" s="1"/>
  <c r="F69" i="37" s="1"/>
  <c r="E14" i="38" s="1"/>
  <c r="F7" i="41"/>
  <c r="H18" i="38"/>
  <c r="D15" i="45" s="1"/>
  <c r="J18" i="38"/>
  <c r="D17" i="45" s="1"/>
  <c r="F11" i="10"/>
  <c r="K18" i="38"/>
  <c r="D18" i="45" s="1"/>
  <c r="F17" i="4"/>
  <c r="F18" i="38"/>
  <c r="D13" i="45" s="1"/>
  <c r="F5" i="36"/>
  <c r="D18" i="38" s="1"/>
  <c r="D11" i="45" s="1"/>
  <c r="M15" i="38" l="1"/>
  <c r="M18" i="38" s="1"/>
  <c r="D20" i="45" s="1"/>
  <c r="L14" i="38"/>
  <c r="L18" i="38" s="1"/>
  <c r="D19" i="45" s="1"/>
  <c r="F9" i="4"/>
  <c r="G14" i="38" s="1"/>
  <c r="G18" i="38" s="1"/>
  <c r="D14" i="45" s="1"/>
  <c r="E18" i="38"/>
  <c r="D12" i="45" s="1"/>
  <c r="D27" i="45" l="1"/>
  <c r="D28" i="45" s="1"/>
  <c r="D29" i="45" s="1"/>
</calcChain>
</file>

<file path=xl/sharedStrings.xml><?xml version="1.0" encoding="utf-8"?>
<sst xmlns="http://schemas.openxmlformats.org/spreadsheetml/2006/main" count="1131" uniqueCount="306">
  <si>
    <t>Reinforcement</t>
  </si>
  <si>
    <t>Formwork</t>
  </si>
  <si>
    <t xml:space="preserve">Steel deformed bars, 12mm dia </t>
  </si>
  <si>
    <t>no</t>
  </si>
  <si>
    <t>PRELIMINARIES</t>
  </si>
  <si>
    <t>Site Management Costs</t>
  </si>
  <si>
    <t>Sign Board</t>
  </si>
  <si>
    <t xml:space="preserve">Clean Up </t>
  </si>
  <si>
    <t>Dewatering</t>
  </si>
  <si>
    <t>nos</t>
  </si>
  <si>
    <t>NO</t>
  </si>
  <si>
    <t>DESCRIPTION</t>
  </si>
  <si>
    <t>QTY</t>
  </si>
  <si>
    <t>UNIT</t>
  </si>
  <si>
    <t>AMOUNT</t>
  </si>
  <si>
    <t xml:space="preserve">MASONRY AND PLASTERING </t>
  </si>
  <si>
    <t>General</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</si>
  <si>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</si>
  <si>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</si>
  <si>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</si>
  <si>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A</t>
  </si>
  <si>
    <t xml:space="preserve">Masonry </t>
  </si>
  <si>
    <r>
      <t>m</t>
    </r>
    <r>
      <rPr>
        <vertAlign val="superscript"/>
        <sz val="10"/>
        <rFont val="Verdana"/>
        <family val="2"/>
      </rPr>
      <t>2</t>
    </r>
  </si>
  <si>
    <t>Plastering &amp; Screeding</t>
  </si>
  <si>
    <t>item</t>
  </si>
  <si>
    <t xml:space="preserve">The contractor shall take delivery and complete installation </t>
  </si>
  <si>
    <t>e</t>
  </si>
  <si>
    <t>b</t>
  </si>
  <si>
    <t>Rates shall include for: Locks (mortise double Locks), Latches, Closers, Bolts, Puch Plates, Pull Handles, Kick Plates, Hinges and all door and window hardware.</t>
  </si>
  <si>
    <t>a</t>
  </si>
  <si>
    <t xml:space="preserve">The contractor shall take delivery and fixing </t>
  </si>
  <si>
    <t>HYDRAULICS AND DRAINAGE</t>
  </si>
  <si>
    <t>Supply and Drainage</t>
  </si>
  <si>
    <t>Plumbing fixtures and accessories</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</si>
  <si>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</si>
  <si>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Lighting and electrical acessories</t>
  </si>
  <si>
    <t>Electrical Wiring</t>
  </si>
  <si>
    <t>Each Light/ light fixture and its switch is measured as one  point; similarly each fan or each socket outlet is measured as one point;</t>
  </si>
  <si>
    <t>d</t>
  </si>
  <si>
    <t>Rates shall include for electrical conduits, fittings, equipment and similar all fixings to various building surfaces</t>
  </si>
  <si>
    <t>c</t>
  </si>
  <si>
    <t>Rates for work in trench shall include for: excavation, maintaining faces of excavations, backfilling, compaction, appropriate cable covers, warning tape and disposal of surplus spoil</t>
  </si>
  <si>
    <t>Rates shall include for: screws, nails, bolts, nuts, standard cable fixing or supporting clips, brackets, straps, rivets, plugs and all incidental accessories</t>
  </si>
  <si>
    <t>ELECTRICAL INSTALLATIONS</t>
  </si>
  <si>
    <t>Electrical wiring with copper conductor cable in conduites in wall and slabs as specified to 2.5mm² wiring to sockets and 1.5mm² wiring to light fixtures, fans and its switches</t>
  </si>
  <si>
    <t>FLOOR FINISHES</t>
  </si>
  <si>
    <t>CONCRTE WORKS</t>
  </si>
  <si>
    <t>MASONRY AND PLASTERING</t>
  </si>
  <si>
    <t>DOORS AND WINDOWS</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</si>
  <si>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</si>
  <si>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</si>
  <si>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</si>
  <si>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</si>
  <si>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</si>
  <si>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</si>
  <si>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Floor screed</t>
  </si>
  <si>
    <t>DOOR AND WINDOW SCHEDULE</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</si>
  <si>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</si>
  <si>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</si>
  <si>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Locks (mortise double Locks), Latches, Closers, Bolts, Puch Plates and all Doors and windows shall be as specified in drawings and subjected to written approval by the client</t>
  </si>
  <si>
    <t>Lighting fixture and electrical wires and other electrical euquipement such as fans and such shall comply with STELCO standard and all fixtures and fitting shall be subjected to written approval by the client</t>
  </si>
  <si>
    <t>METAL AND CARPENTRY WORKS</t>
  </si>
  <si>
    <t>contractor shall submit for approval shop draings for all ceiling works for apartments including ceilings for bedrooms, sitting rooms and toilets. The ceilings shall be as specified by the dlient and are subjected to written spproval by the client</t>
  </si>
  <si>
    <t>GROUND FLOOR</t>
  </si>
  <si>
    <t>ROOF</t>
  </si>
  <si>
    <t>COMMON WORKS</t>
  </si>
  <si>
    <t>Allow for clean-up of completed works and site upon completion.</t>
  </si>
  <si>
    <t>Allow for sign board.</t>
  </si>
  <si>
    <t>Allow for all on and off site management cost including costs of foreman and assistants, temporary electricity, water supply, hoardings and include for hire equipment, plant, props, etc.</t>
  </si>
  <si>
    <t>thk - thick</t>
  </si>
  <si>
    <t>GI - galvanized iron</t>
  </si>
  <si>
    <t>SS - Stainless steel</t>
  </si>
  <si>
    <t>dia - diameter</t>
  </si>
  <si>
    <t>mm - millimeter</t>
  </si>
  <si>
    <t>incl - including</t>
  </si>
  <si>
    <t>t - tonnes</t>
  </si>
  <si>
    <t>Lm - linear meter</t>
  </si>
  <si>
    <t>m² - square meter</t>
  </si>
  <si>
    <t>M³ - cubic meter</t>
  </si>
  <si>
    <t>No - Numbers</t>
  </si>
  <si>
    <t>m - meter</t>
  </si>
  <si>
    <t>Backfilling and compacting after concrete curing</t>
  </si>
  <si>
    <t>Backfilling</t>
  </si>
  <si>
    <t>Disposal of Excess Sand</t>
  </si>
  <si>
    <r>
      <t>m</t>
    </r>
    <r>
      <rPr>
        <vertAlign val="superscript"/>
        <sz val="10"/>
        <rFont val="Verdana"/>
        <family val="2"/>
      </rPr>
      <t>3</t>
    </r>
  </si>
  <si>
    <t>WORKS BELOW GROUND</t>
  </si>
  <si>
    <t>Allow for concrete testing</t>
  </si>
  <si>
    <t>1)</t>
  </si>
  <si>
    <t>Concrete shall be castes using non-ageed structural steel and cement and such shall be newly puchased for this project and all concrete materials shall be subjected to inspection by the client</t>
  </si>
  <si>
    <t>Mix ratio for concrete shall be 1:2:3; unless stated otherwise</t>
  </si>
  <si>
    <t>h</t>
  </si>
  <si>
    <t>Install slurry type water proofing to top surfaces of balcony slabs and external surfaces of underground concrete work.</t>
  </si>
  <si>
    <t>f</t>
  </si>
  <si>
    <t>All reinforcing bars shall be high strength bars and over lap should be 45 x diameter.</t>
  </si>
  <si>
    <t>Reinforcement rates shall include for: cleaning, fabrication, placing, the provision for all necessary temporary fixings, and supports including tie wire and chair supports, laps, distribution bars, spacer bar  and wastage.</t>
  </si>
  <si>
    <t>Formwork rates shall include for: all necessary boarding, supports, erecting, framing, temporary cambering, cutting, perforations for reinforcing bars, bolts, straps, ties, hangers, pipes and removal of formwork.</t>
  </si>
  <si>
    <t>Concrete quantity is measured to the edges of concrete foundation members. Rates shall be inclusive for any additional concrete required to place the formwork.</t>
  </si>
  <si>
    <t>Rates shall include for: placing in position; making good after removal of formwork and casting in all required items; additional concrete required to conform to structural and excavated tolerances.</t>
  </si>
  <si>
    <t>CONCRETE WORKS</t>
  </si>
  <si>
    <t>Binding Wire</t>
  </si>
  <si>
    <t>Plywood, Nuts Bolts, Screws, Mould oil, and Supports, pvc through beam for threadded bars included in price for formwork</t>
  </si>
  <si>
    <t>Water proofing</t>
  </si>
  <si>
    <t xml:space="preserve">Lean concrete </t>
  </si>
  <si>
    <t>BILL NO 01</t>
  </si>
  <si>
    <t>BILL NO 02</t>
  </si>
  <si>
    <t>BILL NO 03</t>
  </si>
  <si>
    <t>BILL NO 04</t>
  </si>
  <si>
    <t>BILL NO 05</t>
  </si>
  <si>
    <t>BILL NO 06</t>
  </si>
  <si>
    <t>BILL NO 07</t>
  </si>
  <si>
    <t>BILL NO 08</t>
  </si>
  <si>
    <t>BILL NO 10</t>
  </si>
  <si>
    <t>FOUNDATION</t>
  </si>
  <si>
    <t>TOTAL</t>
  </si>
  <si>
    <t>PAINTING WORKS</t>
  </si>
  <si>
    <t>m2</t>
  </si>
  <si>
    <t>D1</t>
  </si>
  <si>
    <t>D2</t>
  </si>
  <si>
    <t>W1</t>
  </si>
  <si>
    <t>MECHANICAL SYSTEMS</t>
  </si>
  <si>
    <t>Mechanical Systems</t>
  </si>
  <si>
    <t>BILL NO 11</t>
  </si>
  <si>
    <t xml:space="preserve"> RATE</t>
  </si>
  <si>
    <t>Concrete</t>
  </si>
  <si>
    <t xml:space="preserve">Concrete </t>
  </si>
  <si>
    <t>Item</t>
  </si>
  <si>
    <t xml:space="preserve">Steel ring bars 6mm dia </t>
  </si>
  <si>
    <t xml:space="preserve"> GROUND FLOOR</t>
  </si>
  <si>
    <t xml:space="preserve">Steel deformed bars, 10 mm dia </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</si>
  <si>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</si>
  <si>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</si>
  <si>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</si>
  <si>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Wall Tiles</t>
  </si>
  <si>
    <t>wall tiles fixed with tile adhesive</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</si>
  <si>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</si>
  <si>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</si>
  <si>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</si>
  <si>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</si>
  <si>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Ceilings and exposed slab</t>
  </si>
  <si>
    <t>RATE</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</si>
  <si>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</si>
  <si>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</si>
  <si>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 xml:space="preserve"> BILL NO</t>
  </si>
  <si>
    <t>AMOUNT (MRF)</t>
  </si>
  <si>
    <t>MASONARY AND PLASTERING</t>
  </si>
  <si>
    <t>HYDRAULICS &amp; DRAINAGE</t>
  </si>
  <si>
    <t>ELECTRCIAL INSTALATIONS</t>
  </si>
  <si>
    <t>PROJECT VALUE TOTAL</t>
  </si>
  <si>
    <t>GST 6%</t>
  </si>
  <si>
    <t>GRAND SUMMARY</t>
  </si>
  <si>
    <t>GENERAL SUMMARY</t>
  </si>
  <si>
    <t>WORKS BELOW FROUND</t>
  </si>
  <si>
    <t>Rates shall include for: levelling, grading, trimming, compacting to faces of excavation, keep sides plumb, backfilling, consolidating and disposing surplus soil</t>
  </si>
  <si>
    <t>DURATION (DAYS)</t>
  </si>
  <si>
    <r>
      <t>m</t>
    </r>
    <r>
      <rPr>
        <vertAlign val="superscript"/>
        <sz val="9"/>
        <rFont val="Verdana"/>
        <family val="2"/>
      </rPr>
      <t>3</t>
    </r>
  </si>
  <si>
    <t>Polythene sheet</t>
  </si>
  <si>
    <t>Gate Valve</t>
  </si>
  <si>
    <t>Complete Rainwater Drainage pipework, required trays, chains and ducting as given in the drawing</t>
  </si>
  <si>
    <t>Kg</t>
  </si>
  <si>
    <t>600x600 homogenous floor tiles fixed with tile adhesive</t>
  </si>
  <si>
    <t>300x300 homogenous non skid floor tiles fixed with water proof tile adhesive</t>
  </si>
  <si>
    <t>Floor Drain</t>
  </si>
  <si>
    <t>Gully Trap</t>
  </si>
  <si>
    <t>Bidet Shower</t>
  </si>
  <si>
    <t>Water Closet</t>
  </si>
  <si>
    <t>13A Power Socket</t>
  </si>
  <si>
    <t>13A Twin Socket</t>
  </si>
  <si>
    <t>15A Switched Socket at High Level</t>
  </si>
  <si>
    <t>Distribution Board</t>
  </si>
  <si>
    <t>Computer Network Outlet</t>
  </si>
  <si>
    <t>Emergency Light</t>
  </si>
  <si>
    <t>Telephone Outlet</t>
  </si>
  <si>
    <t>Recessed Ceiling Light (12W)</t>
  </si>
  <si>
    <t>Light Switch (1 Gang )</t>
  </si>
  <si>
    <t>Light Switch (2 Gang )</t>
  </si>
  <si>
    <t>Light Switch (3 Gang )</t>
  </si>
  <si>
    <t>Ceilng works</t>
  </si>
  <si>
    <t>Allow for site protection, site supervisors, hire of machinery and equipment</t>
  </si>
  <si>
    <t>General Notes</t>
  </si>
  <si>
    <t>g</t>
  </si>
  <si>
    <t>END OF BILL NO 01:  CARRIED OVER TO GENERAL SUMMARY</t>
  </si>
  <si>
    <t>END OF BILL NO 02:  CARRIED OVER TO GENERAL SUMMARY</t>
  </si>
  <si>
    <t>END OF BILL NO 03:  CARRIED OVER TO GENERAL SUMMARY</t>
  </si>
  <si>
    <t>END OF BILL NO 04:  CARRIED OVER TO GENERAL SUMMARY</t>
  </si>
  <si>
    <t>END OF BILL NO 05:  CARRIED OVER TO GENERAL SUMMARY</t>
  </si>
  <si>
    <t>END OF BILL NO 06:  CARRIED OVER TO GENERAL SUMMARY</t>
  </si>
  <si>
    <t>END OF BILL NO 07:  CARRIED OVER TO GENERAL SUMMARY</t>
  </si>
  <si>
    <t>END OF BILL NO 08:  CARRIED OVER TO GENERAL SUMMARY</t>
  </si>
  <si>
    <t>END OF BILL NO 09:  CARRIED OVER TO GENERAL SUMMARY</t>
  </si>
  <si>
    <t>END OF BILL NO 11:  CARRIED OVER TO GENERAL SUMMARY</t>
  </si>
  <si>
    <t>END OF BILL NO 12:  CARRIED OVER TO GENERAL SUMMARY</t>
  </si>
  <si>
    <t>Running Internal fresh water pipes followed from Shut-off valves to all Tiolets, Kitchens &amp; Laundrys which reduces from 25mmØ to 20mmØ and finally 16mmØ to the outlet fixtures or mixer as given in the detail drawings</t>
  </si>
  <si>
    <t>Cabling for internet and medianet</t>
  </si>
  <si>
    <t>Main Electrical Connection</t>
  </si>
  <si>
    <t>END OF BILL NO 13:  CARRIED OVER TO GENERAL SUMMARY</t>
  </si>
  <si>
    <t>Additions</t>
  </si>
  <si>
    <t>Omissions</t>
  </si>
  <si>
    <t>ADDITIONS</t>
  </si>
  <si>
    <t>OMISSIONS</t>
  </si>
  <si>
    <t xml:space="preserve">GRAND TOTAL </t>
  </si>
  <si>
    <t>Re-bars</t>
  </si>
  <si>
    <t>H</t>
  </si>
  <si>
    <t>w</t>
  </si>
  <si>
    <t>V</t>
  </si>
  <si>
    <t>FW</t>
  </si>
  <si>
    <t>Bar size</t>
  </si>
  <si>
    <t>l</t>
  </si>
  <si>
    <t>KG</t>
  </si>
  <si>
    <t>R6</t>
  </si>
  <si>
    <t>Reps</t>
  </si>
  <si>
    <t>Distance</t>
  </si>
  <si>
    <t>Nos</t>
  </si>
  <si>
    <t>L</t>
  </si>
  <si>
    <t>C1</t>
  </si>
  <si>
    <t>kg</t>
  </si>
  <si>
    <t>Pad footing F1</t>
  </si>
  <si>
    <t xml:space="preserve">Steel deformed bars, 10mm dia @ 200 </t>
  </si>
  <si>
    <t>Complete waste water Discharge pipework, required trays and ducting as given in the drawing</t>
  </si>
  <si>
    <t>W2</t>
  </si>
  <si>
    <t>v</t>
  </si>
  <si>
    <t>re-bars</t>
  </si>
  <si>
    <t>bar size</t>
  </si>
  <si>
    <t>bar l</t>
  </si>
  <si>
    <t>fw</t>
  </si>
  <si>
    <t>Paint on Walls</t>
  </si>
  <si>
    <t>Manhole</t>
  </si>
  <si>
    <t>Wall Tap</t>
  </si>
  <si>
    <t>Weather Proof Wall Light IP55 (12W)</t>
  </si>
  <si>
    <t>Ceiling Mounted Exhaust Fan</t>
  </si>
  <si>
    <t>BILL NO 09</t>
  </si>
  <si>
    <t>110Ø Rainwater Outlet</t>
  </si>
  <si>
    <t>Bottle Trap</t>
  </si>
  <si>
    <t>Ceiling Light (12W)</t>
  </si>
  <si>
    <t>29 inch To 36 inch Ceiling Fan</t>
  </si>
  <si>
    <t>Light Switch (4 Gang )</t>
  </si>
  <si>
    <t>15A Switch</t>
  </si>
  <si>
    <t xml:space="preserve">50mm thick Lean concrete </t>
  </si>
  <si>
    <t xml:space="preserve"> Ground slab, 100mm thickness</t>
  </si>
  <si>
    <t>f1</t>
  </si>
  <si>
    <t>f2</t>
  </si>
  <si>
    <t>f3</t>
  </si>
  <si>
    <t>f4</t>
  </si>
  <si>
    <t>f5</t>
  </si>
  <si>
    <t>Excavation</t>
  </si>
  <si>
    <t>Excavation, upto 1.2m for pad footing</t>
  </si>
  <si>
    <t>Excavation, upto 0.4m for foundation beam</t>
  </si>
  <si>
    <t>Pad footing F3</t>
  </si>
  <si>
    <t>Pad footing F4</t>
  </si>
  <si>
    <t>Pad footing F5</t>
  </si>
  <si>
    <t>T10@150</t>
  </si>
  <si>
    <t>wp</t>
  </si>
  <si>
    <t>Foundation Beam TB</t>
  </si>
  <si>
    <t>Foundation Beam B2</t>
  </si>
  <si>
    <t>`</t>
  </si>
  <si>
    <t>C2</t>
  </si>
  <si>
    <t>5..05</t>
  </si>
  <si>
    <t>FIRST FLOOR</t>
  </si>
  <si>
    <t>First Floor slab, 130mm thickness</t>
  </si>
  <si>
    <t>First Floor slab, 165mm thickness</t>
  </si>
  <si>
    <t>Beam B1</t>
  </si>
  <si>
    <t>Beam B2</t>
  </si>
  <si>
    <t>Beam B3</t>
  </si>
  <si>
    <t>Beam CB1</t>
  </si>
  <si>
    <t xml:space="preserve">Steel deformed bars, 16mm dia </t>
  </si>
  <si>
    <t xml:space="preserve">Steel deformed bars, 20mm dia </t>
  </si>
  <si>
    <t>Stairs</t>
  </si>
  <si>
    <t>Steel deformed bars, 10mm dia @ 150</t>
  </si>
  <si>
    <t>Stair Railling as per given drawing</t>
  </si>
  <si>
    <t>125mm thick masonary blocks</t>
  </si>
  <si>
    <t>100 mm thick masonary blocks 1.2m high</t>
  </si>
  <si>
    <t xml:space="preserve">100 mm thick masonary blocks </t>
  </si>
  <si>
    <t>Plastering of wall surfaces 20mm thick</t>
  </si>
  <si>
    <t>Plastering of wall surfaces 12mm thick</t>
  </si>
  <si>
    <t>Ducts as per given drawing</t>
  </si>
  <si>
    <t>D3</t>
  </si>
  <si>
    <t>D4</t>
  </si>
  <si>
    <t>Floor Gully</t>
  </si>
  <si>
    <t>110Ø Rainwater Outlet Perforated Cowl</t>
  </si>
  <si>
    <t>Rodding Eye</t>
  </si>
  <si>
    <t>Grease Trap 900x1200</t>
  </si>
  <si>
    <t>Sink Tap</t>
  </si>
  <si>
    <t>Bottle Trap For Sink</t>
  </si>
  <si>
    <t>Wash Basin with Faucet</t>
  </si>
  <si>
    <t>Ceiling Recessed Spot Light (3W)</t>
  </si>
  <si>
    <t>Ceiling Fan Switch With Controller</t>
  </si>
  <si>
    <t>Electrical Meter</t>
  </si>
  <si>
    <t>Ceiling Down Light (18W) - Weather Proof</t>
  </si>
  <si>
    <t>Pendant Light (12W)</t>
  </si>
  <si>
    <t>Wall Light - Weather Proof IP 55 (Low Level 8W)</t>
  </si>
  <si>
    <t>FLOOD LIGHT LED 50W</t>
  </si>
  <si>
    <t>42 inch To 48 inch Ceiling Fan</t>
  </si>
  <si>
    <t>42 inch To 48 Inch Ceiling Fan With Decorative Pendant</t>
  </si>
  <si>
    <t>13A Power Socket in Weatherproof Polycarbonate Enclosure</t>
  </si>
  <si>
    <t>Wall mount Air conditioner20,000 BTU with out-door condensing unit</t>
  </si>
  <si>
    <t>RC Wall</t>
  </si>
  <si>
    <t>Balcony railling as per given drawing</t>
  </si>
  <si>
    <t>Cladding as per given drawing</t>
  </si>
  <si>
    <t>Local Government Authority (LGA)</t>
  </si>
  <si>
    <t>END OF BILL NO 10:  CARRIED OVER TO GENERAL SUMMARY</t>
  </si>
  <si>
    <t>BOQ FOR COMPLETE WORKS OF VILIMALE' FISH MARKET</t>
  </si>
  <si>
    <t>MWSC Meter</t>
  </si>
  <si>
    <r>
      <t>5</t>
    </r>
    <r>
      <rPr>
        <vertAlign val="superscript"/>
        <sz val="11"/>
        <color theme="1"/>
        <rFont val="Calibri"/>
        <family val="2"/>
        <scheme val="minor"/>
      </rPr>
      <t>th</t>
    </r>
    <r>
      <rPr>
        <sz val="11"/>
        <color theme="1"/>
        <rFont val="Calibri"/>
        <family val="2"/>
        <scheme val="minor"/>
      </rPr>
      <t xml:space="preserve"> January 2020</t>
    </r>
  </si>
  <si>
    <t>TV Socket Outlet</t>
  </si>
  <si>
    <t>Roof slab, 130mm thickness</t>
  </si>
  <si>
    <t>Roof slab, 165mm thickness</t>
  </si>
  <si>
    <t>ROOF FLOOR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</si>
</sst>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5" formatCode="0.0"/>
    <numFmt numFmtId="166" formatCode="\(0\)"/>
    <numFmt numFmtId="167" formatCode="_(* #,##0.00_);_(* \(#,##0.00\);_(* \-??_);_(@_)"/>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10"/>
      <name val="Verdana"/>
      <family val="2"/>
    </font>
    <font>
      <b/>
      <sz val="10"/>
      <name val="Verdana"/>
      <family val="2"/>
    </font>
    <font>
      <b/>
      <u/>
      <sz val="10"/>
      <name val="Verdana"/>
      <family val="2"/>
    </font>
    <font>
      <b/>
      <sz val="11"/>
      <color theme="0"/>
      <name val="Verdana"/>
      <family val="2"/>
    </font>
    <font>
      <b/>
      <sz val="10"/>
      <color theme="0"/>
      <name val="Verdana"/>
      <family val="2"/>
    </font>
    <font>
      <b/>
      <sz val="8"/>
      <color theme="0"/>
      <name val="Verdana"/>
      <family val="2"/>
    </font>
    <font>
      <u/>
      <sz val="10"/>
      <name val="Verdana"/>
      <family val="2"/>
    </font>
    <font>
      <vertAlign val="superscript"/>
      <sz val="10"/>
      <name val="Verdana"/>
      <family val="2"/>
    </font>
    <font>
      <sz val="8"/>
      <name val="Calibri"/>
      <family val="2"/>
      <scheme val="minor"/>
    </font>
    <font>
      <sz val="10"/>
      <name val="Arial Narrow"/>
      <family val="2"/>
    </font>
    <font>
      <b/>
      <sz val="10"/>
      <name val="Times New Roman"/>
      <family val="1"/>
    </font>
    <font>
      <sz val="11"/>
      <name val="Calibri"/>
      <family val="2"/>
      <scheme val="minor"/>
    </font>
    <font>
      <sz val="10"/>
      <color theme="1"/>
      <name val="Calibri"/>
      <family val="2"/>
      <scheme val="minor"/>
    </font>
    <font>
      <b/>
      <sz val="12"/>
      <color theme="1"/>
      <name val="Calibri"/>
      <family val="2"/>
      <scheme val="minor"/>
    </font>
    <font>
      <sz val="18"/>
      <color theme="1"/>
      <name val="Calibri"/>
      <family val="2"/>
      <scheme val="minor"/>
    </font>
    <font>
      <sz val="24"/>
      <color theme="1"/>
      <name val="Calibri"/>
      <family val="2"/>
      <scheme val="minor"/>
    </font>
    <font>
      <sz val="10"/>
      <name val="Arial"/>
      <family val="2"/>
    </font>
    <font>
      <sz val="9"/>
      <color theme="1"/>
      <name val="Calibri"/>
      <family val="2"/>
      <scheme val="minor"/>
    </font>
    <font>
      <b/>
      <sz val="20"/>
      <color theme="1"/>
      <name val="Calibri"/>
      <family val="2"/>
      <scheme val="minor"/>
    </font>
    <font>
      <u/>
      <sz val="11"/>
      <color theme="10"/>
      <name val="Calibri"/>
      <family val="2"/>
      <scheme val="minor"/>
    </font>
    <font>
      <b/>
      <sz val="11"/>
      <name val="Calibri"/>
      <family val="2"/>
      <scheme val="minor"/>
    </font>
    <font>
      <sz val="10"/>
      <name val="Calibri"/>
      <family val="2"/>
      <scheme val="minor"/>
    </font>
    <font>
      <u/>
      <sz val="11"/>
      <color theme="1"/>
      <name val="Calibri"/>
      <family val="2"/>
      <scheme val="minor"/>
    </font>
    <font>
      <b/>
      <sz val="12"/>
      <name val="Lucida Sans Unicode"/>
      <family val="2"/>
    </font>
    <font>
      <sz val="10"/>
      <name val="Lucida Sans Unicode"/>
      <family val="2"/>
    </font>
    <font>
      <sz val="12"/>
      <name val="Lucida Sans Unicode"/>
      <family val="2"/>
    </font>
    <font>
      <b/>
      <sz val="10"/>
      <name val="Lucida Sans Unicode"/>
      <family val="2"/>
    </font>
    <font>
      <vertAlign val="superscript"/>
      <sz val="9"/>
      <name val="Verdana"/>
      <family val="2"/>
    </font>
    <font>
      <sz val="10"/>
      <name val="MS Sans Serif"/>
    </font>
    <font>
      <sz val="11"/>
      <color rgb="FF0070C0"/>
      <name val="Calibri"/>
      <family val="2"/>
      <scheme val="minor"/>
    </font>
    <font>
      <sz val="11"/>
      <color theme="4" tint="-0.249977111117893"/>
      <name val="Calibri"/>
      <family val="2"/>
      <scheme val="minor"/>
    </font>
    <font>
      <sz val="10"/>
      <name val="MS Sans Serif"/>
      <family val="2"/>
    </font>
    <font>
      <vertAlign val="superscript"/>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theme="1" tint="0.34998626667073579"/>
        <bgColor auto="1"/>
      </patternFill>
    </fill>
    <fill>
      <patternFill patternType="solid">
        <fgColor theme="0" tint="-0.249977111117893"/>
        <bgColor indexed="64"/>
      </patternFill>
    </fill>
    <fill>
      <patternFill patternType="solid">
        <fgColor indexed="9"/>
        <bgColor indexed="26"/>
      </patternFill>
    </fill>
    <fill>
      <patternFill patternType="solid">
        <fgColor rgb="FFFFFF00"/>
        <bgColor indexed="64"/>
      </patternFill>
    </fill>
  </fills>
  <borders count="50">
    <border>
      <left/>
      <right/>
      <top/>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thin">
        <color indexed="64"/>
      </top>
      <bottom style="hair">
        <color indexed="64"/>
      </bottom>
      <diagonal/>
    </border>
    <border>
      <left style="dashed">
        <color indexed="64"/>
      </left>
      <right style="dashed">
        <color indexed="64"/>
      </right>
      <top style="thin">
        <color indexed="64"/>
      </top>
      <bottom style="hair">
        <color indexed="64"/>
      </bottom>
      <diagonal/>
    </border>
    <border>
      <left style="dashed">
        <color indexed="64"/>
      </left>
      <right style="thin">
        <color indexed="64"/>
      </right>
      <top style="thin">
        <color indexed="64"/>
      </top>
      <bottom style="hair">
        <color indexed="64"/>
      </bottom>
      <diagonal/>
    </border>
    <border>
      <left style="thin">
        <color indexed="64"/>
      </left>
      <right style="dashed">
        <color indexed="64"/>
      </right>
      <top style="hair">
        <color indexed="64"/>
      </top>
      <bottom style="double">
        <color indexed="64"/>
      </bottom>
      <diagonal/>
    </border>
    <border>
      <left style="dashed">
        <color indexed="64"/>
      </left>
      <right/>
      <top style="hair">
        <color indexed="64"/>
      </top>
      <bottom style="double">
        <color indexed="64"/>
      </bottom>
      <diagonal/>
    </border>
    <border>
      <left/>
      <right/>
      <top style="hair">
        <color indexed="64"/>
      </top>
      <bottom style="double">
        <color indexed="64"/>
      </bottom>
      <diagonal/>
    </border>
    <border>
      <left/>
      <right style="dashed">
        <color indexed="64"/>
      </right>
      <top style="hair">
        <color indexed="64"/>
      </top>
      <bottom style="double">
        <color indexed="64"/>
      </bottom>
      <diagonal/>
    </border>
    <border>
      <left style="dashed">
        <color indexed="64"/>
      </left>
      <right style="thin">
        <color indexed="64"/>
      </right>
      <top style="hair">
        <color indexed="64"/>
      </top>
      <bottom style="double">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bottom style="hair">
        <color indexed="64"/>
      </bottom>
      <diagonal/>
    </border>
    <border>
      <left style="thin">
        <color indexed="64"/>
      </left>
      <right style="dashed">
        <color indexed="64"/>
      </right>
      <top/>
      <bottom style="hair">
        <color indexed="64"/>
      </bottom>
      <diagonal/>
    </border>
    <border>
      <left/>
      <right style="dotted">
        <color indexed="64"/>
      </right>
      <top/>
      <bottom/>
      <diagonal/>
    </border>
    <border>
      <left/>
      <right/>
      <top/>
      <bottom style="thin">
        <color indexed="8"/>
      </bottom>
      <diagonal/>
    </border>
    <border>
      <left/>
      <right/>
      <top style="thin">
        <color indexed="8"/>
      </top>
      <bottom style="thin">
        <color indexed="64"/>
      </bottom>
      <diagonal/>
    </border>
    <border>
      <left style="thin">
        <color indexed="8"/>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8"/>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64"/>
      </top>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dashed">
        <color indexed="64"/>
      </left>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dashed">
        <color indexed="64"/>
      </right>
      <top style="thin">
        <color indexed="64"/>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dashed">
        <color indexed="64"/>
      </right>
      <top/>
      <bottom/>
      <diagonal/>
    </border>
  </borders>
  <cellStyleXfs count="9">
    <xf numFmtId="0" fontId="0" fillId="0" borderId="0"/>
    <xf numFmtId="43" fontId="1" fillId="0" borderId="0" applyFont="0" applyFill="0" applyBorder="0" applyAlignment="0" applyProtection="0"/>
    <xf numFmtId="0" fontId="19" fillId="0" borderId="0"/>
    <xf numFmtId="43" fontId="19" fillId="0" borderId="0" applyFont="0" applyFill="0" applyBorder="0" applyAlignment="0" applyProtection="0"/>
    <xf numFmtId="0" fontId="22" fillId="0" borderId="0" applyNumberFormat="0" applyFill="0" applyBorder="0" applyAlignment="0" applyProtection="0"/>
    <xf numFmtId="167" fontId="19" fillId="0" borderId="0" applyFill="0" applyBorder="0" applyAlignment="0" applyProtection="0"/>
    <xf numFmtId="0" fontId="19" fillId="0" borderId="0"/>
    <xf numFmtId="0" fontId="31" fillId="0" borderId="0"/>
    <xf numFmtId="0" fontId="34" fillId="0" borderId="0"/>
  </cellStyleXfs>
  <cellXfs count="258">
    <xf numFmtId="0" fontId="0" fillId="0" borderId="0" xfId="0"/>
    <xf numFmtId="43" fontId="0" fillId="0" borderId="0" xfId="1" applyFont="1"/>
    <xf numFmtId="0" fontId="3" fillId="2" borderId="1" xfId="0" applyFont="1" applyFill="1" applyBorder="1" applyAlignment="1">
      <alignment vertical="top" wrapText="1"/>
    </xf>
    <xf numFmtId="43" fontId="0" fillId="0" borderId="0" xfId="0" applyNumberFormat="1"/>
    <xf numFmtId="0" fontId="2" fillId="0" borderId="0" xfId="0" applyFont="1"/>
    <xf numFmtId="0" fontId="4" fillId="3" borderId="2" xfId="0" applyFont="1" applyFill="1" applyBorder="1" applyAlignment="1">
      <alignment horizontal="right" vertical="center" wrapText="1"/>
    </xf>
    <xf numFmtId="43" fontId="4" fillId="3" borderId="3" xfId="1" applyFont="1" applyFill="1" applyBorder="1" applyAlignment="1">
      <alignment horizontal="center" vertical="center" wrapText="1"/>
    </xf>
    <xf numFmtId="2"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xf>
    <xf numFmtId="43" fontId="4" fillId="3" borderId="4" xfId="1" applyFont="1" applyFill="1" applyBorder="1" applyAlignment="1">
      <alignment horizontal="center" vertical="center"/>
    </xf>
    <xf numFmtId="1" fontId="6" fillId="4" borderId="5" xfId="0" quotePrefix="1" applyNumberFormat="1" applyFont="1" applyFill="1" applyBorder="1" applyAlignment="1">
      <alignment horizontal="right" vertical="top"/>
    </xf>
    <xf numFmtId="43" fontId="7" fillId="4" borderId="9" xfId="1" applyFont="1" applyFill="1" applyBorder="1" applyAlignment="1">
      <alignment horizontal="right"/>
    </xf>
    <xf numFmtId="0" fontId="0" fillId="0" borderId="0" xfId="0" applyAlignment="1">
      <alignment horizontal="right"/>
    </xf>
    <xf numFmtId="0" fontId="4" fillId="2" borderId="10" xfId="1" applyNumberFormat="1" applyFont="1" applyFill="1" applyBorder="1" applyAlignment="1">
      <alignment horizontal="right" vertical="top" wrapText="1"/>
    </xf>
    <xf numFmtId="0" fontId="4" fillId="2" borderId="1" xfId="0" applyFont="1" applyFill="1" applyBorder="1" applyAlignment="1">
      <alignment horizontal="left" vertical="top" wrapText="1"/>
    </xf>
    <xf numFmtId="2" fontId="4" fillId="2" borderId="1" xfId="0" applyNumberFormat="1" applyFont="1" applyFill="1" applyBorder="1" applyAlignment="1"/>
    <xf numFmtId="0" fontId="4" fillId="2" borderId="1" xfId="0" applyFont="1" applyFill="1" applyBorder="1" applyAlignment="1"/>
    <xf numFmtId="43" fontId="4" fillId="2" borderId="1" xfId="1" applyFont="1" applyFill="1" applyBorder="1" applyAlignment="1">
      <alignment horizontal="right"/>
    </xf>
    <xf numFmtId="43" fontId="4" fillId="2" borderId="11" xfId="1" applyFont="1" applyFill="1" applyBorder="1" applyAlignment="1">
      <alignment horizontal="right"/>
    </xf>
    <xf numFmtId="0" fontId="3" fillId="0" borderId="12" xfId="1" applyNumberFormat="1" applyFont="1" applyFill="1" applyBorder="1" applyAlignment="1">
      <alignment horizontal="right" vertical="top" wrapText="1"/>
    </xf>
    <xf numFmtId="0" fontId="3" fillId="2" borderId="13" xfId="0" applyFont="1" applyFill="1" applyBorder="1" applyAlignment="1">
      <alignment vertical="top" wrapText="1"/>
    </xf>
    <xf numFmtId="2" fontId="3" fillId="2" borderId="13" xfId="1" applyNumberFormat="1" applyFont="1" applyFill="1" applyBorder="1" applyAlignment="1"/>
    <xf numFmtId="0" fontId="3" fillId="2" borderId="13" xfId="0" applyFont="1" applyFill="1" applyBorder="1" applyAlignment="1"/>
    <xf numFmtId="43" fontId="3" fillId="2" borderId="13" xfId="1" applyFont="1" applyFill="1" applyBorder="1" applyAlignment="1">
      <alignment horizontal="right"/>
    </xf>
    <xf numFmtId="43" fontId="3" fillId="2" borderId="14" xfId="1" applyFont="1" applyFill="1" applyBorder="1" applyAlignment="1">
      <alignment horizontal="right"/>
    </xf>
    <xf numFmtId="0" fontId="3" fillId="0" borderId="10" xfId="1" applyNumberFormat="1" applyFont="1" applyFill="1" applyBorder="1" applyAlignment="1">
      <alignment horizontal="right" vertical="top" wrapText="1"/>
    </xf>
    <xf numFmtId="2" fontId="3" fillId="2" borderId="1" xfId="1" applyNumberFormat="1" applyFont="1" applyFill="1" applyBorder="1" applyAlignment="1"/>
    <xf numFmtId="0" fontId="3" fillId="2" borderId="1" xfId="0" applyFont="1" applyFill="1" applyBorder="1" applyAlignment="1"/>
    <xf numFmtId="43" fontId="3" fillId="2" borderId="1" xfId="1" applyFont="1" applyFill="1" applyBorder="1" applyAlignment="1">
      <alignment horizontal="right"/>
    </xf>
    <xf numFmtId="43" fontId="3" fillId="2" borderId="11" xfId="1" applyFont="1" applyFill="1" applyBorder="1" applyAlignment="1">
      <alignment horizontal="right"/>
    </xf>
    <xf numFmtId="165" fontId="4" fillId="0" borderId="10" xfId="0" quotePrefix="1" applyNumberFormat="1" applyFont="1" applyFill="1" applyBorder="1" applyAlignment="1">
      <alignment horizontal="right" vertical="top"/>
    </xf>
    <xf numFmtId="2" fontId="3" fillId="2" borderId="1" xfId="0" applyNumberFormat="1" applyFont="1" applyFill="1" applyBorder="1" applyAlignment="1"/>
    <xf numFmtId="43" fontId="8" fillId="5" borderId="17" xfId="1" applyFont="1" applyFill="1" applyBorder="1" applyAlignment="1">
      <alignment horizontal="right"/>
    </xf>
    <xf numFmtId="1" fontId="3" fillId="2" borderId="1" xfId="0" applyNumberFormat="1" applyFont="1" applyFill="1" applyBorder="1" applyAlignment="1"/>
    <xf numFmtId="43" fontId="3" fillId="3" borderId="11" xfId="1" applyFont="1" applyFill="1" applyBorder="1" applyAlignment="1">
      <alignment horizontal="left"/>
    </xf>
    <xf numFmtId="0" fontId="9" fillId="0" borderId="10" xfId="0" applyFont="1" applyFill="1" applyBorder="1" applyAlignment="1">
      <alignment horizontal="right" vertical="top"/>
    </xf>
    <xf numFmtId="0" fontId="3" fillId="2" borderId="1" xfId="0" applyFont="1" applyFill="1" applyBorder="1" applyAlignment="1">
      <alignment horizontal="left" vertical="top" wrapText="1"/>
    </xf>
    <xf numFmtId="164" fontId="3" fillId="2" borderId="1" xfId="1" applyNumberFormat="1" applyFont="1" applyFill="1" applyBorder="1" applyAlignment="1"/>
    <xf numFmtId="43" fontId="3" fillId="2" borderId="1" xfId="1" applyFont="1" applyFill="1" applyBorder="1" applyAlignment="1">
      <alignment horizontal="right" vertical="top"/>
    </xf>
    <xf numFmtId="1" fontId="3" fillId="2" borderId="1" xfId="0" applyNumberFormat="1" applyFont="1" applyFill="1" applyBorder="1" applyAlignment="1">
      <alignment horizontal="right"/>
    </xf>
    <xf numFmtId="0" fontId="11" fillId="0" borderId="0" xfId="0" applyFont="1" applyFill="1" applyBorder="1"/>
    <xf numFmtId="43" fontId="11" fillId="0" borderId="0" xfId="1" applyFont="1" applyFill="1" applyBorder="1"/>
    <xf numFmtId="0" fontId="11" fillId="0" borderId="0" xfId="0" applyFont="1" applyFill="1" applyBorder="1" applyAlignment="1">
      <alignment vertical="top"/>
    </xf>
    <xf numFmtId="0" fontId="11" fillId="0" borderId="0" xfId="0" applyFont="1" applyFill="1" applyBorder="1" applyAlignment="1">
      <alignment vertical="top" wrapText="1"/>
    </xf>
    <xf numFmtId="0" fontId="12" fillId="2" borderId="0" xfId="0" applyFont="1" applyFill="1"/>
    <xf numFmtId="164" fontId="3" fillId="2" borderId="1" xfId="1" applyNumberFormat="1" applyFont="1" applyFill="1" applyBorder="1" applyAlignment="1">
      <alignment horizontal="right"/>
    </xf>
    <xf numFmtId="43" fontId="4" fillId="2" borderId="11" xfId="1" quotePrefix="1" applyFont="1" applyFill="1" applyBorder="1" applyAlignment="1">
      <alignment horizontal="right" vertical="top"/>
    </xf>
    <xf numFmtId="43" fontId="4" fillId="2" borderId="1" xfId="1" quotePrefix="1" applyFont="1" applyFill="1" applyBorder="1" applyAlignment="1">
      <alignment horizontal="right" vertical="top"/>
    </xf>
    <xf numFmtId="0" fontId="3" fillId="2" borderId="10" xfId="1" quotePrefix="1" applyNumberFormat="1" applyFont="1" applyFill="1" applyBorder="1" applyAlignment="1">
      <alignment horizontal="right" vertical="top" wrapText="1"/>
    </xf>
    <xf numFmtId="0" fontId="3" fillId="2" borderId="0" xfId="0" applyFont="1" applyFill="1" applyBorder="1"/>
    <xf numFmtId="0" fontId="13" fillId="2" borderId="0" xfId="0" applyFont="1" applyFill="1" applyBorder="1"/>
    <xf numFmtId="1" fontId="4" fillId="2" borderId="10" xfId="0" quotePrefix="1" applyNumberFormat="1" applyFont="1" applyFill="1" applyBorder="1" applyAlignment="1">
      <alignment horizontal="right" vertical="top"/>
    </xf>
    <xf numFmtId="0" fontId="4" fillId="3" borderId="0" xfId="0" applyFont="1" applyFill="1"/>
    <xf numFmtId="0" fontId="14" fillId="0" borderId="0" xfId="0" applyFont="1" applyFill="1" applyBorder="1"/>
    <xf numFmtId="43" fontId="14" fillId="0" borderId="0" xfId="1" applyFont="1" applyFill="1" applyBorder="1"/>
    <xf numFmtId="43" fontId="3" fillId="3" borderId="1" xfId="1" applyFont="1" applyFill="1" applyBorder="1" applyAlignment="1">
      <alignment horizontal="left"/>
    </xf>
    <xf numFmtId="0" fontId="4" fillId="0" borderId="10" xfId="1" applyNumberFormat="1" applyFont="1" applyFill="1" applyBorder="1" applyAlignment="1">
      <alignment horizontal="right" vertical="top" wrapText="1"/>
    </xf>
    <xf numFmtId="165" fontId="4" fillId="2" borderId="10" xfId="0" quotePrefix="1" applyNumberFormat="1" applyFont="1" applyFill="1" applyBorder="1" applyAlignment="1">
      <alignment horizontal="right" vertical="top"/>
    </xf>
    <xf numFmtId="0" fontId="3" fillId="2" borderId="1" xfId="0" applyFont="1" applyFill="1" applyBorder="1" applyAlignment="1">
      <alignment horizontal="left" wrapText="1"/>
    </xf>
    <xf numFmtId="43" fontId="4" fillId="4" borderId="9" xfId="1" applyFont="1" applyFill="1" applyBorder="1" applyAlignment="1">
      <alignment horizontal="right"/>
    </xf>
    <xf numFmtId="1" fontId="4" fillId="0" borderId="10" xfId="0" applyNumberFormat="1" applyFont="1" applyFill="1" applyBorder="1" applyAlignment="1">
      <alignment horizontal="right" vertical="top"/>
    </xf>
    <xf numFmtId="0" fontId="3" fillId="0" borderId="10" xfId="0" applyFont="1" applyFill="1" applyBorder="1" applyAlignment="1">
      <alignment vertical="top"/>
    </xf>
    <xf numFmtId="0" fontId="15" fillId="0" borderId="0" xfId="0" applyFont="1"/>
    <xf numFmtId="1" fontId="4" fillId="0" borderId="10" xfId="1" applyNumberFormat="1" applyFont="1" applyFill="1" applyBorder="1" applyAlignment="1">
      <alignment horizontal="right" vertical="top" wrapText="1"/>
    </xf>
    <xf numFmtId="0" fontId="0" fillId="0" borderId="18" xfId="0" applyBorder="1"/>
    <xf numFmtId="43" fontId="3" fillId="3" borderId="1" xfId="1" applyFont="1" applyFill="1" applyBorder="1" applyAlignment="1">
      <alignment horizontal="right"/>
    </xf>
    <xf numFmtId="0" fontId="3" fillId="0" borderId="1" xfId="1" quotePrefix="1" applyNumberFormat="1" applyFont="1" applyBorder="1" applyAlignment="1">
      <alignment horizontal="justify" wrapText="1"/>
    </xf>
    <xf numFmtId="0" fontId="3" fillId="0" borderId="1" xfId="1" quotePrefix="1" applyNumberFormat="1" applyFont="1" applyBorder="1" applyAlignment="1">
      <alignment horizontal="justify" vertical="top" wrapText="1"/>
    </xf>
    <xf numFmtId="166" fontId="3" fillId="2" borderId="10" xfId="1" quotePrefix="1" applyNumberFormat="1" applyFont="1" applyFill="1" applyBorder="1" applyAlignment="1">
      <alignment horizontal="right" vertical="center"/>
    </xf>
    <xf numFmtId="0" fontId="3" fillId="3" borderId="1" xfId="0" applyFont="1" applyFill="1" applyBorder="1" applyAlignment="1"/>
    <xf numFmtId="0" fontId="3" fillId="2" borderId="1" xfId="1" applyNumberFormat="1" applyFont="1" applyFill="1" applyBorder="1" applyAlignment="1">
      <alignment horizontal="justify" vertical="top" wrapText="1"/>
    </xf>
    <xf numFmtId="1" fontId="3" fillId="2" borderId="10" xfId="1" quotePrefix="1" applyNumberFormat="1" applyFont="1" applyFill="1" applyBorder="1" applyAlignment="1">
      <alignment horizontal="right" vertical="top" wrapText="1"/>
    </xf>
    <xf numFmtId="43" fontId="4" fillId="3" borderId="11" xfId="1" applyFont="1" applyFill="1" applyBorder="1" applyAlignment="1">
      <alignment horizontal="right"/>
    </xf>
    <xf numFmtId="43" fontId="4" fillId="3" borderId="1" xfId="1" applyFont="1" applyFill="1" applyBorder="1" applyAlignment="1">
      <alignment horizontal="right"/>
    </xf>
    <xf numFmtId="2" fontId="3" fillId="3" borderId="1" xfId="0" applyNumberFormat="1" applyFont="1" applyFill="1" applyBorder="1" applyAlignment="1"/>
    <xf numFmtId="0" fontId="4" fillId="2" borderId="10" xfId="1" quotePrefix="1" applyNumberFormat="1" applyFont="1" applyFill="1" applyBorder="1" applyAlignment="1">
      <alignment horizontal="right" vertical="center" wrapText="1"/>
    </xf>
    <xf numFmtId="0" fontId="3" fillId="3" borderId="1" xfId="0" applyFont="1" applyFill="1" applyBorder="1" applyAlignment="1">
      <alignment horizontal="right"/>
    </xf>
    <xf numFmtId="0" fontId="4" fillId="3" borderId="1" xfId="0" applyFont="1" applyFill="1" applyBorder="1" applyAlignment="1">
      <alignment horizontal="left" vertical="top" wrapText="1"/>
    </xf>
    <xf numFmtId="0" fontId="3" fillId="0" borderId="1" xfId="1" quotePrefix="1" applyNumberFormat="1" applyFont="1" applyBorder="1" applyAlignment="1">
      <alignment horizontal="left" vertical="top" wrapText="1" indent="2"/>
    </xf>
    <xf numFmtId="43" fontId="4" fillId="2" borderId="19" xfId="1" applyFont="1" applyFill="1" applyBorder="1" applyAlignment="1">
      <alignment horizontal="right"/>
    </xf>
    <xf numFmtId="43" fontId="4" fillId="2" borderId="20" xfId="1" applyFont="1" applyFill="1" applyBorder="1" applyAlignment="1">
      <alignment horizontal="right"/>
    </xf>
    <xf numFmtId="2" fontId="3" fillId="2" borderId="20" xfId="0" applyNumberFormat="1" applyFont="1" applyFill="1" applyBorder="1" applyAlignment="1">
      <alignment vertical="top"/>
    </xf>
    <xf numFmtId="2" fontId="3" fillId="2" borderId="20" xfId="0" applyNumberFormat="1" applyFont="1" applyFill="1" applyBorder="1" applyAlignment="1">
      <alignment horizontal="center" vertical="top"/>
    </xf>
    <xf numFmtId="165" fontId="4" fillId="2" borderId="21" xfId="0" quotePrefix="1" applyNumberFormat="1" applyFont="1" applyFill="1" applyBorder="1" applyAlignment="1">
      <alignment horizontal="right" vertical="top"/>
    </xf>
    <xf numFmtId="0" fontId="4" fillId="2" borderId="20" xfId="0" applyFont="1" applyFill="1" applyBorder="1" applyAlignment="1">
      <alignment horizontal="left" vertical="top" wrapText="1"/>
    </xf>
    <xf numFmtId="0" fontId="4" fillId="3" borderId="2" xfId="0" applyFont="1" applyFill="1" applyBorder="1" applyAlignment="1">
      <alignment horizontal="center" vertical="center" wrapText="1"/>
    </xf>
    <xf numFmtId="1" fontId="3" fillId="0" borderId="10" xfId="1" quotePrefix="1" applyNumberFormat="1" applyFont="1" applyFill="1" applyBorder="1" applyAlignment="1">
      <alignment horizontal="right" vertical="top" wrapText="1"/>
    </xf>
    <xf numFmtId="2" fontId="3"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3" fillId="2" borderId="10" xfId="1" applyNumberFormat="1" applyFont="1" applyFill="1" applyBorder="1" applyAlignment="1">
      <alignment horizontal="right" vertical="top" wrapText="1"/>
    </xf>
    <xf numFmtId="0" fontId="3" fillId="2" borderId="1" xfId="0" quotePrefix="1" applyFont="1" applyFill="1" applyBorder="1" applyAlignment="1">
      <alignment horizontal="left" vertical="top" wrapText="1" indent="2"/>
    </xf>
    <xf numFmtId="0" fontId="2" fillId="0" borderId="0" xfId="0" applyFont="1" applyAlignment="1">
      <alignment wrapText="1"/>
    </xf>
    <xf numFmtId="0" fontId="2" fillId="0" borderId="16" xfId="0" applyFont="1" applyBorder="1" applyAlignment="1">
      <alignment wrapText="1"/>
    </xf>
    <xf numFmtId="0" fontId="23" fillId="0" borderId="16" xfId="0" applyFont="1" applyFill="1" applyBorder="1" applyAlignment="1">
      <alignment wrapText="1"/>
    </xf>
    <xf numFmtId="0" fontId="2" fillId="0" borderId="22" xfId="0" applyFont="1" applyBorder="1"/>
    <xf numFmtId="0" fontId="0" fillId="0" borderId="0" xfId="0" applyAlignment="1">
      <alignment horizontal="left"/>
    </xf>
    <xf numFmtId="0" fontId="15" fillId="0" borderId="0" xfId="0" applyFont="1" applyAlignment="1">
      <alignment horizontal="left"/>
    </xf>
    <xf numFmtId="0" fontId="0" fillId="0" borderId="0" xfId="0" applyAlignment="1"/>
    <xf numFmtId="0" fontId="17" fillId="0" borderId="0" xfId="0" applyFont="1" applyAlignment="1"/>
    <xf numFmtId="0" fontId="18" fillId="0" borderId="0" xfId="0" applyFont="1" applyAlignment="1"/>
    <xf numFmtId="2" fontId="3" fillId="0" borderId="1" xfId="0" applyNumberFormat="1" applyFont="1" applyFill="1" applyBorder="1" applyAlignment="1"/>
    <xf numFmtId="0" fontId="3" fillId="0" borderId="10" xfId="1" quotePrefix="1" applyNumberFormat="1" applyFont="1" applyFill="1" applyBorder="1" applyAlignment="1">
      <alignment horizontal="right" vertical="top" wrapText="1"/>
    </xf>
    <xf numFmtId="0" fontId="25" fillId="0" borderId="18" xfId="0" applyFont="1" applyBorder="1"/>
    <xf numFmtId="0" fontId="3" fillId="0" borderId="10" xfId="0" applyFont="1" applyFill="1" applyBorder="1" applyAlignment="1">
      <alignment horizontal="right" vertical="top"/>
    </xf>
    <xf numFmtId="43" fontId="3" fillId="2" borderId="1" xfId="1" applyFont="1" applyFill="1" applyBorder="1" applyAlignment="1"/>
    <xf numFmtId="0" fontId="0" fillId="0" borderId="0" xfId="0" applyBorder="1"/>
    <xf numFmtId="1" fontId="3" fillId="2" borderId="1" xfId="1" applyNumberFormat="1" applyFont="1" applyFill="1" applyBorder="1" applyAlignment="1"/>
    <xf numFmtId="0" fontId="19" fillId="0" borderId="0" xfId="6"/>
    <xf numFmtId="0" fontId="27" fillId="0" borderId="0" xfId="6" applyFont="1"/>
    <xf numFmtId="167" fontId="26" fillId="0" borderId="24" xfId="5" applyFont="1" applyFill="1" applyBorder="1" applyAlignment="1" applyProtection="1">
      <alignment horizontal="right" vertical="center" wrapText="1"/>
    </xf>
    <xf numFmtId="167" fontId="26" fillId="0" borderId="16" xfId="5" applyFont="1" applyFill="1" applyBorder="1" applyAlignment="1" applyProtection="1">
      <alignment horizontal="right" vertical="center" wrapText="1"/>
    </xf>
    <xf numFmtId="167" fontId="26" fillId="9" borderId="29" xfId="5" applyFont="1" applyFill="1" applyBorder="1" applyAlignment="1" applyProtection="1">
      <alignment horizontal="center" vertical="center" wrapText="1"/>
    </xf>
    <xf numFmtId="167" fontId="26" fillId="9" borderId="31" xfId="5" applyFont="1" applyFill="1" applyBorder="1" applyAlignment="1" applyProtection="1">
      <alignment horizontal="center" vertical="center" wrapText="1"/>
    </xf>
    <xf numFmtId="167" fontId="26" fillId="0" borderId="27" xfId="5" applyFont="1" applyFill="1" applyBorder="1" applyAlignment="1" applyProtection="1">
      <alignment horizontal="right" vertical="center"/>
    </xf>
    <xf numFmtId="167" fontId="26" fillId="0" borderId="26" xfId="5" applyFont="1" applyFill="1" applyBorder="1" applyAlignment="1" applyProtection="1">
      <alignment horizontal="right" vertical="center" wrapText="1"/>
    </xf>
    <xf numFmtId="0" fontId="0" fillId="0" borderId="32" xfId="0" applyBorder="1" applyAlignment="1"/>
    <xf numFmtId="0" fontId="0" fillId="0" borderId="30" xfId="0" applyBorder="1" applyAlignment="1"/>
    <xf numFmtId="167" fontId="26" fillId="0" borderId="23" xfId="5" applyFont="1" applyFill="1" applyBorder="1" applyAlignment="1" applyProtection="1">
      <alignment horizontal="right" vertical="center" wrapText="1"/>
    </xf>
    <xf numFmtId="167" fontId="26" fillId="0" borderId="34" xfId="5" applyFont="1" applyFill="1" applyBorder="1" applyAlignment="1" applyProtection="1">
      <alignment horizontal="right" vertical="center"/>
    </xf>
    <xf numFmtId="43" fontId="0" fillId="0" borderId="27" xfId="1" applyFont="1" applyBorder="1" applyAlignment="1"/>
    <xf numFmtId="2" fontId="0" fillId="0" borderId="0" xfId="0" applyNumberFormat="1"/>
    <xf numFmtId="0" fontId="0" fillId="10" borderId="0" xfId="0" applyFill="1"/>
    <xf numFmtId="0" fontId="0" fillId="0" borderId="0" xfId="0" applyFill="1"/>
    <xf numFmtId="0" fontId="0" fillId="0" borderId="18" xfId="0" applyBorder="1" applyAlignment="1">
      <alignment wrapText="1"/>
    </xf>
    <xf numFmtId="0" fontId="3" fillId="0" borderId="1" xfId="0" applyFont="1" applyFill="1" applyBorder="1" applyAlignment="1">
      <alignment horizontal="left" vertical="top" wrapText="1"/>
    </xf>
    <xf numFmtId="165" fontId="4" fillId="2" borderId="10" xfId="1" applyNumberFormat="1" applyFont="1" applyFill="1" applyBorder="1" applyAlignment="1">
      <alignment horizontal="right" vertical="top" wrapText="1"/>
    </xf>
    <xf numFmtId="165" fontId="3" fillId="2" borderId="10" xfId="1" applyNumberFormat="1" applyFont="1" applyFill="1" applyBorder="1" applyAlignment="1">
      <alignment horizontal="right" vertical="top" wrapText="1"/>
    </xf>
    <xf numFmtId="165" fontId="4" fillId="0" borderId="10" xfId="1" quotePrefix="1" applyNumberFormat="1" applyFont="1" applyFill="1" applyBorder="1" applyAlignment="1">
      <alignment horizontal="right" vertical="top" wrapText="1"/>
    </xf>
    <xf numFmtId="43" fontId="3" fillId="2" borderId="1" xfId="1" applyNumberFormat="1" applyFont="1" applyFill="1" applyBorder="1" applyAlignment="1"/>
    <xf numFmtId="167" fontId="29" fillId="9" borderId="29" xfId="5" applyFont="1" applyFill="1" applyBorder="1" applyAlignment="1" applyProtection="1">
      <alignment horizontal="center" vertical="center" wrapText="1"/>
    </xf>
    <xf numFmtId="167" fontId="29" fillId="9" borderId="37" xfId="5" applyFont="1" applyFill="1" applyBorder="1" applyAlignment="1" applyProtection="1">
      <alignment horizontal="center" vertical="center" wrapText="1"/>
    </xf>
    <xf numFmtId="165" fontId="28" fillId="9" borderId="29" xfId="5" applyNumberFormat="1" applyFont="1" applyFill="1" applyBorder="1" applyAlignment="1" applyProtection="1">
      <alignment horizontal="center" vertical="center"/>
    </xf>
    <xf numFmtId="167" fontId="28" fillId="9" borderId="31" xfId="5" applyFont="1" applyFill="1" applyBorder="1" applyAlignment="1" applyProtection="1">
      <alignment vertical="center"/>
    </xf>
    <xf numFmtId="43" fontId="0" fillId="0" borderId="32" xfId="1" applyFont="1" applyBorder="1" applyAlignment="1"/>
    <xf numFmtId="165" fontId="26" fillId="0" borderId="33" xfId="5" applyNumberFormat="1" applyFont="1" applyFill="1" applyBorder="1" applyAlignment="1" applyProtection="1">
      <alignment horizontal="right" vertical="center"/>
    </xf>
    <xf numFmtId="165" fontId="26" fillId="0" borderId="35" xfId="5" applyNumberFormat="1" applyFont="1" applyFill="1" applyBorder="1" applyAlignment="1" applyProtection="1">
      <alignment horizontal="right" vertical="center"/>
    </xf>
    <xf numFmtId="165" fontId="26" fillId="0" borderId="28" xfId="5" applyNumberFormat="1" applyFont="1" applyFill="1" applyBorder="1" applyAlignment="1" applyProtection="1">
      <alignment horizontal="right" vertical="center"/>
    </xf>
    <xf numFmtId="0" fontId="3" fillId="0" borderId="10" xfId="1" quotePrefix="1" applyNumberFormat="1" applyFont="1" applyBorder="1" applyAlignment="1">
      <alignment horizontal="left" vertical="top" wrapText="1" indent="2"/>
    </xf>
    <xf numFmtId="0" fontId="3" fillId="0" borderId="11" xfId="1" quotePrefix="1" applyNumberFormat="1" applyFont="1" applyBorder="1" applyAlignment="1">
      <alignment horizontal="left" vertical="top" wrapText="1" indent="2"/>
    </xf>
    <xf numFmtId="0" fontId="0" fillId="0" borderId="30" xfId="0" applyBorder="1"/>
    <xf numFmtId="0" fontId="0" fillId="8" borderId="30" xfId="0" applyFill="1" applyBorder="1"/>
    <xf numFmtId="0" fontId="0" fillId="8" borderId="0" xfId="0" applyFill="1" applyBorder="1"/>
    <xf numFmtId="0" fontId="0" fillId="8" borderId="32" xfId="0" applyFill="1" applyBorder="1" applyAlignment="1">
      <alignment horizontal="right"/>
    </xf>
    <xf numFmtId="0" fontId="0" fillId="0" borderId="35" xfId="0" applyBorder="1"/>
    <xf numFmtId="43" fontId="7" fillId="6" borderId="9" xfId="1" applyFont="1" applyFill="1" applyBorder="1" applyAlignment="1">
      <alignment horizontal="left" vertical="top" wrapText="1"/>
    </xf>
    <xf numFmtId="0" fontId="0" fillId="8" borderId="35" xfId="0" applyFill="1" applyBorder="1"/>
    <xf numFmtId="0" fontId="0" fillId="8" borderId="26" xfId="0" applyFill="1" applyBorder="1"/>
    <xf numFmtId="0" fontId="0" fillId="8" borderId="34" xfId="0" applyFill="1" applyBorder="1" applyAlignment="1">
      <alignment horizontal="right"/>
    </xf>
    <xf numFmtId="43" fontId="3" fillId="3" borderId="14" xfId="1" applyFont="1" applyFill="1" applyBorder="1" applyAlignment="1">
      <alignment horizontal="left"/>
    </xf>
    <xf numFmtId="0" fontId="3" fillId="0" borderId="38" xfId="1" applyNumberFormat="1" applyFont="1" applyFill="1" applyBorder="1" applyAlignment="1">
      <alignment horizontal="right" vertical="top" wrapText="1"/>
    </xf>
    <xf numFmtId="0" fontId="3" fillId="2" borderId="39" xfId="0" applyFont="1" applyFill="1" applyBorder="1" applyAlignment="1">
      <alignment vertical="top" wrapText="1"/>
    </xf>
    <xf numFmtId="2" fontId="3" fillId="2" borderId="39" xfId="0" applyNumberFormat="1" applyFont="1" applyFill="1" applyBorder="1" applyAlignment="1"/>
    <xf numFmtId="0" fontId="3" fillId="2" borderId="39" xfId="0" applyFont="1" applyFill="1" applyBorder="1" applyAlignment="1"/>
    <xf numFmtId="43" fontId="3" fillId="2" borderId="39" xfId="1" applyFont="1" applyFill="1" applyBorder="1" applyAlignment="1">
      <alignment horizontal="right"/>
    </xf>
    <xf numFmtId="43" fontId="3" fillId="2" borderId="40" xfId="1" applyFont="1" applyFill="1" applyBorder="1" applyAlignment="1">
      <alignment horizontal="right"/>
    </xf>
    <xf numFmtId="43" fontId="7" fillId="6" borderId="43" xfId="1" applyFont="1" applyFill="1" applyBorder="1" applyAlignment="1">
      <alignment horizontal="left" vertical="top" wrapText="1"/>
    </xf>
    <xf numFmtId="1" fontId="4" fillId="0" borderId="38" xfId="0" applyNumberFormat="1" applyFont="1" applyFill="1" applyBorder="1" applyAlignment="1">
      <alignment horizontal="right" vertical="top"/>
    </xf>
    <xf numFmtId="0" fontId="3" fillId="2" borderId="39" xfId="0" applyFont="1" applyFill="1" applyBorder="1" applyAlignment="1">
      <alignment horizontal="left" vertical="top" wrapText="1"/>
    </xf>
    <xf numFmtId="1" fontId="3" fillId="2" borderId="39" xfId="0" applyNumberFormat="1" applyFont="1" applyFill="1" applyBorder="1" applyAlignment="1"/>
    <xf numFmtId="43" fontId="0" fillId="0" borderId="34" xfId="1" applyFont="1" applyBorder="1"/>
    <xf numFmtId="0" fontId="3" fillId="2" borderId="10" xfId="0" applyFont="1" applyFill="1" applyBorder="1" applyAlignment="1"/>
    <xf numFmtId="2" fontId="4" fillId="2" borderId="39" xfId="0" applyNumberFormat="1" applyFont="1" applyFill="1" applyBorder="1" applyAlignment="1"/>
    <xf numFmtId="0" fontId="4" fillId="2" borderId="39" xfId="0" applyFont="1" applyFill="1" applyBorder="1" applyAlignment="1"/>
    <xf numFmtId="43" fontId="4" fillId="2" borderId="39" xfId="1" applyFont="1" applyFill="1" applyBorder="1" applyAlignment="1">
      <alignment horizontal="right"/>
    </xf>
    <xf numFmtId="43" fontId="4" fillId="2" borderId="40" xfId="1" applyFont="1" applyFill="1" applyBorder="1" applyAlignment="1">
      <alignment horizontal="right"/>
    </xf>
    <xf numFmtId="0" fontId="3" fillId="2" borderId="13" xfId="0" applyFont="1" applyFill="1" applyBorder="1" applyAlignment="1">
      <alignment horizontal="left" vertical="top" wrapText="1"/>
    </xf>
    <xf numFmtId="2" fontId="4" fillId="2" borderId="13" xfId="0" applyNumberFormat="1" applyFont="1" applyFill="1" applyBorder="1" applyAlignment="1"/>
    <xf numFmtId="0" fontId="4" fillId="2" borderId="13" xfId="0" applyFont="1" applyFill="1" applyBorder="1" applyAlignment="1"/>
    <xf numFmtId="43" fontId="4" fillId="2" borderId="13" xfId="1" applyFont="1" applyFill="1" applyBorder="1" applyAlignment="1">
      <alignment horizontal="right"/>
    </xf>
    <xf numFmtId="43" fontId="4" fillId="2" borderId="14" xfId="1" applyFont="1" applyFill="1" applyBorder="1" applyAlignment="1">
      <alignment horizontal="right"/>
    </xf>
    <xf numFmtId="0" fontId="9" fillId="0" borderId="21" xfId="0" applyNumberFormat="1" applyFont="1" applyFill="1" applyBorder="1" applyAlignment="1">
      <alignment horizontal="right" vertical="top"/>
    </xf>
    <xf numFmtId="0" fontId="3" fillId="2" borderId="20" xfId="0" quotePrefix="1" applyFont="1" applyFill="1" applyBorder="1" applyAlignment="1">
      <alignment horizontal="left" vertical="top" wrapText="1"/>
    </xf>
    <xf numFmtId="1" fontId="3" fillId="2" borderId="20" xfId="0" applyNumberFormat="1" applyFont="1" applyFill="1" applyBorder="1" applyAlignment="1"/>
    <xf numFmtId="0" fontId="3" fillId="2" borderId="20" xfId="0" applyFont="1" applyFill="1" applyBorder="1" applyAlignment="1"/>
    <xf numFmtId="43" fontId="3" fillId="2" borderId="20" xfId="1" applyFont="1" applyFill="1" applyBorder="1" applyAlignment="1">
      <alignment horizontal="right"/>
    </xf>
    <xf numFmtId="43" fontId="3" fillId="2" borderId="19" xfId="1" applyFont="1" applyFill="1" applyBorder="1" applyAlignment="1">
      <alignment horizontal="right"/>
    </xf>
    <xf numFmtId="165" fontId="7" fillId="5" borderId="44" xfId="0" quotePrefix="1" applyNumberFormat="1" applyFont="1" applyFill="1" applyBorder="1" applyAlignment="1">
      <alignment horizontal="right" vertical="top"/>
    </xf>
    <xf numFmtId="164" fontId="3" fillId="2" borderId="20" xfId="1" applyNumberFormat="1" applyFont="1" applyFill="1" applyBorder="1" applyAlignment="1">
      <alignment horizontal="right"/>
    </xf>
    <xf numFmtId="43" fontId="3" fillId="3" borderId="20" xfId="1" applyFont="1" applyFill="1" applyBorder="1" applyAlignment="1">
      <alignment horizontal="left"/>
    </xf>
    <xf numFmtId="43" fontId="3" fillId="3" borderId="19" xfId="1" applyFont="1" applyFill="1" applyBorder="1" applyAlignment="1">
      <alignment horizontal="left"/>
    </xf>
    <xf numFmtId="43" fontId="3" fillId="8" borderId="17" xfId="1" applyFont="1" applyFill="1" applyBorder="1" applyAlignment="1">
      <alignment horizontal="left"/>
    </xf>
    <xf numFmtId="1" fontId="3" fillId="2" borderId="39" xfId="0" applyNumberFormat="1" applyFont="1" applyFill="1" applyBorder="1" applyAlignment="1">
      <alignment horizontal="right"/>
    </xf>
    <xf numFmtId="43" fontId="4" fillId="2" borderId="39" xfId="1" quotePrefix="1" applyFont="1" applyFill="1" applyBorder="1" applyAlignment="1">
      <alignment horizontal="right" vertical="top"/>
    </xf>
    <xf numFmtId="43" fontId="4" fillId="2" borderId="40" xfId="1" quotePrefix="1" applyFont="1" applyFill="1" applyBorder="1" applyAlignment="1">
      <alignment horizontal="right" vertical="top"/>
    </xf>
    <xf numFmtId="0" fontId="16" fillId="0" borderId="45" xfId="0" applyFont="1" applyBorder="1"/>
    <xf numFmtId="43" fontId="16" fillId="0" borderId="46" xfId="1" applyFont="1" applyBorder="1"/>
    <xf numFmtId="0" fontId="2" fillId="0" borderId="45" xfId="0" applyFont="1" applyBorder="1"/>
    <xf numFmtId="43" fontId="0" fillId="0" borderId="26" xfId="1" applyFont="1" applyBorder="1"/>
    <xf numFmtId="0" fontId="2" fillId="0" borderId="28" xfId="0" applyFont="1" applyBorder="1" applyAlignment="1">
      <alignment wrapText="1"/>
    </xf>
    <xf numFmtId="43" fontId="24" fillId="0" borderId="0" xfId="1" applyFont="1" applyFill="1" applyBorder="1"/>
    <xf numFmtId="43" fontId="0" fillId="0" borderId="0" xfId="1" applyFont="1" applyBorder="1"/>
    <xf numFmtId="43" fontId="0" fillId="0" borderId="32" xfId="1" applyFont="1" applyBorder="1"/>
    <xf numFmtId="43" fontId="16" fillId="0" borderId="48" xfId="1" applyFont="1" applyBorder="1"/>
    <xf numFmtId="165" fontId="3" fillId="2" borderId="21" xfId="1" applyNumberFormat="1" applyFont="1" applyFill="1" applyBorder="1" applyAlignment="1">
      <alignment horizontal="right" vertical="top" wrapText="1"/>
    </xf>
    <xf numFmtId="165" fontId="3" fillId="5" borderId="5" xfId="1" applyNumberFormat="1" applyFont="1" applyFill="1" applyBorder="1" applyAlignment="1">
      <alignment horizontal="right" vertical="top" wrapText="1"/>
    </xf>
    <xf numFmtId="165" fontId="7" fillId="5" borderId="5" xfId="1" applyNumberFormat="1" applyFont="1" applyFill="1" applyBorder="1" applyAlignment="1">
      <alignment horizontal="right" vertical="top" wrapText="1"/>
    </xf>
    <xf numFmtId="0" fontId="3" fillId="0" borderId="21" xfId="0" applyFont="1" applyFill="1" applyBorder="1" applyAlignment="1">
      <alignment vertical="top"/>
    </xf>
    <xf numFmtId="1" fontId="4" fillId="0" borderId="21" xfId="1" applyNumberFormat="1" applyFont="1" applyFill="1" applyBorder="1" applyAlignment="1">
      <alignment horizontal="right" vertical="top" wrapText="1"/>
    </xf>
    <xf numFmtId="0" fontId="4" fillId="2" borderId="20" xfId="0" applyFont="1" applyFill="1" applyBorder="1" applyAlignment="1"/>
    <xf numFmtId="165" fontId="4" fillId="0" borderId="12" xfId="0" quotePrefix="1" applyNumberFormat="1" applyFont="1" applyFill="1" applyBorder="1" applyAlignment="1">
      <alignment horizontal="right" vertical="top"/>
    </xf>
    <xf numFmtId="0" fontId="4" fillId="2" borderId="13" xfId="0" applyFont="1" applyFill="1" applyBorder="1" applyAlignment="1">
      <alignment horizontal="left" vertical="top" wrapText="1"/>
    </xf>
    <xf numFmtId="2" fontId="3" fillId="2" borderId="13" xfId="0" applyNumberFormat="1" applyFont="1" applyFill="1" applyBorder="1" applyAlignment="1"/>
    <xf numFmtId="165" fontId="4" fillId="0" borderId="21" xfId="0" quotePrefix="1" applyNumberFormat="1" applyFont="1" applyFill="1" applyBorder="1" applyAlignment="1">
      <alignment horizontal="right" vertical="top"/>
    </xf>
    <xf numFmtId="2" fontId="3" fillId="2" borderId="20" xfId="0" applyNumberFormat="1" applyFont="1" applyFill="1" applyBorder="1" applyAlignment="1"/>
    <xf numFmtId="0" fontId="3" fillId="2" borderId="21" xfId="0" applyFont="1" applyFill="1" applyBorder="1" applyAlignment="1"/>
    <xf numFmtId="164" fontId="3" fillId="2" borderId="20" xfId="1" applyNumberFormat="1" applyFont="1" applyFill="1" applyBorder="1" applyAlignment="1"/>
    <xf numFmtId="165" fontId="3" fillId="0" borderId="21" xfId="0" quotePrefix="1" applyNumberFormat="1" applyFont="1" applyFill="1" applyBorder="1" applyAlignment="1">
      <alignment horizontal="right" vertical="top"/>
    </xf>
    <xf numFmtId="0" fontId="3" fillId="0" borderId="1" xfId="0" applyFont="1" applyFill="1" applyBorder="1" applyAlignment="1">
      <alignment vertical="top" wrapText="1"/>
    </xf>
    <xf numFmtId="0" fontId="3" fillId="0" borderId="49" xfId="0" applyFont="1" applyFill="1" applyBorder="1" applyAlignment="1">
      <alignment vertical="top"/>
    </xf>
    <xf numFmtId="164" fontId="3" fillId="2" borderId="1" xfId="1" applyNumberFormat="1" applyFont="1" applyFill="1" applyBorder="1" applyAlignment="1">
      <alignment horizontal="right" vertical="top"/>
    </xf>
    <xf numFmtId="0" fontId="3" fillId="2" borderId="1" xfId="0" applyFont="1" applyFill="1" applyBorder="1" applyAlignment="1">
      <alignment vertical="top"/>
    </xf>
    <xf numFmtId="43" fontId="3" fillId="3" borderId="1" xfId="1" applyFont="1" applyFill="1" applyBorder="1" applyAlignment="1">
      <alignment horizontal="left" vertical="top"/>
    </xf>
    <xf numFmtId="0" fontId="23" fillId="0" borderId="47" xfId="0" applyFont="1" applyFill="1" applyBorder="1" applyAlignment="1">
      <alignment wrapText="1"/>
    </xf>
    <xf numFmtId="2" fontId="3" fillId="2" borderId="0" xfId="1" applyNumberFormat="1" applyFont="1" applyFill="1" applyBorder="1" applyAlignment="1"/>
    <xf numFmtId="43" fontId="0" fillId="0" borderId="28" xfId="1" applyFont="1" applyBorder="1" applyAlignment="1">
      <alignment horizontal="left"/>
    </xf>
    <xf numFmtId="43" fontId="0" fillId="0" borderId="33" xfId="1" applyFont="1" applyBorder="1" applyAlignment="1"/>
    <xf numFmtId="0" fontId="32" fillId="0" borderId="0" xfId="0" applyFont="1"/>
    <xf numFmtId="0" fontId="0" fillId="0" borderId="0" xfId="0" applyAlignment="1">
      <alignment horizontal="center"/>
    </xf>
    <xf numFmtId="2" fontId="3" fillId="2" borderId="1" xfId="0" applyNumberFormat="1" applyFont="1" applyFill="1" applyBorder="1" applyAlignment="1">
      <alignment horizontal="right"/>
    </xf>
    <xf numFmtId="0" fontId="3" fillId="2" borderId="1" xfId="0" applyFont="1" applyFill="1" applyBorder="1" applyAlignment="1">
      <alignment horizontal="left"/>
    </xf>
    <xf numFmtId="0" fontId="4" fillId="0" borderId="1" xfId="0" applyFont="1" applyFill="1" applyBorder="1" applyAlignment="1">
      <alignment horizontal="left" vertical="top" wrapText="1"/>
    </xf>
    <xf numFmtId="0" fontId="3" fillId="0" borderId="1" xfId="0" applyFont="1" applyFill="1" applyBorder="1" applyAlignment="1"/>
    <xf numFmtId="164" fontId="3" fillId="0" borderId="1" xfId="1" applyNumberFormat="1" applyFont="1" applyFill="1" applyBorder="1" applyAlignment="1"/>
    <xf numFmtId="165" fontId="4" fillId="8" borderId="44" xfId="0" applyNumberFormat="1" applyFont="1" applyFill="1" applyBorder="1" applyAlignment="1">
      <alignment horizontal="right" vertical="top"/>
    </xf>
    <xf numFmtId="43" fontId="4" fillId="3" borderId="3" xfId="1" applyFont="1" applyFill="1" applyBorder="1" applyAlignment="1">
      <alignment horizontal="center" wrapText="1"/>
    </xf>
    <xf numFmtId="2" fontId="5" fillId="3" borderId="3" xfId="0" applyNumberFormat="1" applyFont="1" applyFill="1" applyBorder="1" applyAlignment="1">
      <alignment horizontal="center"/>
    </xf>
    <xf numFmtId="0" fontId="5" fillId="3" borderId="3" xfId="0" applyFont="1" applyFill="1" applyBorder="1" applyAlignment="1">
      <alignment horizontal="center"/>
    </xf>
    <xf numFmtId="0" fontId="4" fillId="2" borderId="1" xfId="0" applyFont="1" applyFill="1" applyBorder="1" applyAlignment="1">
      <alignment horizontal="left" wrapText="1"/>
    </xf>
    <xf numFmtId="2" fontId="3" fillId="2" borderId="1" xfId="0" applyNumberFormat="1" applyFont="1" applyFill="1" applyBorder="1" applyAlignment="1">
      <alignment wrapText="1"/>
    </xf>
    <xf numFmtId="0" fontId="33" fillId="0" borderId="0" xfId="0" applyFont="1"/>
    <xf numFmtId="0" fontId="14" fillId="0" borderId="0" xfId="0" applyFont="1"/>
    <xf numFmtId="43" fontId="0" fillId="0" borderId="0" xfId="1" applyFont="1" applyFill="1"/>
    <xf numFmtId="0" fontId="22" fillId="0" borderId="0" xfId="4"/>
    <xf numFmtId="0" fontId="32" fillId="0" borderId="0" xfId="0" applyFont="1" applyAlignment="1">
      <alignment horizontal="right"/>
    </xf>
    <xf numFmtId="167" fontId="29" fillId="9" borderId="25" xfId="5" applyFont="1" applyFill="1" applyBorder="1" applyAlignment="1" applyProtection="1">
      <alignment horizontal="center" vertical="center" wrapText="1"/>
    </xf>
    <xf numFmtId="167" fontId="29" fillId="9" borderId="36" xfId="5" applyFont="1" applyFill="1" applyBorder="1" applyAlignment="1" applyProtection="1">
      <alignment horizontal="center" vertical="center" wrapText="1"/>
    </xf>
    <xf numFmtId="0" fontId="21" fillId="0" borderId="0" xfId="0" applyFont="1" applyAlignment="1">
      <alignment horizontal="left"/>
    </xf>
    <xf numFmtId="0" fontId="20" fillId="0" borderId="0" xfId="0" applyFont="1" applyAlignment="1">
      <alignment horizontal="left" vertical="center"/>
    </xf>
    <xf numFmtId="0" fontId="22" fillId="0" borderId="0" xfId="4" applyAlignment="1">
      <alignment horizontal="left" vertical="center"/>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4" borderId="6" xfId="0" applyFont="1" applyFill="1" applyBorder="1" applyAlignment="1">
      <alignment horizontal="left" wrapText="1"/>
    </xf>
    <xf numFmtId="0" fontId="6" fillId="4" borderId="7" xfId="0" applyFont="1" applyFill="1" applyBorder="1" applyAlignment="1">
      <alignment horizontal="left" wrapText="1"/>
    </xf>
    <xf numFmtId="0" fontId="7" fillId="6" borderId="6" xfId="0" applyFont="1" applyFill="1" applyBorder="1" applyAlignment="1">
      <alignment horizontal="left" wrapText="1"/>
    </xf>
    <xf numFmtId="0" fontId="7" fillId="6" borderId="7" xfId="0" applyFont="1" applyFill="1" applyBorder="1" applyAlignment="1">
      <alignment horizontal="left" wrapText="1"/>
    </xf>
    <xf numFmtId="0" fontId="7" fillId="6" borderId="8" xfId="0" applyFont="1" applyFill="1" applyBorder="1" applyAlignment="1">
      <alignment horizontal="left"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7" fillId="6" borderId="41" xfId="0" applyFont="1" applyFill="1" applyBorder="1" applyAlignment="1">
      <alignment horizontal="left" vertical="top" wrapText="1"/>
    </xf>
    <xf numFmtId="0" fontId="7" fillId="6" borderId="42" xfId="0" applyFont="1" applyFill="1" applyBorder="1" applyAlignment="1">
      <alignment horizontal="left" vertical="top" wrapText="1"/>
    </xf>
    <xf numFmtId="0" fontId="7" fillId="6" borderId="15" xfId="0" applyFont="1" applyFill="1" applyBorder="1" applyAlignment="1">
      <alignment horizontal="left" vertical="top" wrapText="1"/>
    </xf>
    <xf numFmtId="0" fontId="7" fillId="6" borderId="16" xfId="0" applyFont="1" applyFill="1" applyBorder="1" applyAlignment="1">
      <alignment horizontal="left" vertical="top" wrapText="1"/>
    </xf>
    <xf numFmtId="0" fontId="6" fillId="7" borderId="8" xfId="0" applyFont="1" applyFill="1" applyBorder="1" applyAlignment="1">
      <alignment horizontal="left" vertical="top" wrapText="1"/>
    </xf>
    <xf numFmtId="0" fontId="7" fillId="5" borderId="15" xfId="0" applyFont="1" applyFill="1" applyBorder="1" applyAlignment="1">
      <alignment horizontal="left" vertical="top" wrapText="1"/>
    </xf>
    <xf numFmtId="0" fontId="7" fillId="5" borderId="16" xfId="0" applyFont="1" applyFill="1" applyBorder="1" applyAlignment="1">
      <alignment horizontal="left" vertical="top" wrapText="1"/>
    </xf>
    <xf numFmtId="0" fontId="7" fillId="8" borderId="15" xfId="0" applyFont="1" applyFill="1" applyBorder="1" applyAlignment="1">
      <alignment horizontal="left" vertical="top" wrapText="1"/>
    </xf>
    <xf numFmtId="0" fontId="7" fillId="8" borderId="16" xfId="0" applyFont="1" applyFill="1" applyBorder="1" applyAlignment="1">
      <alignment horizontal="left" vertical="top" wrapText="1"/>
    </xf>
    <xf numFmtId="0" fontId="3" fillId="2" borderId="1" xfId="0" quotePrefix="1" applyFont="1" applyFill="1" applyBorder="1" applyAlignment="1">
      <alignment horizontal="left" vertical="top" wrapText="1"/>
    </xf>
  </cellXfs>
  <cellStyles count="9">
    <cellStyle name="Comma" xfId="1" builtinId="3"/>
    <cellStyle name="Comma 2" xfId="3"/>
    <cellStyle name="Comma 2 2" xfId="5"/>
    <cellStyle name="Hyperlink" xfId="4" builtinId="8"/>
    <cellStyle name="Normal" xfId="0" builtinId="0"/>
    <cellStyle name="Normal 2" xfId="2"/>
    <cellStyle name="Normal 3" xfId="7"/>
    <cellStyle name="Normal 4" xfId="8"/>
    <cellStyle name="Normal 7"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T10@150"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view="pageBreakPreview" zoomScaleNormal="100" zoomScaleSheetLayoutView="100" zoomScalePageLayoutView="85" workbookViewId="0">
      <selection activeCell="B5" sqref="B5"/>
    </sheetView>
  </sheetViews>
  <sheetFormatPr defaultRowHeight="15" x14ac:dyDescent="0.25"/>
  <cols>
    <col min="1" max="1" width="10.85546875" customWidth="1"/>
    <col min="2" max="2" width="31.140625" customWidth="1"/>
    <col min="3" max="3" width="41" customWidth="1"/>
    <col min="4" max="4" width="17.140625" customWidth="1"/>
    <col min="5" max="9" width="13.140625" customWidth="1"/>
  </cols>
  <sheetData>
    <row r="1" spans="1:6" x14ac:dyDescent="0.25">
      <c r="A1" s="95"/>
      <c r="B1" s="95"/>
      <c r="C1" s="95"/>
      <c r="D1" s="96"/>
      <c r="E1" s="62"/>
      <c r="F1" s="62"/>
    </row>
    <row r="2" spans="1:6" ht="31.5" x14ac:dyDescent="0.5">
      <c r="A2" s="99" t="s">
        <v>149</v>
      </c>
      <c r="B2" s="99"/>
      <c r="C2" s="99"/>
      <c r="D2" s="99"/>
      <c r="E2" s="62"/>
      <c r="F2" s="62"/>
    </row>
    <row r="3" spans="1:6" ht="23.25" x14ac:dyDescent="0.35">
      <c r="A3" s="98" t="s">
        <v>299</v>
      </c>
      <c r="B3" s="98"/>
      <c r="C3" s="98"/>
      <c r="D3" s="98"/>
      <c r="E3" s="62"/>
      <c r="F3" s="62"/>
    </row>
    <row r="4" spans="1:6" x14ac:dyDescent="0.25">
      <c r="A4" s="97" t="s">
        <v>297</v>
      </c>
      <c r="B4" s="97"/>
      <c r="C4" s="97"/>
      <c r="D4" s="97"/>
      <c r="E4" s="62"/>
      <c r="F4" s="62"/>
    </row>
    <row r="5" spans="1:6" ht="17.25" x14ac:dyDescent="0.25">
      <c r="A5" s="97" t="s">
        <v>301</v>
      </c>
      <c r="B5" s="97"/>
      <c r="C5" s="97"/>
      <c r="D5" s="97"/>
      <c r="E5" s="62"/>
      <c r="F5" s="62"/>
    </row>
    <row r="7" spans="1:6" x14ac:dyDescent="0.25">
      <c r="A7" s="107"/>
      <c r="B7" s="108"/>
      <c r="C7" s="108"/>
      <c r="D7" s="108"/>
    </row>
    <row r="8" spans="1:6" ht="30.75" customHeight="1" x14ac:dyDescent="0.25">
      <c r="A8" s="129" t="s">
        <v>142</v>
      </c>
      <c r="B8" s="234" t="s">
        <v>11</v>
      </c>
      <c r="C8" s="235"/>
      <c r="D8" s="130" t="s">
        <v>143</v>
      </c>
    </row>
    <row r="9" spans="1:6" ht="16.5" x14ac:dyDescent="0.25">
      <c r="A9" s="131"/>
      <c r="B9" s="111"/>
      <c r="C9" s="112"/>
      <c r="D9" s="132"/>
    </row>
    <row r="10" spans="1:6" x14ac:dyDescent="0.25">
      <c r="A10" s="116">
        <v>1</v>
      </c>
      <c r="B10" s="116" t="s">
        <v>4</v>
      </c>
      <c r="C10" s="115"/>
      <c r="D10" s="133">
        <f>'GENERAL SUMMARY '!C18</f>
        <v>0</v>
      </c>
    </row>
    <row r="11" spans="1:6" x14ac:dyDescent="0.25">
      <c r="A11" s="116">
        <v>2</v>
      </c>
      <c r="B11" s="116" t="s">
        <v>85</v>
      </c>
      <c r="C11" s="115"/>
      <c r="D11" s="133">
        <f>'GENERAL SUMMARY '!D18</f>
        <v>0</v>
      </c>
    </row>
    <row r="12" spans="1:6" x14ac:dyDescent="0.25">
      <c r="A12" s="116">
        <v>3</v>
      </c>
      <c r="B12" s="116" t="s">
        <v>98</v>
      </c>
      <c r="C12" s="115"/>
      <c r="D12" s="133">
        <f>'GENERAL SUMMARY '!E18</f>
        <v>0</v>
      </c>
    </row>
    <row r="13" spans="1:6" ht="16.5" customHeight="1" x14ac:dyDescent="0.25">
      <c r="A13" s="116">
        <v>4</v>
      </c>
      <c r="B13" s="116" t="s">
        <v>61</v>
      </c>
      <c r="C13" s="115"/>
      <c r="D13" s="133">
        <f>'GENERAL SUMMARY '!F18</f>
        <v>0</v>
      </c>
    </row>
    <row r="14" spans="1:6" ht="16.5" customHeight="1" x14ac:dyDescent="0.25">
      <c r="A14" s="116">
        <v>5</v>
      </c>
      <c r="B14" s="116" t="s">
        <v>144</v>
      </c>
      <c r="C14" s="115"/>
      <c r="D14" s="133">
        <f>'GENERAL SUMMARY '!G18</f>
        <v>0</v>
      </c>
    </row>
    <row r="15" spans="1:6" x14ac:dyDescent="0.25">
      <c r="A15" s="116">
        <v>6</v>
      </c>
      <c r="B15" s="116" t="s">
        <v>48</v>
      </c>
      <c r="C15" s="115"/>
      <c r="D15" s="133">
        <f>'GENERAL SUMMARY '!H18</f>
        <v>0</v>
      </c>
    </row>
    <row r="16" spans="1:6" x14ac:dyDescent="0.25">
      <c r="A16" s="116">
        <v>7</v>
      </c>
      <c r="B16" s="116" t="s">
        <v>114</v>
      </c>
      <c r="C16" s="115"/>
      <c r="D16" s="133">
        <f>'GENERAL SUMMARY '!I18</f>
        <v>0</v>
      </c>
    </row>
    <row r="17" spans="1:4" x14ac:dyDescent="0.25">
      <c r="A17" s="116">
        <v>8</v>
      </c>
      <c r="B17" s="116" t="s">
        <v>45</v>
      </c>
      <c r="C17" s="115"/>
      <c r="D17" s="133">
        <f>'GENERAL SUMMARY '!J18</f>
        <v>0</v>
      </c>
    </row>
    <row r="18" spans="1:4" ht="16.5" customHeight="1" x14ac:dyDescent="0.25">
      <c r="A18" s="116">
        <v>9</v>
      </c>
      <c r="B18" s="116" t="s">
        <v>145</v>
      </c>
      <c r="C18" s="115"/>
      <c r="D18" s="133">
        <f>'GENERAL SUMMARY '!K18</f>
        <v>0</v>
      </c>
    </row>
    <row r="19" spans="1:4" ht="16.5" customHeight="1" x14ac:dyDescent="0.25">
      <c r="A19" s="116">
        <v>10</v>
      </c>
      <c r="B19" s="116" t="s">
        <v>146</v>
      </c>
      <c r="C19" s="115"/>
      <c r="D19" s="133">
        <f>'GENERAL SUMMARY '!L18</f>
        <v>0</v>
      </c>
    </row>
    <row r="20" spans="1:4" x14ac:dyDescent="0.25">
      <c r="A20" s="116">
        <v>11</v>
      </c>
      <c r="B20" s="116" t="s">
        <v>119</v>
      </c>
      <c r="C20" s="115"/>
      <c r="D20" s="133">
        <f>'GENERAL SUMMARY '!M18</f>
        <v>0</v>
      </c>
    </row>
    <row r="21" spans="1:4" x14ac:dyDescent="0.25">
      <c r="A21" s="116">
        <v>12</v>
      </c>
      <c r="B21" s="116" t="s">
        <v>197</v>
      </c>
      <c r="C21" s="115"/>
      <c r="D21" s="133">
        <f>+'BILL 12 Additions'!F2</f>
        <v>0</v>
      </c>
    </row>
    <row r="22" spans="1:4" x14ac:dyDescent="0.25">
      <c r="A22" s="116">
        <v>13</v>
      </c>
      <c r="B22" s="116" t="s">
        <v>198</v>
      </c>
      <c r="C22" s="115"/>
      <c r="D22" s="133">
        <f>-'BILL 13 Omissions'!F2</f>
        <v>0</v>
      </c>
    </row>
    <row r="23" spans="1:4" x14ac:dyDescent="0.25">
      <c r="A23" s="116"/>
      <c r="B23" s="116"/>
      <c r="C23" s="115"/>
      <c r="D23" s="133"/>
    </row>
    <row r="24" spans="1:4" x14ac:dyDescent="0.25">
      <c r="A24" s="116"/>
      <c r="B24" s="116"/>
      <c r="C24" s="115"/>
      <c r="D24" s="133"/>
    </row>
    <row r="25" spans="1:4" x14ac:dyDescent="0.25">
      <c r="A25" s="116"/>
      <c r="B25" s="116"/>
      <c r="C25" s="115"/>
      <c r="D25" s="133"/>
    </row>
    <row r="26" spans="1:4" x14ac:dyDescent="0.25">
      <c r="A26" s="116"/>
      <c r="B26" s="116"/>
      <c r="C26" s="115"/>
      <c r="D26" s="133"/>
    </row>
    <row r="27" spans="1:4" ht="16.5" x14ac:dyDescent="0.25">
      <c r="A27" s="134"/>
      <c r="B27" s="214" t="s">
        <v>147</v>
      </c>
      <c r="C27" s="109"/>
      <c r="D27" s="119">
        <f>SUM(D10:D26)</f>
        <v>0</v>
      </c>
    </row>
    <row r="28" spans="1:4" ht="16.5" x14ac:dyDescent="0.25">
      <c r="A28" s="135"/>
      <c r="B28" s="214" t="s">
        <v>148</v>
      </c>
      <c r="C28" s="114"/>
      <c r="D28" s="119">
        <f>D27*0.06</f>
        <v>0</v>
      </c>
    </row>
    <row r="29" spans="1:4" ht="16.5" x14ac:dyDescent="0.25">
      <c r="A29" s="136"/>
      <c r="B29" s="214" t="s">
        <v>199</v>
      </c>
      <c r="C29" s="110"/>
      <c r="D29" s="119">
        <f>D28+D27</f>
        <v>0</v>
      </c>
    </row>
    <row r="30" spans="1:4" ht="16.5" x14ac:dyDescent="0.25">
      <c r="A30" s="135"/>
      <c r="B30" s="117"/>
      <c r="C30" s="114"/>
      <c r="D30" s="118"/>
    </row>
    <row r="31" spans="1:4" ht="16.5" x14ac:dyDescent="0.25">
      <c r="A31" s="136"/>
      <c r="B31" s="215" t="s">
        <v>153</v>
      </c>
      <c r="C31" s="114"/>
      <c r="D31" s="113"/>
    </row>
  </sheetData>
  <mergeCells count="1">
    <mergeCell ref="B8:C8"/>
  </mergeCells>
  <printOptions horizontalCentered="1"/>
  <pageMargins left="0.1" right="0.1" top="0.75" bottom="0.75" header="0.3" footer="0.3"/>
  <pageSetup paperSize="9" scale="71" fitToHeight="0" orientation="portrait" horizontalDpi="4294967295" verticalDpi="4294967295" r:id="rId1"/>
  <headerFooter>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topLeftCell="A4" zoomScale="85" zoomScaleNormal="85" zoomScaleSheetLayoutView="85" workbookViewId="0">
      <selection activeCell="E24" sqref="E24"/>
    </sheetView>
  </sheetViews>
  <sheetFormatPr defaultRowHeight="15" x14ac:dyDescent="0.25"/>
  <cols>
    <col min="1" max="1" width="4.5703125" bestFit="1" customWidth="1"/>
    <col min="2" max="2" width="53" customWidth="1"/>
    <col min="3" max="3" width="9.140625" bestFit="1" customWidth="1"/>
    <col min="4" max="4" width="5.42578125" customWidth="1"/>
    <col min="5" max="5" width="9.7109375" customWidth="1"/>
    <col min="6" max="6" width="17.28515625" customWidth="1"/>
  </cols>
  <sheetData>
    <row r="1" spans="1:6" x14ac:dyDescent="0.25">
      <c r="A1" s="5" t="s">
        <v>10</v>
      </c>
      <c r="B1" s="6" t="s">
        <v>11</v>
      </c>
      <c r="C1" s="7" t="s">
        <v>12</v>
      </c>
      <c r="D1" s="8" t="s">
        <v>13</v>
      </c>
      <c r="E1" s="6" t="s">
        <v>139</v>
      </c>
      <c r="F1" s="9" t="s">
        <v>14</v>
      </c>
    </row>
    <row r="2" spans="1:6" ht="15.75" thickBot="1" x14ac:dyDescent="0.3">
      <c r="A2" s="10">
        <v>8</v>
      </c>
      <c r="B2" s="239" t="s">
        <v>45</v>
      </c>
      <c r="C2" s="240"/>
      <c r="D2" s="240"/>
      <c r="E2" s="240"/>
      <c r="F2" s="11"/>
    </row>
    <row r="3" spans="1:6" ht="15.75" thickTop="1" x14ac:dyDescent="0.25">
      <c r="A3" s="57"/>
      <c r="B3" s="14"/>
      <c r="C3" s="31"/>
      <c r="D3" s="27"/>
      <c r="E3" s="17"/>
      <c r="F3" s="18"/>
    </row>
    <row r="4" spans="1:6" x14ac:dyDescent="0.25">
      <c r="A4" s="101"/>
      <c r="B4" s="14" t="s">
        <v>16</v>
      </c>
      <c r="C4" s="31"/>
      <c r="D4" s="27"/>
      <c r="E4" s="17"/>
      <c r="F4" s="18"/>
    </row>
    <row r="5" spans="1:6" ht="51" x14ac:dyDescent="0.25">
      <c r="A5" s="25" t="s">
        <v>29</v>
      </c>
      <c r="B5" s="36" t="s">
        <v>129</v>
      </c>
      <c r="C5" s="31"/>
      <c r="D5" s="27"/>
      <c r="E5" s="17"/>
      <c r="F5" s="18"/>
    </row>
    <row r="6" spans="1:6" ht="185.25" customHeight="1" x14ac:dyDescent="0.25">
      <c r="A6" s="25" t="s">
        <v>27</v>
      </c>
      <c r="B6" s="36" t="s">
        <v>130</v>
      </c>
      <c r="C6" s="31"/>
      <c r="D6" s="27"/>
      <c r="E6" s="17"/>
      <c r="F6" s="18"/>
    </row>
    <row r="7" spans="1:6" x14ac:dyDescent="0.25">
      <c r="A7" s="199"/>
      <c r="B7" s="200"/>
      <c r="C7" s="201"/>
      <c r="D7" s="22"/>
      <c r="E7" s="168"/>
      <c r="F7" s="169"/>
    </row>
    <row r="8" spans="1:6" x14ac:dyDescent="0.25">
      <c r="A8" s="176">
        <v>8.1</v>
      </c>
      <c r="B8" s="250" t="s">
        <v>63</v>
      </c>
      <c r="C8" s="251"/>
      <c r="D8" s="251"/>
      <c r="E8" s="251"/>
      <c r="F8" s="32">
        <f>+SUM(F11:F14)</f>
        <v>0</v>
      </c>
    </row>
    <row r="9" spans="1:6" x14ac:dyDescent="0.25">
      <c r="A9" s="202"/>
      <c r="B9" s="84"/>
      <c r="C9" s="203"/>
      <c r="D9" s="173"/>
      <c r="E9" s="80"/>
      <c r="F9" s="34" t="str">
        <f>IF(E9="","",C9*E9)</f>
        <v/>
      </c>
    </row>
    <row r="10" spans="1:6" x14ac:dyDescent="0.25">
      <c r="A10" s="202"/>
      <c r="B10" s="102" t="s">
        <v>131</v>
      </c>
      <c r="C10" s="37"/>
      <c r="D10" s="27"/>
      <c r="E10" s="28"/>
      <c r="F10" s="34" t="str">
        <f>IF(E10="",IF(C10="","",C10*E10),C10*E10)</f>
        <v/>
      </c>
    </row>
    <row r="11" spans="1:6" x14ac:dyDescent="0.25">
      <c r="A11" s="206"/>
      <c r="B11" s="64" t="s">
        <v>159</v>
      </c>
      <c r="C11" s="128">
        <f>294.77-7.09</f>
        <v>287.68</v>
      </c>
      <c r="D11" s="27" t="s">
        <v>115</v>
      </c>
      <c r="E11" s="28"/>
      <c r="F11" s="34">
        <f>IF(E11="",IF(C11="","",C11*E11),C11*E11)</f>
        <v>0</v>
      </c>
    </row>
    <row r="12" spans="1:6" ht="30" x14ac:dyDescent="0.25">
      <c r="A12" s="206"/>
      <c r="B12" s="123" t="s">
        <v>160</v>
      </c>
      <c r="C12" s="128">
        <v>7.09</v>
      </c>
      <c r="D12" s="27" t="s">
        <v>115</v>
      </c>
      <c r="E12" s="28"/>
      <c r="F12" s="34">
        <f>IF(E12="",IF(C12="","",C12*E12),C12*E12)</f>
        <v>0</v>
      </c>
    </row>
    <row r="13" spans="1:6" x14ac:dyDescent="0.25">
      <c r="A13" s="206"/>
      <c r="B13" s="102" t="s">
        <v>132</v>
      </c>
      <c r="C13" s="128"/>
      <c r="D13" s="27"/>
      <c r="E13" s="28"/>
      <c r="F13" s="34" t="str">
        <f>IF(E13="",IF(C13="","",C13*E13),C13*E13)</f>
        <v/>
      </c>
    </row>
    <row r="14" spans="1:6" x14ac:dyDescent="0.25">
      <c r="A14" s="206"/>
      <c r="B14" s="64" t="s">
        <v>133</v>
      </c>
      <c r="C14" s="128">
        <v>11.52</v>
      </c>
      <c r="D14" s="27" t="s">
        <v>115</v>
      </c>
      <c r="E14" s="28"/>
      <c r="F14" s="34">
        <f>IF(E14="",IF(C14="","",C14*E14),C14*E14)</f>
        <v>0</v>
      </c>
    </row>
    <row r="15" spans="1:6" x14ac:dyDescent="0.25">
      <c r="A15" s="206"/>
      <c r="B15" s="105"/>
      <c r="C15" s="37"/>
      <c r="D15" s="27"/>
      <c r="E15" s="28"/>
      <c r="F15" s="34" t="str">
        <f>IF(E15="","",C15*E15)</f>
        <v/>
      </c>
    </row>
    <row r="16" spans="1:6" x14ac:dyDescent="0.25">
      <c r="A16" s="176">
        <v>8.1999999999999993</v>
      </c>
      <c r="B16" s="250" t="s">
        <v>256</v>
      </c>
      <c r="C16" s="251"/>
      <c r="D16" s="251"/>
      <c r="E16" s="251"/>
      <c r="F16" s="32">
        <f>+SUM(F19:F22)</f>
        <v>0</v>
      </c>
    </row>
    <row r="17" spans="1:6" x14ac:dyDescent="0.25">
      <c r="A17" s="202"/>
      <c r="B17" s="84"/>
      <c r="C17" s="203"/>
      <c r="D17" s="173"/>
      <c r="E17" s="80"/>
      <c r="F17" s="34" t="str">
        <f>IF(E17="","",C17*E17)</f>
        <v/>
      </c>
    </row>
    <row r="18" spans="1:6" x14ac:dyDescent="0.25">
      <c r="A18" s="202"/>
      <c r="B18" s="102" t="s">
        <v>131</v>
      </c>
      <c r="C18" s="37"/>
      <c r="D18" s="27"/>
      <c r="E18" s="28"/>
      <c r="F18" s="34" t="str">
        <f>IF(E18="",IF(C18="","",C18*E18),C18*E18)</f>
        <v/>
      </c>
    </row>
    <row r="19" spans="1:6" x14ac:dyDescent="0.25">
      <c r="A19" s="206"/>
      <c r="B19" s="64" t="s">
        <v>159</v>
      </c>
      <c r="C19" s="128">
        <f>319.41-7.09</f>
        <v>312.32000000000005</v>
      </c>
      <c r="D19" s="27" t="s">
        <v>115</v>
      </c>
      <c r="E19" s="28"/>
      <c r="F19" s="34">
        <f>IF(E19="",IF(C19="","",C19*E19),C19*E19)</f>
        <v>0</v>
      </c>
    </row>
    <row r="20" spans="1:6" ht="30" x14ac:dyDescent="0.25">
      <c r="A20" s="206"/>
      <c r="B20" s="123" t="s">
        <v>160</v>
      </c>
      <c r="C20" s="128">
        <v>7.09</v>
      </c>
      <c r="D20" s="27" t="s">
        <v>115</v>
      </c>
      <c r="E20" s="28"/>
      <c r="F20" s="34">
        <f>IF(E20="",IF(C20="","",C20*E20),C20*E20)</f>
        <v>0</v>
      </c>
    </row>
    <row r="21" spans="1:6" x14ac:dyDescent="0.25">
      <c r="A21" s="206"/>
      <c r="B21" s="102" t="s">
        <v>132</v>
      </c>
      <c r="C21" s="128"/>
      <c r="D21" s="27"/>
      <c r="E21" s="28"/>
      <c r="F21" s="34" t="str">
        <f>IF(E21="",IF(C21="","",C21*E21),C21*E21)</f>
        <v/>
      </c>
    </row>
    <row r="22" spans="1:6" x14ac:dyDescent="0.25">
      <c r="A22" s="206"/>
      <c r="B22" s="64" t="s">
        <v>133</v>
      </c>
      <c r="C22" s="128">
        <v>11.52</v>
      </c>
      <c r="D22" s="27" t="s">
        <v>115</v>
      </c>
      <c r="E22" s="28"/>
      <c r="F22" s="34">
        <f>IF(E22="",IF(C22="","",C22*E22),C22*E22)</f>
        <v>0</v>
      </c>
    </row>
    <row r="23" spans="1:6" x14ac:dyDescent="0.25">
      <c r="A23" s="206"/>
      <c r="B23" s="105"/>
      <c r="C23" s="37"/>
      <c r="D23" s="27"/>
      <c r="E23" s="28"/>
      <c r="F23" s="34" t="str">
        <f>IF(E23="","",C23*E23)</f>
        <v/>
      </c>
    </row>
    <row r="24" spans="1:6" x14ac:dyDescent="0.25">
      <c r="A24" s="103"/>
      <c r="B24" s="36"/>
      <c r="C24" s="104"/>
      <c r="D24" s="27"/>
      <c r="E24" s="28"/>
      <c r="F24" s="34" t="str">
        <f>IF(E24="","",C24*E24)</f>
        <v/>
      </c>
    </row>
    <row r="25" spans="1:6" x14ac:dyDescent="0.25">
      <c r="A25" s="145"/>
      <c r="B25" s="146"/>
      <c r="C25" s="146"/>
      <c r="D25" s="146"/>
      <c r="E25" s="146"/>
      <c r="F25" s="147" t="s">
        <v>187</v>
      </c>
    </row>
  </sheetData>
  <mergeCells count="3">
    <mergeCell ref="B2:E2"/>
    <mergeCell ref="B8:E8"/>
    <mergeCell ref="B16:E16"/>
  </mergeCells>
  <pageMargins left="0.7" right="0.7" top="0.75" bottom="0.75" header="0.3" footer="0.3"/>
  <pageSetup paperSize="9" scale="8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BreakPreview" topLeftCell="A25" zoomScale="85" zoomScaleNormal="100" zoomScaleSheetLayoutView="85" workbookViewId="0">
      <selection activeCell="C27" sqref="C27"/>
    </sheetView>
  </sheetViews>
  <sheetFormatPr defaultRowHeight="15" x14ac:dyDescent="0.25"/>
  <cols>
    <col min="1" max="1" width="5.85546875" bestFit="1" customWidth="1"/>
    <col min="2" max="2" width="42.85546875" customWidth="1"/>
    <col min="3" max="3" width="5.42578125" bestFit="1" customWidth="1"/>
    <col min="4" max="4" width="5.85546875" customWidth="1"/>
    <col min="5" max="5" width="12.140625" bestFit="1" customWidth="1"/>
    <col min="6" max="6" width="15.28515625" customWidth="1"/>
  </cols>
  <sheetData>
    <row r="1" spans="1:6" x14ac:dyDescent="0.25">
      <c r="A1" s="5" t="s">
        <v>10</v>
      </c>
      <c r="B1" s="6" t="s">
        <v>11</v>
      </c>
      <c r="C1" s="7" t="s">
        <v>12</v>
      </c>
      <c r="D1" s="8" t="s">
        <v>13</v>
      </c>
      <c r="E1" s="6" t="s">
        <v>139</v>
      </c>
      <c r="F1" s="9" t="s">
        <v>14</v>
      </c>
    </row>
    <row r="2" spans="1:6" ht="15.75" thickBot="1" x14ac:dyDescent="0.3">
      <c r="A2" s="10">
        <v>9</v>
      </c>
      <c r="B2" s="239" t="s">
        <v>31</v>
      </c>
      <c r="C2" s="240"/>
      <c r="D2" s="240"/>
      <c r="E2" s="240"/>
      <c r="F2" s="11"/>
    </row>
    <row r="3" spans="1:6" ht="15.75" thickTop="1" x14ac:dyDescent="0.25">
      <c r="A3" s="57"/>
      <c r="B3" s="14"/>
      <c r="C3" s="31"/>
      <c r="D3" s="27"/>
      <c r="E3" s="17"/>
      <c r="F3" s="18"/>
    </row>
    <row r="4" spans="1:6" x14ac:dyDescent="0.25">
      <c r="A4" s="56" t="s">
        <v>20</v>
      </c>
      <c r="B4" s="14" t="s">
        <v>16</v>
      </c>
      <c r="C4" s="28"/>
      <c r="D4" s="27"/>
      <c r="E4" s="28"/>
      <c r="F4" s="29"/>
    </row>
    <row r="5" spans="1:6" ht="102" x14ac:dyDescent="0.25">
      <c r="A5" s="25">
        <v>1</v>
      </c>
      <c r="B5" s="36" t="s">
        <v>34</v>
      </c>
      <c r="C5" s="28"/>
      <c r="D5" s="27"/>
      <c r="E5" s="28"/>
      <c r="F5" s="29"/>
    </row>
    <row r="6" spans="1:6" ht="76.5" x14ac:dyDescent="0.25">
      <c r="A6" s="25">
        <v>2</v>
      </c>
      <c r="B6" s="36" t="s">
        <v>57</v>
      </c>
      <c r="C6" s="28"/>
      <c r="D6" s="27"/>
      <c r="E6" s="28"/>
      <c r="F6" s="29"/>
    </row>
    <row r="7" spans="1:6" ht="51" x14ac:dyDescent="0.25">
      <c r="A7" s="25">
        <v>3</v>
      </c>
      <c r="B7" s="36" t="s">
        <v>58</v>
      </c>
      <c r="C7" s="28"/>
      <c r="D7" s="27"/>
      <c r="E7" s="28"/>
      <c r="F7" s="29"/>
    </row>
    <row r="8" spans="1:6" ht="25.5" x14ac:dyDescent="0.25">
      <c r="A8" s="25">
        <v>4</v>
      </c>
      <c r="B8" s="36" t="s">
        <v>30</v>
      </c>
      <c r="C8" s="15"/>
      <c r="D8" s="16"/>
      <c r="E8" s="17"/>
      <c r="F8" s="18"/>
    </row>
    <row r="9" spans="1:6" x14ac:dyDescent="0.25">
      <c r="A9" s="19"/>
      <c r="B9" s="165"/>
      <c r="C9" s="166"/>
      <c r="D9" s="167"/>
      <c r="E9" s="168"/>
      <c r="F9" s="169"/>
    </row>
    <row r="10" spans="1:6" x14ac:dyDescent="0.25">
      <c r="A10" s="176">
        <v>9.1</v>
      </c>
      <c r="B10" s="250" t="s">
        <v>63</v>
      </c>
      <c r="C10" s="251"/>
      <c r="D10" s="251"/>
      <c r="E10" s="251"/>
      <c r="F10" s="32">
        <f>SUM(F12:F30)</f>
        <v>0</v>
      </c>
    </row>
    <row r="11" spans="1:6" x14ac:dyDescent="0.25">
      <c r="A11" s="197"/>
      <c r="B11" s="84" t="s">
        <v>32</v>
      </c>
      <c r="C11" s="177"/>
      <c r="D11" s="198"/>
      <c r="E11" s="178"/>
      <c r="F11" s="179"/>
    </row>
    <row r="12" spans="1:6" ht="76.5" x14ac:dyDescent="0.25">
      <c r="A12" s="25">
        <v>1</v>
      </c>
      <c r="B12" s="207" t="s">
        <v>191</v>
      </c>
      <c r="C12" s="45">
        <v>1</v>
      </c>
      <c r="D12" s="27" t="s">
        <v>24</v>
      </c>
      <c r="E12" s="55"/>
      <c r="F12" s="34">
        <f t="shared" ref="F12:F29" si="0">IF(E12="",IF(C12="","",C12*E12),C12*E12)</f>
        <v>0</v>
      </c>
    </row>
    <row r="13" spans="1:6" ht="38.25" x14ac:dyDescent="0.25">
      <c r="A13" s="25">
        <v>2</v>
      </c>
      <c r="B13" s="2" t="s">
        <v>157</v>
      </c>
      <c r="C13" s="45">
        <v>1</v>
      </c>
      <c r="D13" s="27" t="s">
        <v>24</v>
      </c>
      <c r="E13" s="55"/>
      <c r="F13" s="34">
        <f t="shared" si="0"/>
        <v>0</v>
      </c>
    </row>
    <row r="14" spans="1:6" ht="38.25" x14ac:dyDescent="0.25">
      <c r="A14" s="25">
        <v>3</v>
      </c>
      <c r="B14" s="2" t="s">
        <v>217</v>
      </c>
      <c r="C14" s="45">
        <v>1</v>
      </c>
      <c r="D14" s="27" t="s">
        <v>24</v>
      </c>
      <c r="E14" s="55"/>
      <c r="F14" s="34">
        <f t="shared" si="0"/>
        <v>0</v>
      </c>
    </row>
    <row r="15" spans="1:6" x14ac:dyDescent="0.25">
      <c r="A15" s="63">
        <v>4</v>
      </c>
      <c r="B15" s="14" t="s">
        <v>33</v>
      </c>
      <c r="C15" s="45"/>
      <c r="D15" s="16"/>
      <c r="E15" s="17"/>
      <c r="F15" s="34" t="str">
        <f t="shared" si="0"/>
        <v/>
      </c>
    </row>
    <row r="16" spans="1:6" ht="15" customHeight="1" x14ac:dyDescent="0.25">
      <c r="A16" s="25"/>
      <c r="B16" s="2" t="s">
        <v>161</v>
      </c>
      <c r="C16" s="45">
        <v>6</v>
      </c>
      <c r="D16" s="27" t="s">
        <v>9</v>
      </c>
      <c r="E16" s="55"/>
      <c r="F16" s="34">
        <f t="shared" si="0"/>
        <v>0</v>
      </c>
    </row>
    <row r="17" spans="1:6" ht="15" customHeight="1" x14ac:dyDescent="0.25">
      <c r="A17" s="25"/>
      <c r="B17" s="2" t="s">
        <v>276</v>
      </c>
      <c r="C17" s="45">
        <v>5</v>
      </c>
      <c r="D17" s="27" t="s">
        <v>9</v>
      </c>
      <c r="E17" s="55"/>
      <c r="F17" s="34">
        <f t="shared" si="0"/>
        <v>0</v>
      </c>
    </row>
    <row r="18" spans="1:6" ht="15" customHeight="1" x14ac:dyDescent="0.25">
      <c r="A18" s="25"/>
      <c r="B18" s="36" t="s">
        <v>162</v>
      </c>
      <c r="C18" s="45">
        <v>2</v>
      </c>
      <c r="D18" s="27" t="s">
        <v>9</v>
      </c>
      <c r="E18" s="55"/>
      <c r="F18" s="34">
        <f t="shared" si="0"/>
        <v>0</v>
      </c>
    </row>
    <row r="19" spans="1:6" ht="15" customHeight="1" x14ac:dyDescent="0.25">
      <c r="A19" s="25"/>
      <c r="B19" s="2" t="s">
        <v>225</v>
      </c>
      <c r="C19" s="45">
        <v>1</v>
      </c>
      <c r="D19" s="27" t="s">
        <v>9</v>
      </c>
      <c r="E19" s="55"/>
      <c r="F19" s="34">
        <f t="shared" si="0"/>
        <v>0</v>
      </c>
    </row>
    <row r="20" spans="1:6" ht="15" customHeight="1" x14ac:dyDescent="0.25">
      <c r="A20" s="25"/>
      <c r="B20" s="36" t="s">
        <v>277</v>
      </c>
      <c r="C20" s="45">
        <v>5</v>
      </c>
      <c r="D20" s="27" t="s">
        <v>9</v>
      </c>
      <c r="E20" s="55"/>
      <c r="F20" s="34">
        <f t="shared" si="0"/>
        <v>0</v>
      </c>
    </row>
    <row r="21" spans="1:6" x14ac:dyDescent="0.25">
      <c r="A21" s="25"/>
      <c r="B21" s="124" t="s">
        <v>231</v>
      </c>
      <c r="C21" s="45">
        <v>3</v>
      </c>
      <c r="D21" s="27" t="s">
        <v>9</v>
      </c>
      <c r="E21" s="55"/>
      <c r="F21" s="34">
        <f t="shared" si="0"/>
        <v>0</v>
      </c>
    </row>
    <row r="22" spans="1:6" ht="15" customHeight="1" x14ac:dyDescent="0.25">
      <c r="A22" s="25"/>
      <c r="B22" s="36" t="s">
        <v>278</v>
      </c>
      <c r="C22" s="45">
        <v>1</v>
      </c>
      <c r="D22" s="27" t="s">
        <v>9</v>
      </c>
      <c r="E22" s="55"/>
      <c r="F22" s="34">
        <f t="shared" si="0"/>
        <v>0</v>
      </c>
    </row>
    <row r="23" spans="1:6" ht="15" customHeight="1" x14ac:dyDescent="0.25">
      <c r="A23" s="25"/>
      <c r="B23" s="36" t="s">
        <v>279</v>
      </c>
      <c r="C23" s="45">
        <v>1</v>
      </c>
      <c r="D23" s="27" t="s">
        <v>9</v>
      </c>
      <c r="E23" s="55"/>
      <c r="F23" s="34">
        <f t="shared" si="0"/>
        <v>0</v>
      </c>
    </row>
    <row r="24" spans="1:6" ht="15" customHeight="1" x14ac:dyDescent="0.25">
      <c r="A24" s="25"/>
      <c r="B24" s="36" t="s">
        <v>163</v>
      </c>
      <c r="C24" s="45">
        <v>2</v>
      </c>
      <c r="D24" s="27" t="s">
        <v>9</v>
      </c>
      <c r="E24" s="55"/>
      <c r="F24" s="34">
        <f t="shared" si="0"/>
        <v>0</v>
      </c>
    </row>
    <row r="25" spans="1:6" ht="15" customHeight="1" x14ac:dyDescent="0.25">
      <c r="A25" s="25"/>
      <c r="B25" s="36" t="s">
        <v>280</v>
      </c>
      <c r="C25" s="45">
        <v>3</v>
      </c>
      <c r="D25" s="27" t="s">
        <v>9</v>
      </c>
      <c r="E25" s="55"/>
      <c r="F25" s="34">
        <f t="shared" si="0"/>
        <v>0</v>
      </c>
    </row>
    <row r="26" spans="1:6" ht="15" customHeight="1" x14ac:dyDescent="0.25">
      <c r="A26" s="25"/>
      <c r="B26" s="36" t="s">
        <v>226</v>
      </c>
      <c r="C26" s="45">
        <v>4</v>
      </c>
      <c r="D26" s="27" t="s">
        <v>9</v>
      </c>
      <c r="E26" s="55"/>
      <c r="F26" s="34">
        <f t="shared" si="0"/>
        <v>0</v>
      </c>
    </row>
    <row r="27" spans="1:6" ht="15" customHeight="1" x14ac:dyDescent="0.25">
      <c r="A27" s="25"/>
      <c r="B27" s="36" t="s">
        <v>164</v>
      </c>
      <c r="C27" s="45">
        <v>2</v>
      </c>
      <c r="D27" s="27" t="s">
        <v>9</v>
      </c>
      <c r="E27" s="55"/>
      <c r="F27" s="34">
        <f t="shared" si="0"/>
        <v>0</v>
      </c>
    </row>
    <row r="28" spans="1:6" ht="15" customHeight="1" x14ac:dyDescent="0.25">
      <c r="A28" s="25"/>
      <c r="B28" s="36" t="s">
        <v>156</v>
      </c>
      <c r="C28" s="45">
        <v>10</v>
      </c>
      <c r="D28" s="27" t="s">
        <v>9</v>
      </c>
      <c r="E28" s="55"/>
      <c r="F28" s="34">
        <f t="shared" si="0"/>
        <v>0</v>
      </c>
    </row>
    <row r="29" spans="1:6" ht="15" customHeight="1" x14ac:dyDescent="0.25">
      <c r="A29" s="25"/>
      <c r="B29" s="36" t="s">
        <v>300</v>
      </c>
      <c r="C29" s="45">
        <v>4</v>
      </c>
      <c r="D29" s="27" t="s">
        <v>9</v>
      </c>
      <c r="E29" s="55"/>
      <c r="F29" s="34">
        <f t="shared" si="0"/>
        <v>0</v>
      </c>
    </row>
    <row r="30" spans="1:6" ht="15" customHeight="1" x14ac:dyDescent="0.25">
      <c r="A30" s="25"/>
      <c r="B30" s="36"/>
      <c r="C30" s="45"/>
      <c r="D30" s="27"/>
      <c r="E30" s="55"/>
      <c r="F30" s="34" t="str">
        <f>IF(E30="","",C30*E30)</f>
        <v/>
      </c>
    </row>
    <row r="31" spans="1:6" x14ac:dyDescent="0.25">
      <c r="A31" s="176">
        <v>9.1999999999999993</v>
      </c>
      <c r="B31" s="250" t="s">
        <v>256</v>
      </c>
      <c r="C31" s="251"/>
      <c r="D31" s="251"/>
      <c r="E31" s="251"/>
      <c r="F31" s="32">
        <f>SUM(F33:F47)</f>
        <v>0</v>
      </c>
    </row>
    <row r="32" spans="1:6" x14ac:dyDescent="0.25">
      <c r="A32" s="197"/>
      <c r="B32" s="84" t="s">
        <v>32</v>
      </c>
      <c r="C32" s="177"/>
      <c r="D32" s="198"/>
      <c r="E32" s="178"/>
      <c r="F32" s="179"/>
    </row>
    <row r="33" spans="1:6" ht="76.5" x14ac:dyDescent="0.25">
      <c r="A33" s="25">
        <v>1</v>
      </c>
      <c r="B33" s="207" t="s">
        <v>191</v>
      </c>
      <c r="C33" s="45">
        <v>1</v>
      </c>
      <c r="D33" s="27" t="s">
        <v>24</v>
      </c>
      <c r="E33" s="55"/>
      <c r="F33" s="34">
        <f t="shared" ref="F33:F46" si="1">IF(E33="",IF(C33="","",C33*E33),C33*E33)</f>
        <v>0</v>
      </c>
    </row>
    <row r="34" spans="1:6" ht="38.25" x14ac:dyDescent="0.25">
      <c r="A34" s="25">
        <v>2</v>
      </c>
      <c r="B34" s="2" t="s">
        <v>157</v>
      </c>
      <c r="C34" s="45">
        <v>1</v>
      </c>
      <c r="D34" s="27" t="s">
        <v>24</v>
      </c>
      <c r="E34" s="55"/>
      <c r="F34" s="34">
        <f t="shared" si="1"/>
        <v>0</v>
      </c>
    </row>
    <row r="35" spans="1:6" ht="38.25" x14ac:dyDescent="0.25">
      <c r="A35" s="25">
        <v>3</v>
      </c>
      <c r="B35" s="2" t="s">
        <v>217</v>
      </c>
      <c r="C35" s="45">
        <v>1</v>
      </c>
      <c r="D35" s="27" t="s">
        <v>24</v>
      </c>
      <c r="E35" s="55"/>
      <c r="F35" s="34">
        <f t="shared" si="1"/>
        <v>0</v>
      </c>
    </row>
    <row r="36" spans="1:6" x14ac:dyDescent="0.25">
      <c r="A36" s="63">
        <v>4</v>
      </c>
      <c r="B36" s="14" t="s">
        <v>33</v>
      </c>
      <c r="C36" s="45"/>
      <c r="D36" s="16"/>
      <c r="E36" s="17"/>
      <c r="F36" s="34" t="str">
        <f t="shared" si="1"/>
        <v/>
      </c>
    </row>
    <row r="37" spans="1:6" ht="15" customHeight="1" x14ac:dyDescent="0.25">
      <c r="A37" s="25"/>
      <c r="B37" s="2" t="s">
        <v>161</v>
      </c>
      <c r="C37" s="45">
        <v>1</v>
      </c>
      <c r="D37" s="27" t="s">
        <v>9</v>
      </c>
      <c r="E37" s="55"/>
      <c r="F37" s="34">
        <f t="shared" si="1"/>
        <v>0</v>
      </c>
    </row>
    <row r="38" spans="1:6" ht="15" customHeight="1" x14ac:dyDescent="0.25">
      <c r="A38" s="25"/>
      <c r="B38" s="2" t="s">
        <v>276</v>
      </c>
      <c r="C38" s="45">
        <v>1</v>
      </c>
      <c r="D38" s="27" t="s">
        <v>9</v>
      </c>
      <c r="E38" s="55"/>
      <c r="F38" s="34">
        <f t="shared" si="1"/>
        <v>0</v>
      </c>
    </row>
    <row r="39" spans="1:6" ht="15" customHeight="1" x14ac:dyDescent="0.25">
      <c r="A39" s="25"/>
      <c r="B39" s="36" t="s">
        <v>277</v>
      </c>
      <c r="C39" s="45">
        <v>6</v>
      </c>
      <c r="D39" s="27" t="s">
        <v>9</v>
      </c>
      <c r="E39" s="55"/>
      <c r="F39" s="34">
        <f t="shared" si="1"/>
        <v>0</v>
      </c>
    </row>
    <row r="40" spans="1:6" ht="15" customHeight="1" x14ac:dyDescent="0.25">
      <c r="A40" s="25"/>
      <c r="B40" s="2" t="s">
        <v>231</v>
      </c>
      <c r="C40" s="45">
        <v>1</v>
      </c>
      <c r="D40" s="27" t="s">
        <v>9</v>
      </c>
      <c r="E40" s="55"/>
      <c r="F40" s="34">
        <f t="shared" si="1"/>
        <v>0</v>
      </c>
    </row>
    <row r="41" spans="1:6" ht="15" customHeight="1" x14ac:dyDescent="0.25">
      <c r="A41" s="25"/>
      <c r="B41" s="36" t="s">
        <v>281</v>
      </c>
      <c r="C41" s="45">
        <v>2</v>
      </c>
      <c r="D41" s="27" t="s">
        <v>9</v>
      </c>
      <c r="E41" s="55"/>
      <c r="F41" s="34">
        <f t="shared" si="1"/>
        <v>0</v>
      </c>
    </row>
    <row r="42" spans="1:6" x14ac:dyDescent="0.25">
      <c r="A42" s="25"/>
      <c r="B42" s="124" t="s">
        <v>163</v>
      </c>
      <c r="C42" s="45">
        <v>2</v>
      </c>
      <c r="D42" s="27" t="s">
        <v>9</v>
      </c>
      <c r="E42" s="55"/>
      <c r="F42" s="34">
        <f t="shared" si="1"/>
        <v>0</v>
      </c>
    </row>
    <row r="43" spans="1:6" ht="15" customHeight="1" x14ac:dyDescent="0.25">
      <c r="A43" s="25"/>
      <c r="B43" s="36" t="s">
        <v>280</v>
      </c>
      <c r="C43" s="45">
        <v>2</v>
      </c>
      <c r="D43" s="27" t="s">
        <v>9</v>
      </c>
      <c r="E43" s="55"/>
      <c r="F43" s="34">
        <f t="shared" si="1"/>
        <v>0</v>
      </c>
    </row>
    <row r="44" spans="1:6" ht="15" customHeight="1" x14ac:dyDescent="0.25">
      <c r="A44" s="25"/>
      <c r="B44" s="36" t="s">
        <v>282</v>
      </c>
      <c r="C44" s="45">
        <v>1</v>
      </c>
      <c r="D44" s="27" t="s">
        <v>9</v>
      </c>
      <c r="E44" s="55"/>
      <c r="F44" s="34">
        <f t="shared" si="1"/>
        <v>0</v>
      </c>
    </row>
    <row r="45" spans="1:6" ht="15" customHeight="1" x14ac:dyDescent="0.25">
      <c r="A45" s="25"/>
      <c r="B45" s="36" t="s">
        <v>164</v>
      </c>
      <c r="C45" s="45">
        <v>2</v>
      </c>
      <c r="D45" s="27" t="s">
        <v>9</v>
      </c>
      <c r="E45" s="55"/>
      <c r="F45" s="34">
        <f t="shared" si="1"/>
        <v>0</v>
      </c>
    </row>
    <row r="46" spans="1:6" ht="15" customHeight="1" x14ac:dyDescent="0.25">
      <c r="A46" s="25"/>
      <c r="B46" s="36" t="s">
        <v>156</v>
      </c>
      <c r="C46" s="45">
        <v>3</v>
      </c>
      <c r="D46" s="27" t="s">
        <v>9</v>
      </c>
      <c r="E46" s="55"/>
      <c r="F46" s="34">
        <f t="shared" si="1"/>
        <v>0</v>
      </c>
    </row>
    <row r="47" spans="1:6" ht="15" customHeight="1" x14ac:dyDescent="0.25">
      <c r="A47" s="25"/>
      <c r="B47" s="36"/>
      <c r="C47" s="45"/>
      <c r="D47" s="27"/>
      <c r="E47" s="55"/>
      <c r="F47" s="34" t="str">
        <f>IF(E47="","",C47*E47)</f>
        <v/>
      </c>
    </row>
    <row r="48" spans="1:6" x14ac:dyDescent="0.25">
      <c r="A48" s="176">
        <v>9.3000000000000007</v>
      </c>
      <c r="B48" s="250" t="s">
        <v>64</v>
      </c>
      <c r="C48" s="251"/>
      <c r="D48" s="251"/>
      <c r="E48" s="251"/>
      <c r="F48" s="32">
        <f>SUM(F50:F53)</f>
        <v>0</v>
      </c>
    </row>
    <row r="49" spans="1:6" x14ac:dyDescent="0.25">
      <c r="A49" s="197"/>
      <c r="B49" s="84" t="s">
        <v>32</v>
      </c>
      <c r="C49" s="177"/>
      <c r="D49" s="198"/>
      <c r="E49" s="178"/>
      <c r="F49" s="179"/>
    </row>
    <row r="50" spans="1:6" ht="38.25" x14ac:dyDescent="0.25">
      <c r="A50" s="25">
        <v>1</v>
      </c>
      <c r="B50" s="2" t="s">
        <v>157</v>
      </c>
      <c r="C50" s="45">
        <v>1</v>
      </c>
      <c r="D50" s="27" t="s">
        <v>24</v>
      </c>
      <c r="E50" s="55"/>
      <c r="F50" s="34">
        <f t="shared" ref="F50:F52" si="2">IF(E50="",IF(C50="","",C50*E50),C50*E50)</f>
        <v>0</v>
      </c>
    </row>
    <row r="51" spans="1:6" x14ac:dyDescent="0.25">
      <c r="A51" s="63">
        <v>2</v>
      </c>
      <c r="B51" s="14" t="s">
        <v>33</v>
      </c>
      <c r="C51" s="45"/>
      <c r="D51" s="16"/>
      <c r="E51" s="17"/>
      <c r="F51" s="34" t="str">
        <f t="shared" si="2"/>
        <v/>
      </c>
    </row>
    <row r="52" spans="1:6" ht="15" customHeight="1" x14ac:dyDescent="0.25">
      <c r="A52" s="25"/>
      <c r="B52" s="2" t="s">
        <v>230</v>
      </c>
      <c r="C52" s="45">
        <v>16</v>
      </c>
      <c r="D52" s="27" t="s">
        <v>9</v>
      </c>
      <c r="E52" s="55"/>
      <c r="F52" s="34">
        <f t="shared" si="2"/>
        <v>0</v>
      </c>
    </row>
    <row r="53" spans="1:6" ht="15" customHeight="1" x14ac:dyDescent="0.25">
      <c r="A53" s="25"/>
      <c r="B53" s="36"/>
      <c r="C53" s="45"/>
      <c r="D53" s="27"/>
      <c r="E53" s="55"/>
      <c r="F53" s="34" t="str">
        <f>IF(E53="","",C53*E53)</f>
        <v/>
      </c>
    </row>
    <row r="54" spans="1:6" x14ac:dyDescent="0.25">
      <c r="A54" s="145"/>
      <c r="B54" s="146"/>
      <c r="C54" s="146"/>
      <c r="D54" s="146"/>
      <c r="E54" s="146"/>
      <c r="F54" s="147" t="s">
        <v>188</v>
      </c>
    </row>
  </sheetData>
  <mergeCells count="4">
    <mergeCell ref="B2:E2"/>
    <mergeCell ref="B10:E10"/>
    <mergeCell ref="B31:E31"/>
    <mergeCell ref="B48:E48"/>
  </mergeCells>
  <pageMargins left="0.7" right="0.7" top="0.75" bottom="0.75" header="0.3" footer="0.3"/>
  <pageSetup paperSize="9" scale="85"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view="pageBreakPreview" topLeftCell="A43" zoomScale="85" zoomScaleNormal="85" zoomScaleSheetLayoutView="85" workbookViewId="0">
      <selection activeCell="B61" sqref="B60:B61"/>
    </sheetView>
  </sheetViews>
  <sheetFormatPr defaultRowHeight="15" x14ac:dyDescent="0.25"/>
  <cols>
    <col min="1" max="1" width="5.85546875" bestFit="1" customWidth="1"/>
    <col min="2" max="2" width="37" customWidth="1"/>
    <col min="3" max="3" width="5.42578125" bestFit="1" customWidth="1"/>
    <col min="4" max="4" width="6.5703125" bestFit="1" customWidth="1"/>
    <col min="5" max="5" width="15.28515625" customWidth="1"/>
    <col min="6" max="6" width="13.28515625" customWidth="1"/>
  </cols>
  <sheetData>
    <row r="1" spans="1:6" x14ac:dyDescent="0.25">
      <c r="A1" s="5" t="s">
        <v>10</v>
      </c>
      <c r="B1" s="6" t="s">
        <v>11</v>
      </c>
      <c r="C1" s="7" t="s">
        <v>12</v>
      </c>
      <c r="D1" s="8" t="s">
        <v>13</v>
      </c>
      <c r="E1" s="6" t="s">
        <v>139</v>
      </c>
      <c r="F1" s="9" t="s">
        <v>14</v>
      </c>
    </row>
    <row r="2" spans="1:6" ht="15.75" customHeight="1" thickBot="1" x14ac:dyDescent="0.3">
      <c r="A2" s="10">
        <v>10</v>
      </c>
      <c r="B2" s="239" t="s">
        <v>43</v>
      </c>
      <c r="C2" s="240"/>
      <c r="D2" s="240"/>
      <c r="E2" s="240"/>
      <c r="F2" s="59"/>
    </row>
    <row r="3" spans="1:6" ht="15.75" thickTop="1" x14ac:dyDescent="0.25">
      <c r="A3" s="13"/>
      <c r="B3" s="14" t="s">
        <v>16</v>
      </c>
      <c r="C3" s="15"/>
      <c r="D3" s="16"/>
      <c r="E3" s="17"/>
      <c r="F3" s="18"/>
    </row>
    <row r="4" spans="1:6" s="44" customFormat="1" ht="63.75" x14ac:dyDescent="0.2">
      <c r="A4" s="25" t="s">
        <v>29</v>
      </c>
      <c r="B4" s="36" t="s">
        <v>42</v>
      </c>
      <c r="C4" s="39"/>
      <c r="D4" s="27"/>
      <c r="E4" s="47"/>
      <c r="F4" s="46"/>
    </row>
    <row r="5" spans="1:6" s="44" customFormat="1" ht="68.25" customHeight="1" x14ac:dyDescent="0.2">
      <c r="A5" s="25" t="s">
        <v>27</v>
      </c>
      <c r="B5" s="36" t="s">
        <v>41</v>
      </c>
      <c r="C5" s="39"/>
      <c r="D5" s="27"/>
      <c r="E5" s="47"/>
      <c r="F5" s="46"/>
    </row>
    <row r="6" spans="1:6" s="44" customFormat="1" ht="38.25" customHeight="1" x14ac:dyDescent="0.2">
      <c r="A6" s="25" t="s">
        <v>40</v>
      </c>
      <c r="B6" s="36" t="s">
        <v>39</v>
      </c>
      <c r="C6" s="39"/>
      <c r="D6" s="27"/>
      <c r="E6" s="47"/>
      <c r="F6" s="46"/>
    </row>
    <row r="7" spans="1:6" s="44" customFormat="1" ht="76.5" customHeight="1" x14ac:dyDescent="0.2">
      <c r="A7" s="25" t="s">
        <v>40</v>
      </c>
      <c r="B7" s="36" t="s">
        <v>60</v>
      </c>
      <c r="C7" s="39"/>
      <c r="D7" s="27"/>
      <c r="E7" s="47"/>
      <c r="F7" s="46"/>
    </row>
    <row r="8" spans="1:6" s="44" customFormat="1" ht="51" x14ac:dyDescent="0.2">
      <c r="A8" s="25" t="s">
        <v>38</v>
      </c>
      <c r="B8" s="36" t="s">
        <v>37</v>
      </c>
      <c r="C8" s="39"/>
      <c r="D8" s="27"/>
      <c r="E8" s="47"/>
      <c r="F8" s="46"/>
    </row>
    <row r="9" spans="1:6" s="50" customFormat="1" ht="25.5" x14ac:dyDescent="0.2">
      <c r="A9" s="25" t="s">
        <v>26</v>
      </c>
      <c r="B9" s="36" t="s">
        <v>25</v>
      </c>
      <c r="C9" s="15"/>
      <c r="D9" s="16"/>
      <c r="E9" s="17"/>
      <c r="F9" s="18"/>
    </row>
    <row r="10" spans="1:6" s="50" customFormat="1" ht="12.75" x14ac:dyDescent="0.2">
      <c r="A10" s="149"/>
      <c r="B10" s="157"/>
      <c r="C10" s="161"/>
      <c r="D10" s="162"/>
      <c r="E10" s="163"/>
      <c r="F10" s="164"/>
    </row>
    <row r="11" spans="1:6" x14ac:dyDescent="0.25">
      <c r="A11" s="176">
        <v>10.1</v>
      </c>
      <c r="B11" s="250" t="s">
        <v>63</v>
      </c>
      <c r="C11" s="251"/>
      <c r="D11" s="251"/>
      <c r="E11" s="251"/>
      <c r="F11" s="32">
        <f>SUM(F14:F35)</f>
        <v>0</v>
      </c>
    </row>
    <row r="12" spans="1:6" x14ac:dyDescent="0.25">
      <c r="A12" s="170"/>
      <c r="B12" s="171"/>
      <c r="C12" s="172"/>
      <c r="D12" s="173"/>
      <c r="E12" s="174"/>
      <c r="F12" s="175"/>
    </row>
    <row r="13" spans="1:6" x14ac:dyDescent="0.25">
      <c r="A13" s="60">
        <v>1</v>
      </c>
      <c r="B13" s="14" t="s">
        <v>36</v>
      </c>
      <c r="C13" s="45"/>
      <c r="D13" s="27"/>
      <c r="E13" s="55"/>
      <c r="F13" s="34" t="str">
        <f t="shared" ref="F13:F34" si="0">IF(E13="",IF(C13="","",C13*E13),C13*E13)</f>
        <v/>
      </c>
    </row>
    <row r="14" spans="1:6" x14ac:dyDescent="0.25">
      <c r="A14" s="25"/>
      <c r="B14" s="36" t="s">
        <v>193</v>
      </c>
      <c r="C14" s="209">
        <v>3</v>
      </c>
      <c r="D14" s="210" t="s">
        <v>24</v>
      </c>
      <c r="E14" s="211"/>
      <c r="F14" s="34">
        <f t="shared" si="0"/>
        <v>0</v>
      </c>
    </row>
    <row r="15" spans="1:6" ht="76.5" x14ac:dyDescent="0.25">
      <c r="A15" s="25"/>
      <c r="B15" s="36" t="s">
        <v>44</v>
      </c>
      <c r="C15" s="209">
        <v>1</v>
      </c>
      <c r="D15" s="210" t="s">
        <v>24</v>
      </c>
      <c r="E15" s="211"/>
      <c r="F15" s="34">
        <f t="shared" si="0"/>
        <v>0</v>
      </c>
    </row>
    <row r="16" spans="1:6" x14ac:dyDescent="0.25">
      <c r="A16" s="25"/>
      <c r="B16" s="36" t="s">
        <v>192</v>
      </c>
      <c r="C16" s="45">
        <v>1</v>
      </c>
      <c r="D16" s="27" t="s">
        <v>24</v>
      </c>
      <c r="E16" s="55"/>
      <c r="F16" s="34">
        <f t="shared" si="0"/>
        <v>0</v>
      </c>
    </row>
    <row r="17" spans="1:6" x14ac:dyDescent="0.25">
      <c r="A17" s="35"/>
      <c r="B17" s="36"/>
      <c r="C17" s="45"/>
      <c r="D17" s="27"/>
      <c r="E17" s="55"/>
      <c r="F17" s="34" t="str">
        <f t="shared" si="0"/>
        <v/>
      </c>
    </row>
    <row r="18" spans="1:6" ht="63.75" customHeight="1" x14ac:dyDescent="0.25">
      <c r="A18" s="60">
        <v>2</v>
      </c>
      <c r="B18" s="14" t="s">
        <v>35</v>
      </c>
      <c r="C18" s="45"/>
      <c r="D18" s="27"/>
      <c r="E18" s="55"/>
      <c r="F18" s="34" t="str">
        <f t="shared" si="0"/>
        <v/>
      </c>
    </row>
    <row r="19" spans="1:6" ht="15" customHeight="1" x14ac:dyDescent="0.25">
      <c r="A19" s="25"/>
      <c r="B19" s="2" t="s">
        <v>232</v>
      </c>
      <c r="C19" s="45">
        <v>31</v>
      </c>
      <c r="D19" s="27" t="s">
        <v>9</v>
      </c>
      <c r="E19" s="55"/>
      <c r="F19" s="34">
        <f t="shared" si="0"/>
        <v>0</v>
      </c>
    </row>
    <row r="20" spans="1:6" ht="15" customHeight="1" x14ac:dyDescent="0.25">
      <c r="A20" s="25"/>
      <c r="B20" s="2" t="s">
        <v>172</v>
      </c>
      <c r="C20" s="45">
        <v>2</v>
      </c>
      <c r="D20" s="27" t="s">
        <v>9</v>
      </c>
      <c r="E20" s="55"/>
      <c r="F20" s="34">
        <f t="shared" si="0"/>
        <v>0</v>
      </c>
    </row>
    <row r="21" spans="1:6" ht="15" customHeight="1" x14ac:dyDescent="0.25">
      <c r="A21" s="25"/>
      <c r="B21" s="2" t="s">
        <v>283</v>
      </c>
      <c r="C21" s="45">
        <v>1</v>
      </c>
      <c r="D21" s="27" t="s">
        <v>9</v>
      </c>
      <c r="E21" s="55"/>
      <c r="F21" s="34">
        <f t="shared" si="0"/>
        <v>0</v>
      </c>
    </row>
    <row r="22" spans="1:6" ht="15" customHeight="1" x14ac:dyDescent="0.25">
      <c r="A22" s="25"/>
      <c r="B22" s="2" t="s">
        <v>227</v>
      </c>
      <c r="C22" s="45">
        <v>9</v>
      </c>
      <c r="D22" s="27" t="s">
        <v>9</v>
      </c>
      <c r="E22" s="55"/>
      <c r="F22" s="34">
        <f t="shared" si="0"/>
        <v>0</v>
      </c>
    </row>
    <row r="23" spans="1:6" ht="15" customHeight="1" x14ac:dyDescent="0.25">
      <c r="A23" s="25"/>
      <c r="B23" s="2" t="s">
        <v>233</v>
      </c>
      <c r="C23" s="45">
        <v>21</v>
      </c>
      <c r="D23" s="27" t="s">
        <v>9</v>
      </c>
      <c r="E23" s="55"/>
      <c r="F23" s="34">
        <f t="shared" si="0"/>
        <v>0</v>
      </c>
    </row>
    <row r="24" spans="1:6" ht="15" customHeight="1" x14ac:dyDescent="0.25">
      <c r="A24" s="25"/>
      <c r="B24" s="2" t="s">
        <v>228</v>
      </c>
      <c r="C24" s="45">
        <v>2</v>
      </c>
      <c r="D24" s="27" t="s">
        <v>9</v>
      </c>
      <c r="E24" s="55"/>
      <c r="F24" s="34">
        <f t="shared" si="0"/>
        <v>0</v>
      </c>
    </row>
    <row r="25" spans="1:6" ht="15" customHeight="1" x14ac:dyDescent="0.25">
      <c r="A25" s="25"/>
      <c r="B25" s="2" t="s">
        <v>173</v>
      </c>
      <c r="C25" s="45">
        <v>21</v>
      </c>
      <c r="D25" s="27" t="s">
        <v>9</v>
      </c>
      <c r="E25" s="55"/>
      <c r="F25" s="34">
        <f t="shared" si="0"/>
        <v>0</v>
      </c>
    </row>
    <row r="26" spans="1:6" ht="15" customHeight="1" x14ac:dyDescent="0.25">
      <c r="A26" s="25"/>
      <c r="B26" s="2" t="s">
        <v>174</v>
      </c>
      <c r="C26" s="45">
        <v>4</v>
      </c>
      <c r="D26" s="27" t="s">
        <v>9</v>
      </c>
      <c r="E26" s="55"/>
      <c r="F26" s="34">
        <f t="shared" si="0"/>
        <v>0</v>
      </c>
    </row>
    <row r="27" spans="1:6" ht="15" customHeight="1" x14ac:dyDescent="0.25">
      <c r="A27" s="25"/>
      <c r="B27" s="2" t="s">
        <v>175</v>
      </c>
      <c r="C27" s="45">
        <v>5</v>
      </c>
      <c r="D27" s="27" t="s">
        <v>9</v>
      </c>
      <c r="E27" s="55"/>
      <c r="F27" s="34">
        <f t="shared" si="0"/>
        <v>0</v>
      </c>
    </row>
    <row r="28" spans="1:6" ht="15" customHeight="1" x14ac:dyDescent="0.25">
      <c r="A28" s="25"/>
      <c r="B28" s="2" t="s">
        <v>234</v>
      </c>
      <c r="C28" s="45">
        <v>3</v>
      </c>
      <c r="D28" s="27" t="s">
        <v>9</v>
      </c>
      <c r="E28" s="55"/>
      <c r="F28" s="34">
        <f t="shared" si="0"/>
        <v>0</v>
      </c>
    </row>
    <row r="29" spans="1:6" ht="15" customHeight="1" x14ac:dyDescent="0.25">
      <c r="A29" s="25"/>
      <c r="B29" s="2" t="s">
        <v>284</v>
      </c>
      <c r="C29" s="45">
        <v>21</v>
      </c>
      <c r="D29" s="27" t="s">
        <v>9</v>
      </c>
      <c r="E29" s="55"/>
      <c r="F29" s="34">
        <f t="shared" si="0"/>
        <v>0</v>
      </c>
    </row>
    <row r="30" spans="1:6" ht="15" customHeight="1" x14ac:dyDescent="0.25">
      <c r="A30" s="25"/>
      <c r="B30" s="2" t="s">
        <v>165</v>
      </c>
      <c r="C30" s="45">
        <v>11</v>
      </c>
      <c r="D30" s="27" t="s">
        <v>9</v>
      </c>
      <c r="E30" s="55"/>
      <c r="F30" s="34">
        <f t="shared" si="0"/>
        <v>0</v>
      </c>
    </row>
    <row r="31" spans="1:6" ht="15" customHeight="1" x14ac:dyDescent="0.25">
      <c r="A31" s="25"/>
      <c r="B31" s="2" t="s">
        <v>166</v>
      </c>
      <c r="C31" s="45">
        <v>20</v>
      </c>
      <c r="D31" s="27" t="s">
        <v>9</v>
      </c>
      <c r="E31" s="55"/>
      <c r="F31" s="34">
        <f t="shared" si="0"/>
        <v>0</v>
      </c>
    </row>
    <row r="32" spans="1:6" ht="15" customHeight="1" x14ac:dyDescent="0.25">
      <c r="A32" s="25"/>
      <c r="B32" s="2" t="s">
        <v>168</v>
      </c>
      <c r="C32" s="45">
        <v>3</v>
      </c>
      <c r="D32" s="27" t="s">
        <v>9</v>
      </c>
      <c r="E32" s="55"/>
      <c r="F32" s="34">
        <f t="shared" si="0"/>
        <v>0</v>
      </c>
    </row>
    <row r="33" spans="1:6" ht="15" customHeight="1" x14ac:dyDescent="0.25">
      <c r="A33" s="25"/>
      <c r="B33" s="2" t="s">
        <v>170</v>
      </c>
      <c r="C33" s="45">
        <v>11</v>
      </c>
      <c r="D33" s="27" t="s">
        <v>9</v>
      </c>
      <c r="E33" s="55"/>
      <c r="F33" s="34">
        <f t="shared" si="0"/>
        <v>0</v>
      </c>
    </row>
    <row r="34" spans="1:6" ht="15" customHeight="1" x14ac:dyDescent="0.25">
      <c r="A34" s="25"/>
      <c r="B34" s="2" t="s">
        <v>285</v>
      </c>
      <c r="C34" s="45">
        <v>4</v>
      </c>
      <c r="D34" s="27" t="s">
        <v>9</v>
      </c>
      <c r="E34" s="55"/>
      <c r="F34" s="34">
        <f t="shared" si="0"/>
        <v>0</v>
      </c>
    </row>
    <row r="35" spans="1:6" x14ac:dyDescent="0.25">
      <c r="A35" s="30"/>
      <c r="B35" s="14"/>
      <c r="C35" s="31"/>
      <c r="D35" s="27"/>
      <c r="E35" s="17"/>
      <c r="F35" s="34" t="str">
        <f>IF(E35="","",C35*E35)</f>
        <v/>
      </c>
    </row>
    <row r="36" spans="1:6" x14ac:dyDescent="0.25">
      <c r="A36" s="176">
        <v>10.1</v>
      </c>
      <c r="B36" s="250" t="s">
        <v>256</v>
      </c>
      <c r="C36" s="251"/>
      <c r="D36" s="251"/>
      <c r="E36" s="251"/>
      <c r="F36" s="32">
        <f>SUM(F39:F70)</f>
        <v>0</v>
      </c>
    </row>
    <row r="37" spans="1:6" x14ac:dyDescent="0.25">
      <c r="A37" s="170"/>
      <c r="B37" s="171"/>
      <c r="C37" s="172"/>
      <c r="D37" s="173"/>
      <c r="E37" s="174"/>
      <c r="F37" s="175"/>
    </row>
    <row r="38" spans="1:6" x14ac:dyDescent="0.25">
      <c r="A38" s="60">
        <v>1</v>
      </c>
      <c r="B38" s="14" t="s">
        <v>36</v>
      </c>
      <c r="C38" s="45"/>
      <c r="D38" s="27"/>
      <c r="E38" s="55"/>
      <c r="F38" s="34" t="str">
        <f t="shared" ref="F38:F68" si="1">IF(E38="",IF(C38="","",C38*E38),C38*E38)</f>
        <v/>
      </c>
    </row>
    <row r="39" spans="1:6" x14ac:dyDescent="0.25">
      <c r="A39" s="25"/>
      <c r="B39" s="36" t="s">
        <v>193</v>
      </c>
      <c r="C39" s="209">
        <v>1</v>
      </c>
      <c r="D39" s="210" t="s">
        <v>24</v>
      </c>
      <c r="E39" s="211"/>
      <c r="F39" s="34">
        <f t="shared" si="1"/>
        <v>0</v>
      </c>
    </row>
    <row r="40" spans="1:6" ht="76.5" x14ac:dyDescent="0.25">
      <c r="A40" s="25"/>
      <c r="B40" s="36" t="s">
        <v>44</v>
      </c>
      <c r="C40" s="209">
        <v>1</v>
      </c>
      <c r="D40" s="210" t="s">
        <v>24</v>
      </c>
      <c r="E40" s="211"/>
      <c r="F40" s="34">
        <f t="shared" si="1"/>
        <v>0</v>
      </c>
    </row>
    <row r="41" spans="1:6" x14ac:dyDescent="0.25">
      <c r="A41" s="25"/>
      <c r="B41" s="36" t="s">
        <v>192</v>
      </c>
      <c r="C41" s="45">
        <v>1</v>
      </c>
      <c r="D41" s="27" t="s">
        <v>24</v>
      </c>
      <c r="E41" s="55"/>
      <c r="F41" s="34">
        <f t="shared" si="1"/>
        <v>0</v>
      </c>
    </row>
    <row r="42" spans="1:6" x14ac:dyDescent="0.25">
      <c r="A42" s="35"/>
      <c r="B42" s="36"/>
      <c r="C42" s="45"/>
      <c r="D42" s="27"/>
      <c r="E42" s="55"/>
      <c r="F42" s="34" t="str">
        <f t="shared" si="1"/>
        <v/>
      </c>
    </row>
    <row r="43" spans="1:6" ht="63.75" customHeight="1" x14ac:dyDescent="0.25">
      <c r="A43" s="60">
        <v>2</v>
      </c>
      <c r="B43" s="14" t="s">
        <v>35</v>
      </c>
      <c r="C43" s="45"/>
      <c r="D43" s="27"/>
      <c r="E43" s="55"/>
      <c r="F43" s="34" t="str">
        <f t="shared" si="1"/>
        <v/>
      </c>
    </row>
    <row r="44" spans="1:6" ht="15" customHeight="1" x14ac:dyDescent="0.25">
      <c r="A44" s="25"/>
      <c r="B44" s="2" t="s">
        <v>286</v>
      </c>
      <c r="C44" s="45">
        <v>6</v>
      </c>
      <c r="D44" s="27" t="s">
        <v>9</v>
      </c>
      <c r="E44" s="55"/>
      <c r="F44" s="34">
        <f t="shared" si="1"/>
        <v>0</v>
      </c>
    </row>
    <row r="45" spans="1:6" ht="15" customHeight="1" x14ac:dyDescent="0.25">
      <c r="A45" s="25"/>
      <c r="B45" s="2" t="s">
        <v>232</v>
      </c>
      <c r="C45" s="45">
        <v>6</v>
      </c>
      <c r="D45" s="27" t="s">
        <v>9</v>
      </c>
      <c r="E45" s="55"/>
      <c r="F45" s="34">
        <f t="shared" si="1"/>
        <v>0</v>
      </c>
    </row>
    <row r="46" spans="1:6" ht="15" customHeight="1" x14ac:dyDescent="0.25">
      <c r="A46" s="25"/>
      <c r="B46" s="2" t="s">
        <v>172</v>
      </c>
      <c r="C46" s="45">
        <v>3</v>
      </c>
      <c r="D46" s="27" t="s">
        <v>9</v>
      </c>
      <c r="E46" s="55"/>
      <c r="F46" s="34">
        <f t="shared" si="1"/>
        <v>0</v>
      </c>
    </row>
    <row r="47" spans="1:6" ht="15" customHeight="1" x14ac:dyDescent="0.25">
      <c r="A47" s="25"/>
      <c r="B47" s="2" t="s">
        <v>287</v>
      </c>
      <c r="C47" s="45">
        <v>16</v>
      </c>
      <c r="D47" s="27" t="s">
        <v>9</v>
      </c>
      <c r="E47" s="55"/>
      <c r="F47" s="34">
        <f t="shared" si="1"/>
        <v>0</v>
      </c>
    </row>
    <row r="48" spans="1:6" ht="15" customHeight="1" x14ac:dyDescent="0.25">
      <c r="A48" s="25"/>
      <c r="B48" s="2" t="s">
        <v>283</v>
      </c>
      <c r="C48" s="45">
        <v>5</v>
      </c>
      <c r="D48" s="27" t="s">
        <v>9</v>
      </c>
      <c r="E48" s="55"/>
      <c r="F48" s="34">
        <f t="shared" si="1"/>
        <v>0</v>
      </c>
    </row>
    <row r="49" spans="1:6" ht="15" customHeight="1" x14ac:dyDescent="0.25">
      <c r="A49" s="25"/>
      <c r="B49" s="2" t="s">
        <v>288</v>
      </c>
      <c r="C49" s="45">
        <v>10</v>
      </c>
      <c r="D49" s="27" t="s">
        <v>9</v>
      </c>
      <c r="E49" s="55"/>
      <c r="F49" s="34">
        <f t="shared" si="1"/>
        <v>0</v>
      </c>
    </row>
    <row r="50" spans="1:6" ht="15" customHeight="1" x14ac:dyDescent="0.25">
      <c r="A50" s="25"/>
      <c r="B50" s="2" t="s">
        <v>227</v>
      </c>
      <c r="C50" s="45">
        <v>1</v>
      </c>
      <c r="D50" s="27" t="s">
        <v>9</v>
      </c>
      <c r="E50" s="55"/>
      <c r="F50" s="34">
        <f t="shared" si="1"/>
        <v>0</v>
      </c>
    </row>
    <row r="51" spans="1:6" ht="15" customHeight="1" x14ac:dyDescent="0.25">
      <c r="A51" s="25"/>
      <c r="B51" s="2" t="s">
        <v>289</v>
      </c>
      <c r="C51" s="45">
        <v>12</v>
      </c>
      <c r="D51" s="27" t="s">
        <v>9</v>
      </c>
      <c r="E51" s="55"/>
      <c r="F51" s="34">
        <f t="shared" si="1"/>
        <v>0</v>
      </c>
    </row>
    <row r="52" spans="1:6" ht="15" customHeight="1" x14ac:dyDescent="0.25">
      <c r="A52" s="25"/>
      <c r="B52" s="2" t="s">
        <v>290</v>
      </c>
      <c r="C52" s="45">
        <v>1</v>
      </c>
      <c r="D52" s="27" t="s">
        <v>9</v>
      </c>
      <c r="E52" s="55"/>
      <c r="F52" s="34">
        <f t="shared" si="1"/>
        <v>0</v>
      </c>
    </row>
    <row r="53" spans="1:6" ht="15" customHeight="1" x14ac:dyDescent="0.25">
      <c r="A53" s="25"/>
      <c r="B53" s="2" t="s">
        <v>291</v>
      </c>
      <c r="C53" s="45">
        <v>2</v>
      </c>
      <c r="D53" s="27" t="s">
        <v>9</v>
      </c>
      <c r="E53" s="55"/>
      <c r="F53" s="34">
        <f t="shared" si="1"/>
        <v>0</v>
      </c>
    </row>
    <row r="54" spans="1:6" ht="15" customHeight="1" x14ac:dyDescent="0.25">
      <c r="A54" s="25"/>
      <c r="B54" s="2" t="s">
        <v>228</v>
      </c>
      <c r="C54" s="45">
        <v>2</v>
      </c>
      <c r="D54" s="27" t="s">
        <v>9</v>
      </c>
      <c r="E54" s="55"/>
      <c r="F54" s="34">
        <f t="shared" si="1"/>
        <v>0</v>
      </c>
    </row>
    <row r="55" spans="1:6" ht="15" customHeight="1" x14ac:dyDescent="0.25">
      <c r="A55" s="25"/>
      <c r="B55" s="2" t="s">
        <v>173</v>
      </c>
      <c r="C55" s="45">
        <v>1</v>
      </c>
      <c r="D55" s="27" t="s">
        <v>9</v>
      </c>
      <c r="E55" s="55"/>
      <c r="F55" s="34">
        <f t="shared" si="1"/>
        <v>0</v>
      </c>
    </row>
    <row r="56" spans="1:6" ht="15" customHeight="1" x14ac:dyDescent="0.25">
      <c r="A56" s="25"/>
      <c r="B56" s="2" t="s">
        <v>174</v>
      </c>
      <c r="C56" s="45">
        <v>4</v>
      </c>
      <c r="D56" s="27" t="s">
        <v>9</v>
      </c>
      <c r="E56" s="55"/>
      <c r="F56" s="34">
        <f t="shared" si="1"/>
        <v>0</v>
      </c>
    </row>
    <row r="57" spans="1:6" ht="15" customHeight="1" x14ac:dyDescent="0.25">
      <c r="A57" s="25"/>
      <c r="B57" s="2" t="s">
        <v>175</v>
      </c>
      <c r="C57" s="45">
        <v>3</v>
      </c>
      <c r="D57" s="27" t="s">
        <v>9</v>
      </c>
      <c r="E57" s="55"/>
      <c r="F57" s="34">
        <f t="shared" si="1"/>
        <v>0</v>
      </c>
    </row>
    <row r="58" spans="1:6" ht="15" customHeight="1" x14ac:dyDescent="0.25">
      <c r="A58" s="25"/>
      <c r="B58" s="2" t="s">
        <v>234</v>
      </c>
      <c r="C58" s="45">
        <v>8</v>
      </c>
      <c r="D58" s="27" t="s">
        <v>9</v>
      </c>
      <c r="E58" s="55"/>
      <c r="F58" s="34">
        <f t="shared" si="1"/>
        <v>0</v>
      </c>
    </row>
    <row r="59" spans="1:6" ht="15" customHeight="1" x14ac:dyDescent="0.25">
      <c r="A59" s="25"/>
      <c r="B59" s="2" t="s">
        <v>284</v>
      </c>
      <c r="C59" s="45">
        <v>3</v>
      </c>
      <c r="D59" s="27" t="s">
        <v>9</v>
      </c>
      <c r="E59" s="55"/>
      <c r="F59" s="34">
        <f t="shared" si="1"/>
        <v>0</v>
      </c>
    </row>
    <row r="60" spans="1:6" ht="15" customHeight="1" x14ac:dyDescent="0.25">
      <c r="A60" s="25"/>
      <c r="B60" s="2" t="s">
        <v>165</v>
      </c>
      <c r="C60" s="45">
        <v>1</v>
      </c>
      <c r="D60" s="27" t="s">
        <v>9</v>
      </c>
      <c r="E60" s="55"/>
      <c r="F60" s="34">
        <f t="shared" si="1"/>
        <v>0</v>
      </c>
    </row>
    <row r="61" spans="1:6" ht="15" customHeight="1" x14ac:dyDescent="0.25">
      <c r="A61" s="25"/>
      <c r="B61" s="2" t="s">
        <v>292</v>
      </c>
      <c r="C61" s="45">
        <v>6</v>
      </c>
      <c r="D61" s="27" t="s">
        <v>9</v>
      </c>
      <c r="E61" s="55"/>
      <c r="F61" s="34">
        <f t="shared" si="1"/>
        <v>0</v>
      </c>
    </row>
    <row r="62" spans="1:6" ht="15" customHeight="1" x14ac:dyDescent="0.25">
      <c r="A62" s="25"/>
      <c r="B62" s="2" t="s">
        <v>166</v>
      </c>
      <c r="C62" s="45">
        <v>19</v>
      </c>
      <c r="D62" s="27" t="s">
        <v>9</v>
      </c>
      <c r="E62" s="55"/>
      <c r="F62" s="34">
        <f t="shared" si="1"/>
        <v>0</v>
      </c>
    </row>
    <row r="63" spans="1:6" ht="15" customHeight="1" x14ac:dyDescent="0.25">
      <c r="A63" s="25"/>
      <c r="B63" s="2" t="s">
        <v>235</v>
      </c>
      <c r="C63" s="45">
        <v>1</v>
      </c>
      <c r="D63" s="27" t="s">
        <v>9</v>
      </c>
      <c r="E63" s="55"/>
      <c r="F63" s="34">
        <f t="shared" si="1"/>
        <v>0</v>
      </c>
    </row>
    <row r="64" spans="1:6" ht="15" customHeight="1" x14ac:dyDescent="0.25">
      <c r="A64" s="25"/>
      <c r="B64" s="2" t="s">
        <v>167</v>
      </c>
      <c r="C64" s="45">
        <v>4</v>
      </c>
      <c r="D64" s="27" t="s">
        <v>9</v>
      </c>
      <c r="E64" s="55"/>
      <c r="F64" s="34">
        <f t="shared" si="1"/>
        <v>0</v>
      </c>
    </row>
    <row r="65" spans="1:6" ht="15" customHeight="1" x14ac:dyDescent="0.25">
      <c r="A65" s="25"/>
      <c r="B65" s="2" t="s">
        <v>168</v>
      </c>
      <c r="C65" s="45">
        <v>1</v>
      </c>
      <c r="D65" s="27" t="s">
        <v>9</v>
      </c>
      <c r="E65" s="55"/>
      <c r="F65" s="34">
        <f t="shared" si="1"/>
        <v>0</v>
      </c>
    </row>
    <row r="66" spans="1:6" ht="15" customHeight="1" x14ac:dyDescent="0.25">
      <c r="A66" s="25"/>
      <c r="B66" s="2" t="s">
        <v>169</v>
      </c>
      <c r="C66" s="45">
        <v>1</v>
      </c>
      <c r="D66" s="27" t="s">
        <v>9</v>
      </c>
      <c r="E66" s="55"/>
      <c r="F66" s="34">
        <f t="shared" si="1"/>
        <v>0</v>
      </c>
    </row>
    <row r="67" spans="1:6" ht="15" customHeight="1" x14ac:dyDescent="0.25">
      <c r="A67" s="25"/>
      <c r="B67" s="2" t="s">
        <v>302</v>
      </c>
      <c r="C67" s="45">
        <v>1</v>
      </c>
      <c r="D67" s="27" t="s">
        <v>9</v>
      </c>
      <c r="E67" s="55"/>
      <c r="F67" s="34"/>
    </row>
    <row r="68" spans="1:6" ht="15" customHeight="1" x14ac:dyDescent="0.25">
      <c r="A68" s="25"/>
      <c r="B68" s="2" t="s">
        <v>171</v>
      </c>
      <c r="C68" s="45">
        <v>1</v>
      </c>
      <c r="D68" s="27" t="s">
        <v>9</v>
      </c>
      <c r="E68" s="55"/>
      <c r="F68" s="34">
        <f t="shared" si="1"/>
        <v>0</v>
      </c>
    </row>
    <row r="69" spans="1:6" ht="15" customHeight="1" x14ac:dyDescent="0.25">
      <c r="A69" s="25"/>
      <c r="B69" s="2"/>
      <c r="C69" s="45"/>
      <c r="D69" s="27"/>
      <c r="E69" s="55"/>
      <c r="F69" s="34"/>
    </row>
    <row r="70" spans="1:6" x14ac:dyDescent="0.25">
      <c r="A70" s="30"/>
      <c r="B70" s="14"/>
      <c r="C70" s="31"/>
      <c r="D70" s="27"/>
      <c r="E70" s="17"/>
      <c r="F70" s="34" t="str">
        <f>IF(E70="","",C70*E70)</f>
        <v/>
      </c>
    </row>
    <row r="71" spans="1:6" x14ac:dyDescent="0.25">
      <c r="A71" s="145"/>
      <c r="B71" s="146"/>
      <c r="C71" s="146"/>
      <c r="D71" s="146"/>
      <c r="E71" s="146"/>
      <c r="F71" s="147" t="s">
        <v>298</v>
      </c>
    </row>
  </sheetData>
  <mergeCells count="3">
    <mergeCell ref="B2:E2"/>
    <mergeCell ref="B11:E11"/>
    <mergeCell ref="B36:E36"/>
  </mergeCells>
  <pageMargins left="0.7" right="0.7" top="0.75" bottom="0.75" header="0.3" footer="0.3"/>
  <pageSetup paperSize="9" scale="73" orientation="portrait" r:id="rId1"/>
  <headerFooter>
    <oddHeader>&amp;L&amp;A</oddHeader>
    <oddFooter>&amp;R&amp;P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view="pageBreakPreview" zoomScale="85" zoomScaleNormal="85" zoomScaleSheetLayoutView="85" workbookViewId="0">
      <selection activeCell="A10" sqref="A10:XFD10"/>
    </sheetView>
  </sheetViews>
  <sheetFormatPr defaultRowHeight="15" x14ac:dyDescent="0.25"/>
  <cols>
    <col min="1" max="1" width="5.85546875" bestFit="1" customWidth="1"/>
    <col min="2" max="2" width="37" customWidth="1"/>
    <col min="3" max="3" width="5.5703125" customWidth="1"/>
    <col min="4" max="4" width="6.42578125" customWidth="1"/>
    <col min="5" max="5" width="15.28515625" customWidth="1"/>
    <col min="6" max="6" width="17.7109375" customWidth="1"/>
    <col min="14" max="16" width="13.28515625" bestFit="1" customWidth="1"/>
    <col min="17" max="17" width="15.28515625" bestFit="1" customWidth="1"/>
  </cols>
  <sheetData>
    <row r="1" spans="1:16" x14ac:dyDescent="0.25">
      <c r="A1" s="5" t="s">
        <v>10</v>
      </c>
      <c r="B1" s="6" t="s">
        <v>11</v>
      </c>
      <c r="C1" s="7" t="s">
        <v>12</v>
      </c>
      <c r="D1" s="8" t="s">
        <v>13</v>
      </c>
      <c r="E1" s="6" t="s">
        <v>139</v>
      </c>
      <c r="F1" s="9" t="s">
        <v>14</v>
      </c>
    </row>
    <row r="2" spans="1:16" ht="15.75" customHeight="1" thickBot="1" x14ac:dyDescent="0.3">
      <c r="A2" s="10">
        <v>11</v>
      </c>
      <c r="B2" s="239" t="s">
        <v>120</v>
      </c>
      <c r="C2" s="240"/>
      <c r="D2" s="240"/>
      <c r="E2" s="240"/>
      <c r="F2" s="59"/>
    </row>
    <row r="3" spans="1:16" s="50" customFormat="1" ht="13.5" thickTop="1" x14ac:dyDescent="0.2">
      <c r="A3" s="19"/>
      <c r="B3" s="165"/>
      <c r="C3" s="166"/>
      <c r="D3" s="167"/>
      <c r="E3" s="168"/>
      <c r="F3" s="169"/>
    </row>
    <row r="4" spans="1:16" x14ac:dyDescent="0.25">
      <c r="A4" s="176">
        <v>11.1</v>
      </c>
      <c r="B4" s="250" t="s">
        <v>140</v>
      </c>
      <c r="C4" s="251"/>
      <c r="D4" s="251"/>
      <c r="E4" s="251"/>
      <c r="F4" s="32"/>
    </row>
    <row r="5" spans="1:16" x14ac:dyDescent="0.25">
      <c r="A5" s="170"/>
      <c r="B5" s="171"/>
      <c r="C5" s="172"/>
      <c r="D5" s="173"/>
      <c r="E5" s="174"/>
      <c r="F5" s="175"/>
    </row>
    <row r="6" spans="1:16" s="44" customFormat="1" ht="100.5" customHeight="1" x14ac:dyDescent="0.2">
      <c r="A6" s="149" t="s">
        <v>29</v>
      </c>
      <c r="B6" s="157" t="s">
        <v>141</v>
      </c>
      <c r="C6" s="181"/>
      <c r="D6" s="152"/>
      <c r="E6" s="182"/>
      <c r="F6" s="183"/>
    </row>
    <row r="7" spans="1:16" x14ac:dyDescent="0.25">
      <c r="A7" s="223">
        <v>11.2</v>
      </c>
      <c r="B7" s="255" t="s">
        <v>256</v>
      </c>
      <c r="C7" s="256"/>
      <c r="D7" s="256"/>
      <c r="E7" s="256"/>
      <c r="F7" s="180">
        <f>SUM(F9:F10)</f>
        <v>0</v>
      </c>
    </row>
    <row r="8" spans="1:16" x14ac:dyDescent="0.25">
      <c r="A8" s="25"/>
      <c r="C8" s="45"/>
      <c r="D8" s="27"/>
      <c r="E8" s="55"/>
    </row>
    <row r="9" spans="1:16" ht="26.25" x14ac:dyDescent="0.25">
      <c r="A9" s="25"/>
      <c r="B9" s="58" t="s">
        <v>293</v>
      </c>
      <c r="C9" s="45">
        <v>4</v>
      </c>
      <c r="D9" s="27" t="s">
        <v>24</v>
      </c>
      <c r="E9" s="55"/>
      <c r="F9" s="34">
        <f>IF(E9="",IF(C9="","",C9*E9),C9*E9)</f>
        <v>0</v>
      </c>
    </row>
    <row r="10" spans="1:16" x14ac:dyDescent="0.25">
      <c r="A10" s="25"/>
      <c r="B10" s="58"/>
      <c r="C10" s="45"/>
      <c r="D10" s="27"/>
      <c r="E10" s="55"/>
      <c r="F10" s="34" t="str">
        <f>IF(E10="","",C10*E10)</f>
        <v/>
      </c>
    </row>
    <row r="11" spans="1:16" x14ac:dyDescent="0.25">
      <c r="A11" s="30"/>
      <c r="B11" s="14"/>
      <c r="C11" s="31"/>
      <c r="D11" s="27"/>
      <c r="E11" s="17"/>
      <c r="F11" s="34" t="str">
        <f>IF(E11="","",C11*E11)</f>
        <v/>
      </c>
    </row>
    <row r="12" spans="1:16" x14ac:dyDescent="0.25">
      <c r="A12" s="145"/>
      <c r="B12" s="146"/>
      <c r="C12" s="146"/>
      <c r="D12" s="146"/>
      <c r="E12" s="146"/>
      <c r="F12" s="147" t="s">
        <v>189</v>
      </c>
    </row>
    <row r="16" spans="1:16" x14ac:dyDescent="0.25">
      <c r="P16" s="1"/>
    </row>
    <row r="22" spans="14:17" x14ac:dyDescent="0.25">
      <c r="Q22" s="3"/>
    </row>
    <row r="23" spans="14:17" x14ac:dyDescent="0.25">
      <c r="Q23" s="3"/>
    </row>
    <row r="24" spans="14:17" x14ac:dyDescent="0.25">
      <c r="P24" s="3"/>
    </row>
    <row r="25" spans="14:17" x14ac:dyDescent="0.25">
      <c r="N25" s="1"/>
      <c r="P25" s="3"/>
    </row>
    <row r="26" spans="14:17" x14ac:dyDescent="0.25">
      <c r="P26" s="3"/>
    </row>
    <row r="31" spans="14:17" x14ac:dyDescent="0.25">
      <c r="O31" s="1"/>
    </row>
  </sheetData>
  <mergeCells count="3">
    <mergeCell ref="B2:E2"/>
    <mergeCell ref="B4:E4"/>
    <mergeCell ref="B7:E7"/>
  </mergeCells>
  <pageMargins left="0.7" right="0.7" top="0.75" bottom="0.75" header="0.3" footer="0.3"/>
  <pageSetup paperSize="9" scale="85" fitToHeight="0" orientation="portrait" r:id="rId1"/>
  <headerFooter>
    <oddHeader>&amp;L&amp;A</oddHeader>
    <oddFooter>&amp;R&amp;P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topLeftCell="A19" zoomScale="85" zoomScaleNormal="100" zoomScaleSheetLayoutView="85" workbookViewId="0">
      <selection activeCell="E48" sqref="E48"/>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6" x14ac:dyDescent="0.25">
      <c r="A1" s="5" t="s">
        <v>10</v>
      </c>
      <c r="B1" s="6" t="s">
        <v>11</v>
      </c>
      <c r="C1" s="7" t="s">
        <v>12</v>
      </c>
      <c r="D1" s="8" t="s">
        <v>13</v>
      </c>
      <c r="E1" s="6" t="s">
        <v>122</v>
      </c>
      <c r="F1" s="9" t="s">
        <v>14</v>
      </c>
    </row>
    <row r="2" spans="1:6" ht="15.75" thickBot="1" x14ac:dyDescent="0.3">
      <c r="A2" s="10">
        <v>12</v>
      </c>
      <c r="B2" s="246" t="s">
        <v>195</v>
      </c>
      <c r="C2" s="247"/>
      <c r="D2" s="247"/>
      <c r="E2" s="247"/>
      <c r="F2" s="11">
        <f>+SUM(F4:F56)</f>
        <v>0</v>
      </c>
    </row>
    <row r="3" spans="1:6" ht="15.75" thickTop="1" x14ac:dyDescent="0.25">
      <c r="A3" s="170"/>
      <c r="B3" s="171"/>
      <c r="C3" s="172"/>
      <c r="D3" s="173"/>
      <c r="E3" s="174"/>
      <c r="F3" s="175"/>
    </row>
    <row r="4" spans="1:6" x14ac:dyDescent="0.25">
      <c r="A4" s="60">
        <v>1</v>
      </c>
      <c r="B4" s="14" t="s">
        <v>195</v>
      </c>
      <c r="C4" s="15"/>
      <c r="D4" s="16"/>
      <c r="E4" s="17"/>
      <c r="F4" s="34" t="str">
        <f t="shared" ref="F4:F56" si="0">IF(E4="","",C4*E4)</f>
        <v/>
      </c>
    </row>
    <row r="5" spans="1:6" x14ac:dyDescent="0.25">
      <c r="A5" s="60"/>
      <c r="B5" s="14"/>
      <c r="C5" s="15"/>
      <c r="D5" s="16"/>
      <c r="E5" s="17"/>
      <c r="F5" s="34" t="str">
        <f t="shared" si="0"/>
        <v/>
      </c>
    </row>
    <row r="6" spans="1:6" x14ac:dyDescent="0.25">
      <c r="A6" s="60"/>
      <c r="B6" s="14"/>
      <c r="C6" s="15"/>
      <c r="D6" s="16"/>
      <c r="E6" s="17"/>
      <c r="F6" s="34" t="str">
        <f t="shared" si="0"/>
        <v/>
      </c>
    </row>
    <row r="7" spans="1:6" x14ac:dyDescent="0.25">
      <c r="A7" s="60"/>
      <c r="B7" s="14"/>
      <c r="C7" s="15"/>
      <c r="D7" s="16"/>
      <c r="E7" s="17"/>
      <c r="F7" s="34" t="str">
        <f t="shared" si="0"/>
        <v/>
      </c>
    </row>
    <row r="8" spans="1:6" x14ac:dyDescent="0.25">
      <c r="A8" s="60"/>
      <c r="B8" s="14"/>
      <c r="C8" s="15"/>
      <c r="D8" s="16"/>
      <c r="E8" s="17"/>
      <c r="F8" s="34" t="str">
        <f t="shared" si="0"/>
        <v/>
      </c>
    </row>
    <row r="9" spans="1:6" x14ac:dyDescent="0.25">
      <c r="A9" s="60"/>
      <c r="B9" s="14"/>
      <c r="C9" s="15"/>
      <c r="D9" s="16"/>
      <c r="E9" s="17"/>
      <c r="F9" s="34" t="str">
        <f t="shared" si="0"/>
        <v/>
      </c>
    </row>
    <row r="10" spans="1:6" x14ac:dyDescent="0.25">
      <c r="A10" s="60"/>
      <c r="B10" s="14"/>
      <c r="C10" s="15"/>
      <c r="D10" s="16"/>
      <c r="E10" s="17"/>
      <c r="F10" s="34" t="str">
        <f t="shared" si="0"/>
        <v/>
      </c>
    </row>
    <row r="11" spans="1:6" x14ac:dyDescent="0.25">
      <c r="A11" s="60"/>
      <c r="B11" s="14"/>
      <c r="C11" s="15"/>
      <c r="D11" s="16"/>
      <c r="E11" s="17"/>
      <c r="F11" s="34" t="str">
        <f t="shared" si="0"/>
        <v/>
      </c>
    </row>
    <row r="12" spans="1:6" x14ac:dyDescent="0.25">
      <c r="A12" s="60"/>
      <c r="B12" s="14"/>
      <c r="C12" s="15"/>
      <c r="D12" s="16"/>
      <c r="E12" s="17"/>
      <c r="F12" s="34" t="str">
        <f t="shared" si="0"/>
        <v/>
      </c>
    </row>
    <row r="13" spans="1:6" x14ac:dyDescent="0.25">
      <c r="A13" s="60"/>
      <c r="B13" s="14"/>
      <c r="C13" s="15"/>
      <c r="D13" s="16"/>
      <c r="E13" s="17"/>
      <c r="F13" s="34" t="str">
        <f t="shared" si="0"/>
        <v/>
      </c>
    </row>
    <row r="14" spans="1:6" x14ac:dyDescent="0.25">
      <c r="A14" s="60"/>
      <c r="B14" s="14"/>
      <c r="C14" s="15"/>
      <c r="D14" s="16"/>
      <c r="E14" s="17"/>
      <c r="F14" s="34" t="str">
        <f t="shared" si="0"/>
        <v/>
      </c>
    </row>
    <row r="15" spans="1:6" x14ac:dyDescent="0.25">
      <c r="A15" s="60"/>
      <c r="B15" s="14"/>
      <c r="C15" s="15"/>
      <c r="D15" s="16"/>
      <c r="E15" s="17"/>
      <c r="F15" s="34" t="str">
        <f t="shared" si="0"/>
        <v/>
      </c>
    </row>
    <row r="16" spans="1:6" x14ac:dyDescent="0.25">
      <c r="A16" s="60"/>
      <c r="B16" s="14"/>
      <c r="C16" s="15"/>
      <c r="D16" s="16"/>
      <c r="E16" s="17"/>
      <c r="F16" s="34" t="str">
        <f t="shared" si="0"/>
        <v/>
      </c>
    </row>
    <row r="17" spans="1:6" x14ac:dyDescent="0.25">
      <c r="A17" s="60"/>
      <c r="B17" s="14"/>
      <c r="C17" s="15"/>
      <c r="D17" s="16"/>
      <c r="E17" s="17"/>
      <c r="F17" s="34" t="str">
        <f t="shared" si="0"/>
        <v/>
      </c>
    </row>
    <row r="18" spans="1:6" x14ac:dyDescent="0.25">
      <c r="A18" s="60"/>
      <c r="B18" s="14"/>
      <c r="C18" s="15"/>
      <c r="D18" s="16"/>
      <c r="E18" s="17"/>
      <c r="F18" s="34" t="str">
        <f t="shared" si="0"/>
        <v/>
      </c>
    </row>
    <row r="19" spans="1:6" x14ac:dyDescent="0.25">
      <c r="A19" s="60"/>
      <c r="B19" s="14"/>
      <c r="C19" s="15"/>
      <c r="D19" s="16"/>
      <c r="E19" s="17"/>
      <c r="F19" s="34" t="str">
        <f t="shared" si="0"/>
        <v/>
      </c>
    </row>
    <row r="20" spans="1:6" x14ac:dyDescent="0.25">
      <c r="A20" s="60"/>
      <c r="B20" s="14"/>
      <c r="C20" s="15"/>
      <c r="D20" s="16"/>
      <c r="E20" s="17"/>
      <c r="F20" s="34" t="str">
        <f t="shared" si="0"/>
        <v/>
      </c>
    </row>
    <row r="21" spans="1:6" x14ac:dyDescent="0.25">
      <c r="A21" s="60"/>
      <c r="B21" s="14"/>
      <c r="C21" s="15"/>
      <c r="D21" s="16"/>
      <c r="E21" s="17"/>
      <c r="F21" s="34" t="str">
        <f t="shared" si="0"/>
        <v/>
      </c>
    </row>
    <row r="22" spans="1:6" x14ac:dyDescent="0.25">
      <c r="A22" s="60"/>
      <c r="B22" s="14"/>
      <c r="C22" s="15"/>
      <c r="D22" s="16"/>
      <c r="E22" s="17"/>
      <c r="F22" s="34" t="str">
        <f t="shared" si="0"/>
        <v/>
      </c>
    </row>
    <row r="23" spans="1:6" x14ac:dyDescent="0.25">
      <c r="A23" s="60"/>
      <c r="B23" s="14"/>
      <c r="C23" s="15"/>
      <c r="D23" s="16"/>
      <c r="E23" s="17"/>
      <c r="F23" s="34" t="str">
        <f t="shared" si="0"/>
        <v/>
      </c>
    </row>
    <row r="24" spans="1:6" x14ac:dyDescent="0.25">
      <c r="A24" s="60"/>
      <c r="B24" s="14"/>
      <c r="C24" s="15"/>
      <c r="D24" s="16"/>
      <c r="E24" s="17"/>
      <c r="F24" s="34" t="str">
        <f t="shared" si="0"/>
        <v/>
      </c>
    </row>
    <row r="25" spans="1:6" x14ac:dyDescent="0.25">
      <c r="A25" s="60"/>
      <c r="B25" s="14"/>
      <c r="C25" s="15"/>
      <c r="D25" s="16"/>
      <c r="E25" s="17"/>
      <c r="F25" s="34" t="str">
        <f t="shared" si="0"/>
        <v/>
      </c>
    </row>
    <row r="26" spans="1:6" x14ac:dyDescent="0.25">
      <c r="A26" s="60"/>
      <c r="B26" s="14"/>
      <c r="C26" s="15"/>
      <c r="D26" s="16"/>
      <c r="E26" s="17"/>
      <c r="F26" s="34" t="str">
        <f t="shared" si="0"/>
        <v/>
      </c>
    </row>
    <row r="27" spans="1:6" x14ac:dyDescent="0.25">
      <c r="A27" s="60"/>
      <c r="B27" s="14"/>
      <c r="C27" s="15"/>
      <c r="D27" s="16"/>
      <c r="E27" s="17"/>
      <c r="F27" s="34" t="str">
        <f t="shared" si="0"/>
        <v/>
      </c>
    </row>
    <row r="28" spans="1:6" x14ac:dyDescent="0.25">
      <c r="A28" s="60"/>
      <c r="B28" s="14"/>
      <c r="C28" s="15"/>
      <c r="D28" s="16"/>
      <c r="E28" s="17"/>
      <c r="F28" s="34" t="str">
        <f t="shared" si="0"/>
        <v/>
      </c>
    </row>
    <row r="29" spans="1:6" x14ac:dyDescent="0.25">
      <c r="A29" s="60"/>
      <c r="B29" s="14"/>
      <c r="C29" s="15"/>
      <c r="D29" s="16"/>
      <c r="E29" s="17"/>
      <c r="F29" s="34" t="str">
        <f t="shared" si="0"/>
        <v/>
      </c>
    </row>
    <row r="30" spans="1:6" x14ac:dyDescent="0.25">
      <c r="A30" s="60"/>
      <c r="B30" s="14"/>
      <c r="C30" s="15"/>
      <c r="D30" s="16"/>
      <c r="E30" s="17"/>
      <c r="F30" s="34" t="str">
        <f t="shared" si="0"/>
        <v/>
      </c>
    </row>
    <row r="31" spans="1:6" x14ac:dyDescent="0.25">
      <c r="A31" s="60"/>
      <c r="B31" s="14"/>
      <c r="C31" s="15"/>
      <c r="D31" s="16"/>
      <c r="E31" s="17"/>
      <c r="F31" s="34" t="str">
        <f t="shared" si="0"/>
        <v/>
      </c>
    </row>
    <row r="32" spans="1:6" x14ac:dyDescent="0.25">
      <c r="A32" s="60"/>
      <c r="B32" s="14"/>
      <c r="C32" s="15"/>
      <c r="D32" s="16"/>
      <c r="E32" s="17"/>
      <c r="F32" s="34" t="str">
        <f t="shared" si="0"/>
        <v/>
      </c>
    </row>
    <row r="33" spans="1:6" x14ac:dyDescent="0.25">
      <c r="A33" s="60"/>
      <c r="B33" s="14"/>
      <c r="C33" s="15"/>
      <c r="D33" s="16"/>
      <c r="E33" s="17"/>
      <c r="F33" s="34" t="str">
        <f t="shared" si="0"/>
        <v/>
      </c>
    </row>
    <row r="34" spans="1:6" x14ac:dyDescent="0.25">
      <c r="A34" s="60"/>
      <c r="B34" s="14"/>
      <c r="C34" s="15"/>
      <c r="D34" s="16"/>
      <c r="E34" s="17"/>
      <c r="F34" s="34" t="str">
        <f t="shared" si="0"/>
        <v/>
      </c>
    </row>
    <row r="35" spans="1:6" x14ac:dyDescent="0.25">
      <c r="A35" s="60"/>
      <c r="B35" s="14"/>
      <c r="C35" s="15"/>
      <c r="D35" s="16"/>
      <c r="E35" s="17"/>
      <c r="F35" s="34" t="str">
        <f t="shared" si="0"/>
        <v/>
      </c>
    </row>
    <row r="36" spans="1:6" x14ac:dyDescent="0.25">
      <c r="A36" s="60"/>
      <c r="B36" s="14"/>
      <c r="C36" s="15"/>
      <c r="D36" s="16"/>
      <c r="E36" s="17"/>
      <c r="F36" s="34" t="str">
        <f t="shared" si="0"/>
        <v/>
      </c>
    </row>
    <row r="37" spans="1:6" x14ac:dyDescent="0.25">
      <c r="A37" s="60"/>
      <c r="B37" s="14"/>
      <c r="C37" s="15"/>
      <c r="D37" s="16"/>
      <c r="E37" s="17"/>
      <c r="F37" s="34" t="str">
        <f t="shared" si="0"/>
        <v/>
      </c>
    </row>
    <row r="38" spans="1:6" x14ac:dyDescent="0.25">
      <c r="A38" s="60"/>
      <c r="B38" s="14"/>
      <c r="C38" s="15"/>
      <c r="D38" s="16"/>
      <c r="E38" s="17"/>
      <c r="F38" s="34" t="str">
        <f t="shared" si="0"/>
        <v/>
      </c>
    </row>
    <row r="39" spans="1:6" x14ac:dyDescent="0.25">
      <c r="A39" s="60"/>
      <c r="B39" s="14"/>
      <c r="C39" s="15"/>
      <c r="D39" s="16"/>
      <c r="E39" s="17"/>
      <c r="F39" s="34" t="str">
        <f t="shared" si="0"/>
        <v/>
      </c>
    </row>
    <row r="40" spans="1:6" x14ac:dyDescent="0.25">
      <c r="A40" s="60"/>
      <c r="B40" s="14"/>
      <c r="C40" s="15"/>
      <c r="D40" s="16"/>
      <c r="E40" s="17"/>
      <c r="F40" s="34" t="str">
        <f t="shared" si="0"/>
        <v/>
      </c>
    </row>
    <row r="41" spans="1:6" x14ac:dyDescent="0.25">
      <c r="A41" s="60"/>
      <c r="B41" s="14"/>
      <c r="C41" s="15"/>
      <c r="D41" s="16"/>
      <c r="E41" s="17"/>
      <c r="F41" s="34" t="str">
        <f t="shared" si="0"/>
        <v/>
      </c>
    </row>
    <row r="42" spans="1:6" x14ac:dyDescent="0.25">
      <c r="A42" s="60"/>
      <c r="B42" s="14"/>
      <c r="C42" s="15"/>
      <c r="D42" s="16"/>
      <c r="E42" s="17"/>
      <c r="F42" s="34" t="str">
        <f t="shared" si="0"/>
        <v/>
      </c>
    </row>
    <row r="43" spans="1:6" x14ac:dyDescent="0.25">
      <c r="A43" s="60"/>
      <c r="B43" s="14"/>
      <c r="C43" s="15"/>
      <c r="D43" s="16"/>
      <c r="E43" s="17"/>
      <c r="F43" s="34" t="str">
        <f t="shared" si="0"/>
        <v/>
      </c>
    </row>
    <row r="44" spans="1:6" x14ac:dyDescent="0.25">
      <c r="A44" s="60"/>
      <c r="B44" s="14"/>
      <c r="C44" s="15"/>
      <c r="D44" s="16"/>
      <c r="E44" s="17"/>
      <c r="F44" s="34" t="str">
        <f t="shared" si="0"/>
        <v/>
      </c>
    </row>
    <row r="45" spans="1:6" x14ac:dyDescent="0.25">
      <c r="A45" s="60"/>
      <c r="B45" s="14"/>
      <c r="C45" s="15"/>
      <c r="D45" s="16"/>
      <c r="E45" s="17"/>
      <c r="F45" s="34" t="str">
        <f t="shared" si="0"/>
        <v/>
      </c>
    </row>
    <row r="46" spans="1:6" x14ac:dyDescent="0.25">
      <c r="A46" s="60"/>
      <c r="B46" s="14"/>
      <c r="C46" s="15"/>
      <c r="D46" s="16"/>
      <c r="E46" s="17"/>
      <c r="F46" s="34" t="str">
        <f t="shared" si="0"/>
        <v/>
      </c>
    </row>
    <row r="47" spans="1:6" x14ac:dyDescent="0.25">
      <c r="A47" s="60"/>
      <c r="B47" s="14"/>
      <c r="C47" s="15"/>
      <c r="D47" s="16"/>
      <c r="E47" s="17"/>
      <c r="F47" s="34" t="str">
        <f t="shared" si="0"/>
        <v/>
      </c>
    </row>
    <row r="48" spans="1:6" x14ac:dyDescent="0.25">
      <c r="A48" s="60"/>
      <c r="B48" s="14"/>
      <c r="C48" s="15"/>
      <c r="D48" s="16"/>
      <c r="E48" s="17"/>
      <c r="F48" s="34" t="str">
        <f t="shared" si="0"/>
        <v/>
      </c>
    </row>
    <row r="49" spans="1:8" x14ac:dyDescent="0.25">
      <c r="A49" s="60"/>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13"/>
      <c r="H51" s="120"/>
    </row>
    <row r="52" spans="1:8" x14ac:dyDescent="0.25">
      <c r="A52" s="35"/>
      <c r="B52" s="36"/>
      <c r="C52" s="37"/>
      <c r="D52" s="27"/>
      <c r="E52" s="38"/>
      <c r="F52" s="34" t="str">
        <f t="shared" si="0"/>
        <v/>
      </c>
    </row>
    <row r="53" spans="1:8" x14ac:dyDescent="0.25">
      <c r="A53" s="60"/>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1"/>
      <c r="B57" s="2"/>
      <c r="C57" s="45"/>
      <c r="D57" s="27"/>
      <c r="E57" s="28"/>
      <c r="F57" s="34"/>
    </row>
    <row r="58" spans="1:8" x14ac:dyDescent="0.25">
      <c r="A58" s="145"/>
      <c r="B58" s="146"/>
      <c r="C58" s="146"/>
      <c r="D58" s="146"/>
      <c r="E58" s="146"/>
      <c r="F58" s="147" t="s">
        <v>190</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BreakPreview" topLeftCell="A7" zoomScale="85" zoomScaleNormal="100" zoomScaleSheetLayoutView="85" workbookViewId="0">
      <selection activeCell="F58" sqref="F58"/>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6" x14ac:dyDescent="0.25">
      <c r="A1" s="5" t="s">
        <v>10</v>
      </c>
      <c r="B1" s="6" t="s">
        <v>11</v>
      </c>
      <c r="C1" s="7" t="s">
        <v>12</v>
      </c>
      <c r="D1" s="8" t="s">
        <v>13</v>
      </c>
      <c r="E1" s="6" t="s">
        <v>122</v>
      </c>
      <c r="F1" s="9" t="s">
        <v>14</v>
      </c>
    </row>
    <row r="2" spans="1:6" ht="15.75" thickBot="1" x14ac:dyDescent="0.3">
      <c r="A2" s="10">
        <v>13</v>
      </c>
      <c r="B2" s="246" t="s">
        <v>196</v>
      </c>
      <c r="C2" s="247"/>
      <c r="D2" s="247"/>
      <c r="E2" s="247"/>
      <c r="F2" s="11">
        <f>+SUM(F4:F56)</f>
        <v>0</v>
      </c>
    </row>
    <row r="3" spans="1:6" ht="15.75" thickTop="1" x14ac:dyDescent="0.25">
      <c r="A3" s="170"/>
      <c r="B3" s="171"/>
      <c r="C3" s="172"/>
      <c r="D3" s="173"/>
      <c r="E3" s="174"/>
      <c r="F3" s="175"/>
    </row>
    <row r="4" spans="1:6" x14ac:dyDescent="0.25">
      <c r="A4" s="60">
        <v>1</v>
      </c>
      <c r="B4" s="14" t="s">
        <v>196</v>
      </c>
      <c r="C4" s="15"/>
      <c r="D4" s="16"/>
      <c r="E4" s="17"/>
      <c r="F4" s="34" t="str">
        <f t="shared" ref="F4:F56" si="0">IF(E4="","",C4*E4)</f>
        <v/>
      </c>
    </row>
    <row r="5" spans="1:6" x14ac:dyDescent="0.25">
      <c r="A5" s="60"/>
      <c r="B5" s="14"/>
      <c r="C5" s="15"/>
      <c r="D5" s="16"/>
      <c r="E5" s="17"/>
      <c r="F5" s="34" t="str">
        <f t="shared" si="0"/>
        <v/>
      </c>
    </row>
    <row r="6" spans="1:6" x14ac:dyDescent="0.25">
      <c r="A6" s="60"/>
      <c r="B6" s="14"/>
      <c r="C6" s="15"/>
      <c r="D6" s="16"/>
      <c r="E6" s="17"/>
      <c r="F6" s="34" t="str">
        <f t="shared" si="0"/>
        <v/>
      </c>
    </row>
    <row r="7" spans="1:6" x14ac:dyDescent="0.25">
      <c r="A7" s="60"/>
      <c r="B7" s="14"/>
      <c r="C7" s="15"/>
      <c r="D7" s="16"/>
      <c r="E7" s="17"/>
      <c r="F7" s="34" t="str">
        <f t="shared" si="0"/>
        <v/>
      </c>
    </row>
    <row r="8" spans="1:6" x14ac:dyDescent="0.25">
      <c r="A8" s="60"/>
      <c r="B8" s="14"/>
      <c r="C8" s="15"/>
      <c r="D8" s="16"/>
      <c r="E8" s="17"/>
      <c r="F8" s="34" t="str">
        <f t="shared" si="0"/>
        <v/>
      </c>
    </row>
    <row r="9" spans="1:6" x14ac:dyDescent="0.25">
      <c r="A9" s="60"/>
      <c r="B9" s="14"/>
      <c r="C9" s="15"/>
      <c r="D9" s="16"/>
      <c r="E9" s="17"/>
      <c r="F9" s="34" t="str">
        <f t="shared" si="0"/>
        <v/>
      </c>
    </row>
    <row r="10" spans="1:6" x14ac:dyDescent="0.25">
      <c r="A10" s="60"/>
      <c r="B10" s="14"/>
      <c r="C10" s="15"/>
      <c r="D10" s="16"/>
      <c r="E10" s="17"/>
      <c r="F10" s="34" t="str">
        <f t="shared" si="0"/>
        <v/>
      </c>
    </row>
    <row r="11" spans="1:6" x14ac:dyDescent="0.25">
      <c r="A11" s="60"/>
      <c r="B11" s="14"/>
      <c r="C11" s="15"/>
      <c r="D11" s="16"/>
      <c r="E11" s="17"/>
      <c r="F11" s="34" t="str">
        <f t="shared" si="0"/>
        <v/>
      </c>
    </row>
    <row r="12" spans="1:6" x14ac:dyDescent="0.25">
      <c r="A12" s="60"/>
      <c r="B12" s="14"/>
      <c r="C12" s="15"/>
      <c r="D12" s="16"/>
      <c r="E12" s="17"/>
      <c r="F12" s="34" t="str">
        <f t="shared" si="0"/>
        <v/>
      </c>
    </row>
    <row r="13" spans="1:6" x14ac:dyDescent="0.25">
      <c r="A13" s="60"/>
      <c r="B13" s="14"/>
      <c r="C13" s="15"/>
      <c r="D13" s="16"/>
      <c r="E13" s="17"/>
      <c r="F13" s="34" t="str">
        <f t="shared" si="0"/>
        <v/>
      </c>
    </row>
    <row r="14" spans="1:6" x14ac:dyDescent="0.25">
      <c r="A14" s="60"/>
      <c r="B14" s="14"/>
      <c r="C14" s="15"/>
      <c r="D14" s="16"/>
      <c r="E14" s="17"/>
      <c r="F14" s="34" t="str">
        <f t="shared" si="0"/>
        <v/>
      </c>
    </row>
    <row r="15" spans="1:6" x14ac:dyDescent="0.25">
      <c r="A15" s="60"/>
      <c r="B15" s="14"/>
      <c r="C15" s="15"/>
      <c r="D15" s="16"/>
      <c r="E15" s="17"/>
      <c r="F15" s="34" t="str">
        <f t="shared" si="0"/>
        <v/>
      </c>
    </row>
    <row r="16" spans="1:6" x14ac:dyDescent="0.25">
      <c r="A16" s="60"/>
      <c r="B16" s="14"/>
      <c r="C16" s="15"/>
      <c r="D16" s="16"/>
      <c r="E16" s="17"/>
      <c r="F16" s="34" t="str">
        <f t="shared" si="0"/>
        <v/>
      </c>
    </row>
    <row r="17" spans="1:6" x14ac:dyDescent="0.25">
      <c r="A17" s="60"/>
      <c r="B17" s="14"/>
      <c r="C17" s="15"/>
      <c r="D17" s="16"/>
      <c r="E17" s="17"/>
      <c r="F17" s="34" t="str">
        <f t="shared" si="0"/>
        <v/>
      </c>
    </row>
    <row r="18" spans="1:6" x14ac:dyDescent="0.25">
      <c r="A18" s="60"/>
      <c r="B18" s="14"/>
      <c r="C18" s="15"/>
      <c r="D18" s="16"/>
      <c r="E18" s="17"/>
      <c r="F18" s="34" t="str">
        <f t="shared" si="0"/>
        <v/>
      </c>
    </row>
    <row r="19" spans="1:6" x14ac:dyDescent="0.25">
      <c r="A19" s="60"/>
      <c r="B19" s="14"/>
      <c r="C19" s="15"/>
      <c r="D19" s="16"/>
      <c r="E19" s="17"/>
      <c r="F19" s="34" t="str">
        <f t="shared" si="0"/>
        <v/>
      </c>
    </row>
    <row r="20" spans="1:6" x14ac:dyDescent="0.25">
      <c r="A20" s="60"/>
      <c r="B20" s="14"/>
      <c r="C20" s="15"/>
      <c r="D20" s="16"/>
      <c r="E20" s="17"/>
      <c r="F20" s="34" t="str">
        <f t="shared" si="0"/>
        <v/>
      </c>
    </row>
    <row r="21" spans="1:6" x14ac:dyDescent="0.25">
      <c r="A21" s="60"/>
      <c r="B21" s="14"/>
      <c r="C21" s="15"/>
      <c r="D21" s="16"/>
      <c r="E21" s="17"/>
      <c r="F21" s="34" t="str">
        <f t="shared" si="0"/>
        <v/>
      </c>
    </row>
    <row r="22" spans="1:6" x14ac:dyDescent="0.25">
      <c r="A22" s="60"/>
      <c r="B22" s="14"/>
      <c r="C22" s="15"/>
      <c r="D22" s="16"/>
      <c r="E22" s="17"/>
      <c r="F22" s="34" t="str">
        <f t="shared" si="0"/>
        <v/>
      </c>
    </row>
    <row r="23" spans="1:6" x14ac:dyDescent="0.25">
      <c r="A23" s="60"/>
      <c r="B23" s="14"/>
      <c r="C23" s="15"/>
      <c r="D23" s="16"/>
      <c r="E23" s="17"/>
      <c r="F23" s="34" t="str">
        <f t="shared" si="0"/>
        <v/>
      </c>
    </row>
    <row r="24" spans="1:6" x14ac:dyDescent="0.25">
      <c r="A24" s="60"/>
      <c r="B24" s="14"/>
      <c r="C24" s="15"/>
      <c r="D24" s="16"/>
      <c r="E24" s="17"/>
      <c r="F24" s="34" t="str">
        <f t="shared" si="0"/>
        <v/>
      </c>
    </row>
    <row r="25" spans="1:6" x14ac:dyDescent="0.25">
      <c r="A25" s="60"/>
      <c r="B25" s="14"/>
      <c r="C25" s="15"/>
      <c r="D25" s="16"/>
      <c r="E25" s="17"/>
      <c r="F25" s="34" t="str">
        <f t="shared" si="0"/>
        <v/>
      </c>
    </row>
    <row r="26" spans="1:6" x14ac:dyDescent="0.25">
      <c r="A26" s="60"/>
      <c r="B26" s="14"/>
      <c r="C26" s="15"/>
      <c r="D26" s="16"/>
      <c r="E26" s="17"/>
      <c r="F26" s="34" t="str">
        <f t="shared" si="0"/>
        <v/>
      </c>
    </row>
    <row r="27" spans="1:6" x14ac:dyDescent="0.25">
      <c r="A27" s="60"/>
      <c r="B27" s="14"/>
      <c r="C27" s="15"/>
      <c r="D27" s="16"/>
      <c r="E27" s="17"/>
      <c r="F27" s="34" t="str">
        <f t="shared" si="0"/>
        <v/>
      </c>
    </row>
    <row r="28" spans="1:6" x14ac:dyDescent="0.25">
      <c r="A28" s="60"/>
      <c r="B28" s="14"/>
      <c r="C28" s="15"/>
      <c r="D28" s="16"/>
      <c r="E28" s="17"/>
      <c r="F28" s="34" t="str">
        <f t="shared" si="0"/>
        <v/>
      </c>
    </row>
    <row r="29" spans="1:6" x14ac:dyDescent="0.25">
      <c r="A29" s="60"/>
      <c r="B29" s="14"/>
      <c r="C29" s="15"/>
      <c r="D29" s="16"/>
      <c r="E29" s="17"/>
      <c r="F29" s="34" t="str">
        <f t="shared" si="0"/>
        <v/>
      </c>
    </row>
    <row r="30" spans="1:6" x14ac:dyDescent="0.25">
      <c r="A30" s="60"/>
      <c r="B30" s="14"/>
      <c r="C30" s="15"/>
      <c r="D30" s="16"/>
      <c r="E30" s="17"/>
      <c r="F30" s="34" t="str">
        <f t="shared" si="0"/>
        <v/>
      </c>
    </row>
    <row r="31" spans="1:6" x14ac:dyDescent="0.25">
      <c r="A31" s="60"/>
      <c r="B31" s="14"/>
      <c r="C31" s="15"/>
      <c r="D31" s="16"/>
      <c r="E31" s="17"/>
      <c r="F31" s="34" t="str">
        <f t="shared" si="0"/>
        <v/>
      </c>
    </row>
    <row r="32" spans="1:6" x14ac:dyDescent="0.25">
      <c r="A32" s="60"/>
      <c r="B32" s="14"/>
      <c r="C32" s="15"/>
      <c r="D32" s="16"/>
      <c r="E32" s="17"/>
      <c r="F32" s="34" t="str">
        <f t="shared" si="0"/>
        <v/>
      </c>
    </row>
    <row r="33" spans="1:6" x14ac:dyDescent="0.25">
      <c r="A33" s="60"/>
      <c r="B33" s="14"/>
      <c r="C33" s="15"/>
      <c r="D33" s="16"/>
      <c r="E33" s="17"/>
      <c r="F33" s="34" t="str">
        <f t="shared" si="0"/>
        <v/>
      </c>
    </row>
    <row r="34" spans="1:6" x14ac:dyDescent="0.25">
      <c r="A34" s="60"/>
      <c r="B34" s="14"/>
      <c r="C34" s="15"/>
      <c r="D34" s="16"/>
      <c r="E34" s="17"/>
      <c r="F34" s="34" t="str">
        <f t="shared" si="0"/>
        <v/>
      </c>
    </row>
    <row r="35" spans="1:6" x14ac:dyDescent="0.25">
      <c r="A35" s="60"/>
      <c r="B35" s="14"/>
      <c r="C35" s="15"/>
      <c r="D35" s="16"/>
      <c r="E35" s="17"/>
      <c r="F35" s="34" t="str">
        <f t="shared" si="0"/>
        <v/>
      </c>
    </row>
    <row r="36" spans="1:6" x14ac:dyDescent="0.25">
      <c r="A36" s="60"/>
      <c r="B36" s="14"/>
      <c r="C36" s="15"/>
      <c r="D36" s="16"/>
      <c r="E36" s="17"/>
      <c r="F36" s="34" t="str">
        <f t="shared" si="0"/>
        <v/>
      </c>
    </row>
    <row r="37" spans="1:6" x14ac:dyDescent="0.25">
      <c r="A37" s="60"/>
      <c r="B37" s="14"/>
      <c r="C37" s="15"/>
      <c r="D37" s="16"/>
      <c r="E37" s="17"/>
      <c r="F37" s="34" t="str">
        <f t="shared" si="0"/>
        <v/>
      </c>
    </row>
    <row r="38" spans="1:6" x14ac:dyDescent="0.25">
      <c r="A38" s="60"/>
      <c r="B38" s="14"/>
      <c r="C38" s="15"/>
      <c r="D38" s="16"/>
      <c r="E38" s="17"/>
      <c r="F38" s="34" t="str">
        <f t="shared" si="0"/>
        <v/>
      </c>
    </row>
    <row r="39" spans="1:6" x14ac:dyDescent="0.25">
      <c r="A39" s="60"/>
      <c r="B39" s="14"/>
      <c r="C39" s="15"/>
      <c r="D39" s="16"/>
      <c r="E39" s="17"/>
      <c r="F39" s="34" t="str">
        <f t="shared" si="0"/>
        <v/>
      </c>
    </row>
    <row r="40" spans="1:6" x14ac:dyDescent="0.25">
      <c r="A40" s="60"/>
      <c r="B40" s="14"/>
      <c r="C40" s="15"/>
      <c r="D40" s="16"/>
      <c r="E40" s="17"/>
      <c r="F40" s="34" t="str">
        <f t="shared" si="0"/>
        <v/>
      </c>
    </row>
    <row r="41" spans="1:6" x14ac:dyDescent="0.25">
      <c r="A41" s="60"/>
      <c r="B41" s="14"/>
      <c r="C41" s="15"/>
      <c r="D41" s="16"/>
      <c r="E41" s="17"/>
      <c r="F41" s="34" t="str">
        <f t="shared" si="0"/>
        <v/>
      </c>
    </row>
    <row r="42" spans="1:6" x14ac:dyDescent="0.25">
      <c r="A42" s="60"/>
      <c r="B42" s="14"/>
      <c r="C42" s="15"/>
      <c r="D42" s="16"/>
      <c r="E42" s="17"/>
      <c r="F42" s="34" t="str">
        <f t="shared" si="0"/>
        <v/>
      </c>
    </row>
    <row r="43" spans="1:6" x14ac:dyDescent="0.25">
      <c r="A43" s="60"/>
      <c r="B43" s="14"/>
      <c r="C43" s="15"/>
      <c r="D43" s="16"/>
      <c r="E43" s="17"/>
      <c r="F43" s="34" t="str">
        <f t="shared" si="0"/>
        <v/>
      </c>
    </row>
    <row r="44" spans="1:6" x14ac:dyDescent="0.25">
      <c r="A44" s="60"/>
      <c r="B44" s="14"/>
      <c r="C44" s="15"/>
      <c r="D44" s="16"/>
      <c r="E44" s="17"/>
      <c r="F44" s="34" t="str">
        <f t="shared" si="0"/>
        <v/>
      </c>
    </row>
    <row r="45" spans="1:6" x14ac:dyDescent="0.25">
      <c r="A45" s="60"/>
      <c r="B45" s="14"/>
      <c r="C45" s="15"/>
      <c r="D45" s="16"/>
      <c r="E45" s="17"/>
      <c r="F45" s="34" t="str">
        <f t="shared" si="0"/>
        <v/>
      </c>
    </row>
    <row r="46" spans="1:6" x14ac:dyDescent="0.25">
      <c r="A46" s="60"/>
      <c r="B46" s="14"/>
      <c r="C46" s="15"/>
      <c r="D46" s="16"/>
      <c r="E46" s="17"/>
      <c r="F46" s="34" t="str">
        <f t="shared" si="0"/>
        <v/>
      </c>
    </row>
    <row r="47" spans="1:6" x14ac:dyDescent="0.25">
      <c r="A47" s="60"/>
      <c r="B47" s="14"/>
      <c r="C47" s="15"/>
      <c r="D47" s="16"/>
      <c r="E47" s="17"/>
      <c r="F47" s="34" t="str">
        <f t="shared" si="0"/>
        <v/>
      </c>
    </row>
    <row r="48" spans="1:6" x14ac:dyDescent="0.25">
      <c r="A48" s="60"/>
      <c r="B48" s="14"/>
      <c r="C48" s="15"/>
      <c r="D48" s="16"/>
      <c r="E48" s="17"/>
      <c r="F48" s="34" t="str">
        <f t="shared" si="0"/>
        <v/>
      </c>
    </row>
    <row r="49" spans="1:8" x14ac:dyDescent="0.25">
      <c r="A49" s="60"/>
      <c r="B49" s="14"/>
      <c r="C49" s="15"/>
      <c r="D49" s="16"/>
      <c r="E49" s="17"/>
      <c r="F49" s="34" t="str">
        <f t="shared" si="0"/>
        <v/>
      </c>
    </row>
    <row r="50" spans="1:8" x14ac:dyDescent="0.25">
      <c r="A50" s="25"/>
      <c r="B50" s="36"/>
      <c r="C50" s="26"/>
      <c r="D50" s="27"/>
      <c r="E50" s="28"/>
      <c r="F50" s="34" t="str">
        <f t="shared" si="0"/>
        <v/>
      </c>
    </row>
    <row r="51" spans="1:8" x14ac:dyDescent="0.25">
      <c r="A51" s="25"/>
      <c r="B51" s="36"/>
      <c r="C51" s="26"/>
      <c r="D51" s="27"/>
      <c r="E51" s="28"/>
      <c r="F51" s="34" t="str">
        <f t="shared" si="0"/>
        <v/>
      </c>
      <c r="G51" s="213"/>
      <c r="H51" s="120"/>
    </row>
    <row r="52" spans="1:8" x14ac:dyDescent="0.25">
      <c r="A52" s="35"/>
      <c r="B52" s="36"/>
      <c r="C52" s="37"/>
      <c r="D52" s="27"/>
      <c r="E52" s="38"/>
      <c r="F52" s="34" t="str">
        <f t="shared" si="0"/>
        <v/>
      </c>
    </row>
    <row r="53" spans="1:8" x14ac:dyDescent="0.25">
      <c r="A53" s="60"/>
      <c r="B53" s="14"/>
      <c r="C53" s="15"/>
      <c r="D53" s="16"/>
      <c r="E53" s="17"/>
      <c r="F53" s="34" t="str">
        <f t="shared" si="0"/>
        <v/>
      </c>
    </row>
    <row r="54" spans="1:8" x14ac:dyDescent="0.25">
      <c r="A54" s="25"/>
      <c r="B54" s="36"/>
      <c r="C54" s="26"/>
      <c r="D54" s="27"/>
      <c r="E54" s="28"/>
      <c r="F54" s="34" t="str">
        <f t="shared" si="0"/>
        <v/>
      </c>
    </row>
    <row r="55" spans="1:8" x14ac:dyDescent="0.25">
      <c r="A55" s="25"/>
      <c r="B55" s="36"/>
      <c r="C55" s="26"/>
      <c r="D55" s="27"/>
      <c r="E55" s="28"/>
      <c r="F55" s="34" t="str">
        <f t="shared" si="0"/>
        <v/>
      </c>
    </row>
    <row r="56" spans="1:8" x14ac:dyDescent="0.25">
      <c r="A56" s="25"/>
      <c r="B56" s="36"/>
      <c r="C56" s="26"/>
      <c r="D56" s="27"/>
      <c r="E56" s="28"/>
      <c r="F56" s="34" t="str">
        <f t="shared" si="0"/>
        <v/>
      </c>
    </row>
    <row r="57" spans="1:8" ht="12" customHeight="1" x14ac:dyDescent="0.25">
      <c r="A57" s="61"/>
      <c r="B57" s="2"/>
      <c r="C57" s="45"/>
      <c r="D57" s="27"/>
      <c r="E57" s="28"/>
      <c r="F57" s="34"/>
    </row>
    <row r="58" spans="1:8" x14ac:dyDescent="0.25">
      <c r="A58" s="145"/>
      <c r="B58" s="146"/>
      <c r="C58" s="146"/>
      <c r="D58" s="146"/>
      <c r="E58" s="146"/>
      <c r="F58" s="147" t="s">
        <v>194</v>
      </c>
    </row>
  </sheetData>
  <mergeCells count="1">
    <mergeCell ref="B2:E2"/>
  </mergeCells>
  <pageMargins left="0.7" right="0.7" top="0.75" bottom="0.75" header="0.3" footer="0.3"/>
  <pageSetup paperSize="9" scale="85"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
  <sheetViews>
    <sheetView view="pageBreakPreview" topLeftCell="D1" zoomScale="70" zoomScaleNormal="100" zoomScaleSheetLayoutView="70" zoomScalePageLayoutView="85" workbookViewId="0">
      <selection activeCell="G16" sqref="G16"/>
    </sheetView>
  </sheetViews>
  <sheetFormatPr defaultRowHeight="15" x14ac:dyDescent="0.25"/>
  <cols>
    <col min="1" max="1" width="3.7109375" customWidth="1"/>
    <col min="2" max="2" width="31.140625" customWidth="1"/>
    <col min="3" max="3" width="19.28515625" customWidth="1"/>
    <col min="4" max="4" width="17.140625" customWidth="1"/>
    <col min="5" max="5" width="18.140625" customWidth="1"/>
    <col min="6" max="7" width="16.42578125" customWidth="1"/>
    <col min="8" max="8" width="17" customWidth="1"/>
    <col min="9" max="9" width="16.28515625" customWidth="1"/>
    <col min="10" max="10" width="19" customWidth="1"/>
    <col min="11" max="11" width="17.140625" customWidth="1"/>
    <col min="12" max="12" width="15.85546875" customWidth="1"/>
    <col min="13" max="13" width="16.28515625" customWidth="1"/>
    <col min="14" max="18" width="13.140625" customWidth="1"/>
  </cols>
  <sheetData>
    <row r="1" spans="1:15" ht="27.75" customHeight="1" x14ac:dyDescent="0.4">
      <c r="A1" s="236"/>
      <c r="B1" s="236"/>
      <c r="C1" s="236"/>
      <c r="D1" s="236"/>
      <c r="E1" s="236"/>
      <c r="F1" s="236"/>
      <c r="G1" s="236"/>
      <c r="H1" s="236"/>
      <c r="I1" s="236"/>
      <c r="J1" s="236"/>
      <c r="K1" s="236"/>
      <c r="L1" s="236"/>
      <c r="M1" s="62"/>
      <c r="N1" s="62"/>
      <c r="O1" s="62"/>
    </row>
    <row r="2" spans="1:15" x14ac:dyDescent="0.25">
      <c r="A2" s="237"/>
      <c r="B2" s="237"/>
      <c r="C2" s="237"/>
      <c r="D2" s="237"/>
      <c r="E2" s="237"/>
      <c r="F2" s="237"/>
      <c r="G2" s="237"/>
      <c r="H2" s="237"/>
      <c r="I2" s="237"/>
      <c r="J2" s="237"/>
      <c r="K2" s="237"/>
      <c r="L2" s="237"/>
      <c r="M2" s="62"/>
      <c r="N2" s="62"/>
      <c r="O2" s="62"/>
    </row>
    <row r="3" spans="1:15" x14ac:dyDescent="0.25">
      <c r="A3" s="237"/>
      <c r="B3" s="237"/>
      <c r="C3" s="237"/>
      <c r="D3" s="237"/>
      <c r="E3" s="237"/>
      <c r="F3" s="237"/>
      <c r="G3" s="237"/>
      <c r="H3" s="237"/>
      <c r="I3" s="237"/>
      <c r="J3" s="237"/>
      <c r="K3" s="237"/>
      <c r="L3" s="237"/>
      <c r="M3" s="62"/>
      <c r="N3" s="62"/>
      <c r="O3" s="62"/>
    </row>
    <row r="4" spans="1:15" x14ac:dyDescent="0.25">
      <c r="A4" s="238"/>
      <c r="B4" s="238"/>
      <c r="C4" s="238"/>
      <c r="D4" s="238"/>
      <c r="E4" s="238"/>
      <c r="F4" s="238"/>
      <c r="G4" s="238"/>
      <c r="H4" s="238"/>
      <c r="I4" s="238"/>
      <c r="J4" s="238"/>
      <c r="K4" s="238"/>
      <c r="L4" s="238"/>
      <c r="M4" s="62"/>
      <c r="N4" s="62"/>
      <c r="O4" s="62"/>
    </row>
    <row r="5" spans="1:15" x14ac:dyDescent="0.25">
      <c r="A5" s="95"/>
      <c r="B5" s="95"/>
      <c r="C5" s="95"/>
      <c r="D5" s="96"/>
      <c r="E5" s="96"/>
      <c r="F5" s="96"/>
      <c r="G5" s="96"/>
      <c r="H5" s="96"/>
      <c r="I5" s="96"/>
      <c r="J5" s="96"/>
      <c r="K5" s="96"/>
      <c r="L5" s="96"/>
      <c r="M5" s="96"/>
      <c r="N5" s="62"/>
      <c r="O5" s="62"/>
    </row>
    <row r="6" spans="1:15" ht="31.5" x14ac:dyDescent="0.5">
      <c r="A6" s="99" t="s">
        <v>150</v>
      </c>
      <c r="B6" s="99"/>
      <c r="C6" s="99"/>
      <c r="D6" s="99"/>
      <c r="E6" s="99"/>
      <c r="F6" s="99"/>
      <c r="G6" s="99"/>
      <c r="H6" s="99"/>
      <c r="I6" s="99"/>
      <c r="J6" s="99"/>
      <c r="K6" s="99"/>
      <c r="L6" s="99"/>
      <c r="M6" s="99"/>
      <c r="N6" s="62"/>
      <c r="O6" s="62"/>
    </row>
    <row r="7" spans="1:15" ht="23.25" x14ac:dyDescent="0.35">
      <c r="A7" s="98" t="str">
        <f>+'GRAND SUMMARY'!A3</f>
        <v>BOQ FOR COMPLETE WORKS OF VILIMALE' FISH MARKET</v>
      </c>
      <c r="B7" s="98"/>
      <c r="C7" s="98"/>
      <c r="D7" s="98"/>
      <c r="E7" s="98"/>
      <c r="F7" s="98"/>
      <c r="G7" s="98"/>
      <c r="H7" s="98"/>
      <c r="I7" s="98"/>
      <c r="J7" s="98"/>
      <c r="K7" s="98"/>
      <c r="L7" s="98"/>
      <c r="M7" s="98"/>
      <c r="N7" s="62"/>
      <c r="O7" s="62"/>
    </row>
    <row r="8" spans="1:15" x14ac:dyDescent="0.25">
      <c r="A8" s="97" t="str">
        <f>+'GRAND SUMMARY'!A4</f>
        <v>Local Government Authority (LGA)</v>
      </c>
      <c r="B8" s="97"/>
      <c r="C8" s="97"/>
      <c r="D8" s="97"/>
      <c r="E8" s="97"/>
      <c r="F8" s="97"/>
      <c r="G8" s="97"/>
      <c r="H8" s="97"/>
      <c r="I8" s="97"/>
      <c r="J8" s="97"/>
      <c r="K8" s="97"/>
      <c r="L8" s="97"/>
      <c r="M8" s="97"/>
      <c r="N8" s="62"/>
      <c r="O8" s="62"/>
    </row>
    <row r="9" spans="1:15" x14ac:dyDescent="0.25">
      <c r="A9" t="str">
        <f>+'GRAND SUMMARY'!A5</f>
        <v>5th January 2020</v>
      </c>
      <c r="I9" s="3"/>
    </row>
    <row r="10" spans="1:15" s="4" customFormat="1" x14ac:dyDescent="0.25">
      <c r="C10" s="4" t="s">
        <v>103</v>
      </c>
      <c r="D10" s="4" t="s">
        <v>104</v>
      </c>
      <c r="E10" s="4" t="s">
        <v>105</v>
      </c>
      <c r="F10" s="4" t="s">
        <v>106</v>
      </c>
      <c r="G10" s="4" t="s">
        <v>107</v>
      </c>
      <c r="H10" s="4" t="s">
        <v>108</v>
      </c>
      <c r="I10" s="4" t="s">
        <v>109</v>
      </c>
      <c r="J10" s="4" t="s">
        <v>110</v>
      </c>
      <c r="K10" s="4" t="s">
        <v>229</v>
      </c>
      <c r="L10" s="4" t="s">
        <v>111</v>
      </c>
      <c r="M10" s="4" t="s">
        <v>121</v>
      </c>
    </row>
    <row r="11" spans="1:15" s="91" customFormat="1" ht="58.5" customHeight="1" x14ac:dyDescent="0.25">
      <c r="A11" s="188"/>
      <c r="B11" s="92"/>
      <c r="C11" s="93" t="s">
        <v>4</v>
      </c>
      <c r="D11" s="93" t="s">
        <v>85</v>
      </c>
      <c r="E11" s="93" t="s">
        <v>46</v>
      </c>
      <c r="F11" s="93" t="s">
        <v>61</v>
      </c>
      <c r="G11" s="93" t="s">
        <v>47</v>
      </c>
      <c r="H11" s="93" t="s">
        <v>48</v>
      </c>
      <c r="I11" s="93" t="s">
        <v>114</v>
      </c>
      <c r="J11" s="93" t="s">
        <v>45</v>
      </c>
      <c r="K11" s="93" t="s">
        <v>31</v>
      </c>
      <c r="L11" s="93" t="s">
        <v>43</v>
      </c>
      <c r="M11" s="212" t="s">
        <v>119</v>
      </c>
    </row>
    <row r="12" spans="1:15" x14ac:dyDescent="0.25">
      <c r="A12" s="139"/>
      <c r="B12" s="94" t="s">
        <v>65</v>
      </c>
      <c r="C12" s="189">
        <f>'BILL 1 PRELIMINARIES'!F2</f>
        <v>0</v>
      </c>
      <c r="D12" s="190">
        <f>'BILL 2 WORKS BELOW GROUND'!F5</f>
        <v>0</v>
      </c>
      <c r="E12" s="190">
        <f>'BILL 3 CONCRETE WORKS'!F12</f>
        <v>0</v>
      </c>
      <c r="F12" s="190"/>
      <c r="G12" s="190"/>
      <c r="H12" s="190"/>
      <c r="I12" s="190"/>
      <c r="J12" s="190"/>
      <c r="K12" s="190"/>
      <c r="L12" s="190"/>
      <c r="M12" s="191"/>
    </row>
    <row r="13" spans="1:15" x14ac:dyDescent="0.25">
      <c r="A13" s="139"/>
      <c r="B13" s="94" t="s">
        <v>112</v>
      </c>
      <c r="C13" s="190"/>
      <c r="D13" s="190"/>
      <c r="E13" s="190">
        <f>'BILL 3 CONCRETE WORKS'!F14</f>
        <v>0</v>
      </c>
      <c r="F13" s="190"/>
      <c r="G13" s="190"/>
      <c r="H13" s="190"/>
      <c r="I13" s="190"/>
      <c r="J13" s="190"/>
      <c r="K13" s="190"/>
      <c r="L13" s="190"/>
      <c r="M13" s="191"/>
    </row>
    <row r="14" spans="1:15" x14ac:dyDescent="0.25">
      <c r="A14" s="139"/>
      <c r="B14" s="94" t="s">
        <v>63</v>
      </c>
      <c r="C14" s="190"/>
      <c r="D14" s="190"/>
      <c r="E14" s="190">
        <f>'BILL 3 CONCRETE WORKS'!F69</f>
        <v>0</v>
      </c>
      <c r="F14" s="190">
        <f>'BILL4 METAL AND CARPENTRY WORKS'!F12</f>
        <v>0</v>
      </c>
      <c r="G14" s="190">
        <f>'BILL 5 MASONRY AND PLASTERING'!F9</f>
        <v>0</v>
      </c>
      <c r="H14" s="190">
        <f>'Bill 6 DOORS AND WINDOWS'!F8</f>
        <v>0</v>
      </c>
      <c r="I14" s="190">
        <f>'Bill 7 PAINTING WORKS'!F8</f>
        <v>0</v>
      </c>
      <c r="J14" s="190">
        <f>'Bill 08 FLOOR FINISHES'!F8</f>
        <v>0</v>
      </c>
      <c r="K14" s="190">
        <f>'BILL 09 HYDRAULICS AND DRAINAGE'!F10</f>
        <v>0</v>
      </c>
      <c r="L14" s="190">
        <f>'BILL 10 ELECTRICAL INSTALLATION'!F11</f>
        <v>0</v>
      </c>
      <c r="M14" s="191"/>
    </row>
    <row r="15" spans="1:15" x14ac:dyDescent="0.25">
      <c r="A15" s="139"/>
      <c r="B15" s="94" t="s">
        <v>256</v>
      </c>
      <c r="C15" s="190"/>
      <c r="D15" s="190"/>
      <c r="E15" s="190">
        <f>'BILL 3 CONCRETE WORKS'!F104</f>
        <v>0</v>
      </c>
      <c r="F15" s="190">
        <f>'BILL4 METAL AND CARPENTRY WORKS'!F18</f>
        <v>0</v>
      </c>
      <c r="G15" s="190">
        <f>'BILL 5 MASONRY AND PLASTERING'!F21</f>
        <v>0</v>
      </c>
      <c r="H15" s="190">
        <f>'Bill 6 DOORS AND WINDOWS'!F13</f>
        <v>0</v>
      </c>
      <c r="I15" s="190">
        <f>'Bill 7 PAINTING WORKS'!F13</f>
        <v>0</v>
      </c>
      <c r="J15" s="190">
        <f>'Bill 08 FLOOR FINISHES'!F16</f>
        <v>0</v>
      </c>
      <c r="K15" s="190">
        <f>'BILL 09 HYDRAULICS AND DRAINAGE'!F31</f>
        <v>0</v>
      </c>
      <c r="L15" s="190">
        <f>'BILL 10 ELECTRICAL INSTALLATION'!F36</f>
        <v>0</v>
      </c>
      <c r="M15" s="191">
        <f>'BILL 11 MECHANICAL SYSTEMS'!F7</f>
        <v>0</v>
      </c>
    </row>
    <row r="16" spans="1:15" x14ac:dyDescent="0.25">
      <c r="A16" s="139"/>
      <c r="B16" s="94" t="s">
        <v>64</v>
      </c>
      <c r="C16" s="190"/>
      <c r="D16" s="190"/>
      <c r="E16" s="190">
        <f>'BILL 3 CONCRETE WORKS'!F181</f>
        <v>0</v>
      </c>
      <c r="F16" s="190"/>
      <c r="G16" s="190">
        <f>+'BILL 5 MASONRY AND PLASTERING'!F32</f>
        <v>0</v>
      </c>
      <c r="H16" s="190"/>
      <c r="I16" s="190"/>
      <c r="J16" s="190"/>
      <c r="K16" s="190">
        <f>'BILL 09 HYDRAULICS AND DRAINAGE'!F48</f>
        <v>0</v>
      </c>
      <c r="L16" s="190"/>
      <c r="M16" s="191"/>
    </row>
    <row r="17" spans="1:13" x14ac:dyDescent="0.25">
      <c r="A17" s="143"/>
      <c r="B17" s="186"/>
      <c r="C17" s="187"/>
      <c r="D17" s="187"/>
      <c r="E17" s="187"/>
      <c r="F17" s="187"/>
      <c r="G17" s="187"/>
      <c r="H17" s="187"/>
      <c r="I17" s="187"/>
      <c r="J17" s="187"/>
      <c r="K17" s="187"/>
      <c r="L17" s="187"/>
      <c r="M17" s="159"/>
    </row>
    <row r="18" spans="1:13" ht="15.75" x14ac:dyDescent="0.25">
      <c r="A18" s="143"/>
      <c r="B18" s="184" t="s">
        <v>113</v>
      </c>
      <c r="C18" s="185">
        <f t="shared" ref="C18:M18" si="0">SUM(C12:C16)</f>
        <v>0</v>
      </c>
      <c r="D18" s="185">
        <f t="shared" si="0"/>
        <v>0</v>
      </c>
      <c r="E18" s="185">
        <f t="shared" si="0"/>
        <v>0</v>
      </c>
      <c r="F18" s="185">
        <f t="shared" si="0"/>
        <v>0</v>
      </c>
      <c r="G18" s="185">
        <f t="shared" si="0"/>
        <v>0</v>
      </c>
      <c r="H18" s="185">
        <f t="shared" si="0"/>
        <v>0</v>
      </c>
      <c r="I18" s="185">
        <f t="shared" si="0"/>
        <v>0</v>
      </c>
      <c r="J18" s="185">
        <f t="shared" si="0"/>
        <v>0</v>
      </c>
      <c r="K18" s="185">
        <f t="shared" si="0"/>
        <v>0</v>
      </c>
      <c r="L18" s="185">
        <f t="shared" si="0"/>
        <v>0</v>
      </c>
      <c r="M18" s="192">
        <f t="shared" si="0"/>
        <v>0</v>
      </c>
    </row>
    <row r="20" spans="1:13" x14ac:dyDescent="0.25">
      <c r="D20" s="3"/>
    </row>
    <row r="24" spans="1:13" x14ac:dyDescent="0.25">
      <c r="D24" s="3"/>
    </row>
  </sheetData>
  <mergeCells count="4">
    <mergeCell ref="A1:L1"/>
    <mergeCell ref="A2:L2"/>
    <mergeCell ref="A3:L3"/>
    <mergeCell ref="A4:L4"/>
  </mergeCells>
  <printOptions horizontalCentered="1"/>
  <pageMargins left="0.1" right="0.1" top="0.75" bottom="0.75" header="0.3" footer="0.3"/>
  <pageSetup paperSize="9" scale="56" fitToHeight="0" orientation="landscape" horizontalDpi="4294967295" verticalDpi="4294967295" r:id="rId1"/>
  <headerFooter>
    <oddHeader xml:space="preserve">&amp;R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view="pageBreakPreview" zoomScale="80" zoomScaleNormal="85" zoomScaleSheetLayoutView="80" workbookViewId="0">
      <selection activeCell="F2" sqref="F2"/>
    </sheetView>
  </sheetViews>
  <sheetFormatPr defaultRowHeight="15" x14ac:dyDescent="0.25"/>
  <cols>
    <col min="1" max="1" width="5.28515625" customWidth="1"/>
    <col min="2" max="2" width="52" customWidth="1"/>
    <col min="3" max="4" width="5.85546875" customWidth="1"/>
    <col min="5" max="5" width="16.140625" customWidth="1"/>
    <col min="6" max="6" width="17.5703125" customWidth="1"/>
    <col min="10" max="10" width="11.5703125" bestFit="1" customWidth="1"/>
  </cols>
  <sheetData>
    <row r="1" spans="1:6" x14ac:dyDescent="0.25">
      <c r="A1" s="85" t="s">
        <v>10</v>
      </c>
      <c r="B1" s="6" t="s">
        <v>11</v>
      </c>
      <c r="C1" s="7" t="s">
        <v>12</v>
      </c>
      <c r="D1" s="8" t="s">
        <v>13</v>
      </c>
      <c r="E1" s="6" t="s">
        <v>122</v>
      </c>
      <c r="F1" s="9" t="s">
        <v>14</v>
      </c>
    </row>
    <row r="2" spans="1:6" ht="15.75" thickBot="1" x14ac:dyDescent="0.3">
      <c r="A2" s="10">
        <v>1</v>
      </c>
      <c r="B2" s="239" t="s">
        <v>4</v>
      </c>
      <c r="C2" s="240"/>
      <c r="D2" s="240"/>
      <c r="E2" s="240"/>
      <c r="F2" s="11">
        <f>+SUM(F20:F27)</f>
        <v>0</v>
      </c>
    </row>
    <row r="3" spans="1:6" ht="15.75" thickTop="1" x14ac:dyDescent="0.25">
      <c r="A3" s="83"/>
      <c r="B3" s="84"/>
      <c r="C3" s="82"/>
      <c r="D3" s="81"/>
      <c r="E3" s="80"/>
      <c r="F3" s="79"/>
    </row>
    <row r="4" spans="1:6" x14ac:dyDescent="0.25">
      <c r="A4" s="83">
        <v>1</v>
      </c>
      <c r="B4" s="84" t="s">
        <v>178</v>
      </c>
      <c r="C4" s="82"/>
      <c r="D4" s="81"/>
      <c r="E4" s="80"/>
      <c r="F4" s="79"/>
    </row>
    <row r="5" spans="1:6" x14ac:dyDescent="0.25">
      <c r="A5" s="83"/>
      <c r="B5" s="78" t="s">
        <v>80</v>
      </c>
      <c r="C5" s="82"/>
      <c r="D5" s="81"/>
      <c r="E5" s="80"/>
      <c r="F5" s="79"/>
    </row>
    <row r="6" spans="1:6" x14ac:dyDescent="0.25">
      <c r="A6" s="83"/>
      <c r="B6" s="78" t="s">
        <v>79</v>
      </c>
      <c r="C6" s="82"/>
      <c r="D6" s="81"/>
      <c r="E6" s="80"/>
      <c r="F6" s="79"/>
    </row>
    <row r="7" spans="1:6" x14ac:dyDescent="0.25">
      <c r="A7" s="83"/>
      <c r="B7" s="78" t="s">
        <v>78</v>
      </c>
      <c r="C7" s="82"/>
      <c r="D7" s="81"/>
      <c r="E7" s="80"/>
      <c r="F7" s="79"/>
    </row>
    <row r="8" spans="1:6" x14ac:dyDescent="0.25">
      <c r="A8" s="83"/>
      <c r="B8" s="78" t="s">
        <v>77</v>
      </c>
      <c r="C8" s="82"/>
      <c r="D8" s="81"/>
      <c r="E8" s="80"/>
      <c r="F8" s="79"/>
    </row>
    <row r="9" spans="1:6" x14ac:dyDescent="0.25">
      <c r="A9" s="83"/>
      <c r="B9" s="78" t="s">
        <v>76</v>
      </c>
      <c r="C9" s="82"/>
      <c r="D9" s="81"/>
      <c r="E9" s="80"/>
      <c r="F9" s="79"/>
    </row>
    <row r="10" spans="1:6" x14ac:dyDescent="0.25">
      <c r="A10" s="83"/>
      <c r="B10" s="78" t="s">
        <v>75</v>
      </c>
      <c r="C10" s="82"/>
      <c r="D10" s="81"/>
      <c r="E10" s="80"/>
      <c r="F10" s="79"/>
    </row>
    <row r="11" spans="1:6" x14ac:dyDescent="0.25">
      <c r="A11" s="83"/>
      <c r="B11" s="78" t="s">
        <v>74</v>
      </c>
      <c r="C11" s="82"/>
      <c r="D11" s="81"/>
      <c r="E11" s="80"/>
      <c r="F11" s="79"/>
    </row>
    <row r="12" spans="1:6" x14ac:dyDescent="0.25">
      <c r="A12" s="83"/>
      <c r="B12" s="78" t="s">
        <v>73</v>
      </c>
      <c r="C12" s="82"/>
      <c r="D12" s="81"/>
      <c r="E12" s="80"/>
      <c r="F12" s="79"/>
    </row>
    <row r="13" spans="1:6" x14ac:dyDescent="0.25">
      <c r="A13" s="83"/>
      <c r="B13" s="78" t="s">
        <v>72</v>
      </c>
      <c r="C13" s="82"/>
      <c r="D13" s="81"/>
      <c r="E13" s="80"/>
      <c r="F13" s="79"/>
    </row>
    <row r="14" spans="1:6" x14ac:dyDescent="0.25">
      <c r="A14" s="83"/>
      <c r="B14" s="78" t="s">
        <v>71</v>
      </c>
      <c r="C14" s="82"/>
      <c r="D14" s="81"/>
      <c r="E14" s="80"/>
      <c r="F14" s="79"/>
    </row>
    <row r="15" spans="1:6" x14ac:dyDescent="0.25">
      <c r="A15" s="137"/>
      <c r="B15" s="78" t="s">
        <v>70</v>
      </c>
      <c r="C15" s="78"/>
      <c r="D15" s="78"/>
      <c r="E15" s="78"/>
      <c r="F15" s="138"/>
    </row>
    <row r="16" spans="1:6" x14ac:dyDescent="0.25">
      <c r="A16" s="137"/>
      <c r="B16" s="78" t="s">
        <v>69</v>
      </c>
      <c r="C16" s="78"/>
      <c r="D16" s="78"/>
      <c r="E16" s="78"/>
      <c r="F16" s="138"/>
    </row>
    <row r="17" spans="1:10" x14ac:dyDescent="0.25">
      <c r="A17" s="137"/>
      <c r="B17" s="78"/>
      <c r="C17" s="78"/>
      <c r="D17" s="78"/>
      <c r="E17" s="78"/>
      <c r="F17" s="138"/>
    </row>
    <row r="18" spans="1:10" x14ac:dyDescent="0.25">
      <c r="A18" s="137"/>
      <c r="B18" s="78"/>
      <c r="C18" s="78"/>
      <c r="D18" s="78"/>
      <c r="E18" s="78"/>
      <c r="F18" s="138"/>
    </row>
    <row r="19" spans="1:10" x14ac:dyDescent="0.25">
      <c r="A19" s="75">
        <v>1.1000000000000001</v>
      </c>
      <c r="B19" s="77" t="s">
        <v>5</v>
      </c>
      <c r="C19" s="76"/>
      <c r="D19" s="74"/>
      <c r="E19" s="73"/>
      <c r="F19" s="72"/>
    </row>
    <row r="20" spans="1:10" ht="58.5" customHeight="1" x14ac:dyDescent="0.25">
      <c r="A20" s="71">
        <v>1</v>
      </c>
      <c r="B20" s="67" t="s">
        <v>68</v>
      </c>
      <c r="C20" s="45">
        <v>1</v>
      </c>
      <c r="D20" s="66" t="s">
        <v>24</v>
      </c>
      <c r="E20" s="65"/>
      <c r="F20" s="34">
        <f t="shared" ref="F20:F28" si="0">IF(E20="",IF(C20="","",C20*E20),C20*E20)</f>
        <v>0</v>
      </c>
    </row>
    <row r="21" spans="1:10" ht="30.6" customHeight="1" x14ac:dyDescent="0.25">
      <c r="A21" s="71"/>
      <c r="B21" s="2" t="s">
        <v>177</v>
      </c>
      <c r="C21" s="45">
        <v>1</v>
      </c>
      <c r="D21" s="66" t="s">
        <v>24</v>
      </c>
      <c r="E21" s="65"/>
      <c r="F21" s="34">
        <f t="shared" si="0"/>
        <v>0</v>
      </c>
    </row>
    <row r="22" spans="1:10" x14ac:dyDescent="0.25">
      <c r="A22" s="68"/>
      <c r="B22" s="67"/>
      <c r="C22" s="76"/>
      <c r="D22" s="66"/>
      <c r="E22" s="65"/>
      <c r="F22" s="34" t="str">
        <f t="shared" si="0"/>
        <v/>
      </c>
      <c r="J22" s="3"/>
    </row>
    <row r="23" spans="1:10" x14ac:dyDescent="0.25">
      <c r="A23" s="75">
        <v>1.2</v>
      </c>
      <c r="B23" s="14" t="s">
        <v>6</v>
      </c>
      <c r="C23" s="76"/>
      <c r="D23" s="74"/>
      <c r="E23" s="73"/>
      <c r="F23" s="34" t="str">
        <f t="shared" si="0"/>
        <v/>
      </c>
    </row>
    <row r="24" spans="1:10" x14ac:dyDescent="0.25">
      <c r="A24" s="71">
        <v>1</v>
      </c>
      <c r="B24" s="70" t="s">
        <v>67</v>
      </c>
      <c r="C24" s="45">
        <v>1</v>
      </c>
      <c r="D24" s="69" t="s">
        <v>3</v>
      </c>
      <c r="E24" s="65"/>
      <c r="F24" s="34">
        <f t="shared" si="0"/>
        <v>0</v>
      </c>
    </row>
    <row r="25" spans="1:10" x14ac:dyDescent="0.25">
      <c r="A25" s="68"/>
      <c r="B25" s="67"/>
      <c r="C25" s="45"/>
      <c r="D25" s="66"/>
      <c r="E25" s="65"/>
      <c r="F25" s="34" t="str">
        <f t="shared" si="0"/>
        <v/>
      </c>
    </row>
    <row r="26" spans="1:10" x14ac:dyDescent="0.25">
      <c r="A26" s="75">
        <v>1.3</v>
      </c>
      <c r="B26" s="14" t="s">
        <v>7</v>
      </c>
      <c r="C26" s="45"/>
      <c r="D26" s="74"/>
      <c r="E26" s="73"/>
      <c r="F26" s="34" t="str">
        <f t="shared" si="0"/>
        <v/>
      </c>
    </row>
    <row r="27" spans="1:10" ht="30" customHeight="1" x14ac:dyDescent="0.25">
      <c r="A27" s="71">
        <v>1</v>
      </c>
      <c r="B27" s="70" t="s">
        <v>66</v>
      </c>
      <c r="C27" s="45">
        <v>1</v>
      </c>
      <c r="D27" s="69" t="s">
        <v>24</v>
      </c>
      <c r="E27" s="65"/>
      <c r="F27" s="34">
        <f t="shared" si="0"/>
        <v>0</v>
      </c>
    </row>
    <row r="28" spans="1:10" x14ac:dyDescent="0.25">
      <c r="A28" s="71"/>
      <c r="B28" s="70"/>
      <c r="C28" s="45"/>
      <c r="D28" s="69"/>
      <c r="E28" s="65"/>
      <c r="F28" s="34" t="str">
        <f t="shared" si="0"/>
        <v/>
      </c>
      <c r="G28" s="12"/>
      <c r="H28" s="1"/>
    </row>
    <row r="29" spans="1:10" x14ac:dyDescent="0.25">
      <c r="A29" s="140"/>
      <c r="B29" s="141"/>
      <c r="C29" s="141"/>
      <c r="D29" s="141"/>
      <c r="E29" s="141"/>
      <c r="F29" s="142" t="s">
        <v>180</v>
      </c>
    </row>
  </sheetData>
  <mergeCells count="1">
    <mergeCell ref="B2:E2"/>
  </mergeCells>
  <pageMargins left="0.7" right="0.7" top="0.75" bottom="0.75" header="0.3" footer="0.3"/>
  <pageSetup paperSize="9" scale="85" fitToHeight="0"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view="pageBreakPreview" zoomScale="80" zoomScaleNormal="70" zoomScaleSheetLayoutView="80" workbookViewId="0">
      <selection activeCell="S15" sqref="S15"/>
    </sheetView>
  </sheetViews>
  <sheetFormatPr defaultRowHeight="15" x14ac:dyDescent="0.25"/>
  <cols>
    <col min="1" max="1" width="5" customWidth="1"/>
    <col min="2" max="2" width="47.5703125" customWidth="1"/>
    <col min="3" max="3" width="9.7109375" bestFit="1" customWidth="1"/>
    <col min="4" max="4" width="5.28515625" customWidth="1"/>
    <col min="5" max="5" width="16" customWidth="1"/>
    <col min="6" max="6" width="19" style="1" bestFit="1" customWidth="1"/>
  </cols>
  <sheetData>
    <row r="1" spans="1:19" x14ac:dyDescent="0.25">
      <c r="A1" s="5" t="s">
        <v>10</v>
      </c>
      <c r="B1" s="224" t="s">
        <v>11</v>
      </c>
      <c r="C1" s="225" t="s">
        <v>12</v>
      </c>
      <c r="D1" s="226" t="s">
        <v>13</v>
      </c>
      <c r="E1" s="224" t="s">
        <v>122</v>
      </c>
      <c r="F1" s="9" t="s">
        <v>14</v>
      </c>
    </row>
    <row r="2" spans="1:19" ht="15.75" thickBot="1" x14ac:dyDescent="0.3">
      <c r="A2" s="10">
        <v>2</v>
      </c>
      <c r="B2" s="241" t="s">
        <v>151</v>
      </c>
      <c r="C2" s="242"/>
      <c r="D2" s="242"/>
      <c r="E2" s="242"/>
      <c r="F2" s="11"/>
    </row>
    <row r="3" spans="1:19" ht="15.75" thickTop="1" x14ac:dyDescent="0.25">
      <c r="A3" s="125">
        <v>2.1</v>
      </c>
      <c r="B3" s="227" t="s">
        <v>16</v>
      </c>
      <c r="C3" s="31"/>
      <c r="D3" s="27"/>
      <c r="E3" s="17"/>
      <c r="F3" s="18"/>
    </row>
    <row r="4" spans="1:19" ht="62.25" customHeight="1" x14ac:dyDescent="0.25">
      <c r="A4" s="126"/>
      <c r="B4" s="228" t="s">
        <v>152</v>
      </c>
      <c r="C4" s="31"/>
      <c r="D4" s="27"/>
      <c r="E4" s="28"/>
      <c r="F4" s="29"/>
    </row>
    <row r="5" spans="1:19" ht="15.75" thickBot="1" x14ac:dyDescent="0.3">
      <c r="A5" s="194"/>
      <c r="B5" s="243" t="s">
        <v>85</v>
      </c>
      <c r="C5" s="244"/>
      <c r="D5" s="244"/>
      <c r="E5" s="245"/>
      <c r="F5" s="144">
        <f>SUM(F8:F18)</f>
        <v>0</v>
      </c>
    </row>
    <row r="6" spans="1:19" ht="15.75" thickTop="1" x14ac:dyDescent="0.25">
      <c r="A6" s="193"/>
      <c r="B6" s="14"/>
      <c r="C6" s="31"/>
      <c r="D6" s="27"/>
      <c r="E6" s="17"/>
      <c r="F6" s="34" t="str">
        <f t="shared" ref="F6:F19" si="0">IF(E6="",IF(C6="","",C6*E6),C6*E6)</f>
        <v/>
      </c>
    </row>
    <row r="7" spans="1:19" x14ac:dyDescent="0.25">
      <c r="A7" s="127">
        <v>2.2000000000000002</v>
      </c>
      <c r="B7" s="14" t="s">
        <v>243</v>
      </c>
      <c r="C7" s="31"/>
      <c r="D7" s="27"/>
      <c r="E7" s="28"/>
      <c r="F7" s="34" t="str">
        <f t="shared" si="0"/>
        <v/>
      </c>
    </row>
    <row r="8" spans="1:19" ht="15.75" x14ac:dyDescent="0.25">
      <c r="A8" s="127"/>
      <c r="B8" s="87" t="s">
        <v>244</v>
      </c>
      <c r="C8" s="100">
        <v>72.465000000000003</v>
      </c>
      <c r="D8" s="27" t="s">
        <v>84</v>
      </c>
      <c r="E8" s="28"/>
      <c r="F8" s="34">
        <f t="shared" si="0"/>
        <v>0</v>
      </c>
    </row>
    <row r="9" spans="1:19" ht="27.75" customHeight="1" x14ac:dyDescent="0.25">
      <c r="A9" s="127"/>
      <c r="B9" s="87" t="s">
        <v>245</v>
      </c>
      <c r="C9" s="100">
        <v>32.376800000000003</v>
      </c>
      <c r="D9" s="27" t="s">
        <v>84</v>
      </c>
      <c r="E9" s="28"/>
      <c r="F9" s="34">
        <f t="shared" si="0"/>
        <v>0</v>
      </c>
    </row>
    <row r="10" spans="1:19" ht="15.75" x14ac:dyDescent="0.25">
      <c r="A10" s="127"/>
      <c r="B10" s="2" t="s">
        <v>83</v>
      </c>
      <c r="C10" s="100">
        <v>56.531799999999997</v>
      </c>
      <c r="D10" s="27" t="s">
        <v>84</v>
      </c>
      <c r="E10" s="28"/>
      <c r="F10" s="34">
        <f t="shared" si="0"/>
        <v>0</v>
      </c>
      <c r="I10" s="121"/>
      <c r="J10" s="121"/>
      <c r="K10" s="121"/>
    </row>
    <row r="11" spans="1:19" x14ac:dyDescent="0.25">
      <c r="A11" s="127"/>
      <c r="B11" s="2"/>
      <c r="C11" s="100"/>
      <c r="D11" s="27"/>
      <c r="E11" s="28"/>
      <c r="F11" s="34" t="str">
        <f t="shared" si="0"/>
        <v/>
      </c>
      <c r="I11" s="121"/>
      <c r="J11" s="121"/>
      <c r="K11" s="121"/>
    </row>
    <row r="12" spans="1:19" x14ac:dyDescent="0.25">
      <c r="A12" s="127"/>
      <c r="B12" s="14"/>
      <c r="C12" s="27"/>
      <c r="D12" s="27"/>
      <c r="E12" s="28"/>
      <c r="F12" s="34" t="str">
        <f t="shared" si="0"/>
        <v/>
      </c>
    </row>
    <row r="13" spans="1:19" x14ac:dyDescent="0.25">
      <c r="A13" s="127">
        <v>2.2999999999999998</v>
      </c>
      <c r="B13" s="14" t="s">
        <v>8</v>
      </c>
      <c r="C13" s="31"/>
      <c r="D13" s="27"/>
      <c r="E13" s="28"/>
      <c r="F13" s="34" t="str">
        <f t="shared" si="0"/>
        <v/>
      </c>
    </row>
    <row r="14" spans="1:19" ht="25.5" x14ac:dyDescent="0.25">
      <c r="A14" s="127"/>
      <c r="B14" s="36" t="s">
        <v>66</v>
      </c>
      <c r="C14" s="31">
        <v>1</v>
      </c>
      <c r="D14" s="27" t="s">
        <v>24</v>
      </c>
      <c r="E14" s="28"/>
      <c r="F14" s="34">
        <f t="shared" si="0"/>
        <v>0</v>
      </c>
      <c r="H14" s="120"/>
    </row>
    <row r="15" spans="1:19" x14ac:dyDescent="0.25">
      <c r="A15" s="127"/>
      <c r="B15" s="36"/>
      <c r="C15" s="33"/>
      <c r="D15" s="27"/>
      <c r="E15" s="28"/>
      <c r="F15" s="34" t="str">
        <f t="shared" si="0"/>
        <v/>
      </c>
      <c r="S15">
        <f>53.044+45.798+2.353+2.353+45.978+13.245+13.245+23.309+23.309+74.094+27.04</f>
        <v>323.76799999999997</v>
      </c>
    </row>
    <row r="16" spans="1:19" x14ac:dyDescent="0.25">
      <c r="A16" s="127"/>
      <c r="B16" s="36"/>
      <c r="C16" s="33"/>
      <c r="D16" s="27"/>
      <c r="E16" s="28"/>
      <c r="F16" s="34" t="str">
        <f t="shared" si="0"/>
        <v/>
      </c>
      <c r="J16" t="s">
        <v>238</v>
      </c>
      <c r="K16">
        <v>8</v>
      </c>
      <c r="L16">
        <v>1.2</v>
      </c>
      <c r="M16">
        <f>1.5*1.5</f>
        <v>2.25</v>
      </c>
      <c r="N16">
        <f>M16*L16*K16</f>
        <v>21.599999999999998</v>
      </c>
    </row>
    <row r="17" spans="1:19" x14ac:dyDescent="0.25">
      <c r="A17" s="127">
        <v>2.5</v>
      </c>
      <c r="B17" s="14" t="s">
        <v>82</v>
      </c>
      <c r="C17" s="33"/>
      <c r="D17" s="27"/>
      <c r="E17" s="28"/>
      <c r="F17" s="34" t="str">
        <f t="shared" si="0"/>
        <v/>
      </c>
      <c r="J17" t="s">
        <v>239</v>
      </c>
      <c r="L17">
        <v>1.2</v>
      </c>
      <c r="M17">
        <f>1.1*1.1</f>
        <v>1.2100000000000002</v>
      </c>
      <c r="N17">
        <f t="shared" ref="N17:N20" si="1">M17*L17*K17</f>
        <v>0</v>
      </c>
      <c r="S17">
        <f>S15*0.25*0.4</f>
        <v>32.376799999999996</v>
      </c>
    </row>
    <row r="18" spans="1:19" ht="17.25" customHeight="1" x14ac:dyDescent="0.25">
      <c r="A18" s="60"/>
      <c r="B18" s="36" t="s">
        <v>81</v>
      </c>
      <c r="C18" s="100">
        <f>(C9+C8)-C10</f>
        <v>48.310000000000009</v>
      </c>
      <c r="D18" s="27" t="s">
        <v>154</v>
      </c>
      <c r="E18" s="28"/>
      <c r="F18" s="34">
        <f t="shared" si="0"/>
        <v>0</v>
      </c>
      <c r="J18" t="s">
        <v>240</v>
      </c>
      <c r="K18">
        <v>24</v>
      </c>
      <c r="L18">
        <v>1.2</v>
      </c>
      <c r="M18">
        <f>1*1</f>
        <v>1</v>
      </c>
      <c r="N18">
        <f t="shared" si="1"/>
        <v>28.799999999999997</v>
      </c>
    </row>
    <row r="19" spans="1:19" x14ac:dyDescent="0.25">
      <c r="A19" s="60"/>
      <c r="B19" s="36"/>
      <c r="C19" s="33"/>
      <c r="D19" s="27"/>
      <c r="E19" s="28"/>
      <c r="F19" s="34" t="str">
        <f t="shared" si="0"/>
        <v/>
      </c>
      <c r="J19" t="s">
        <v>241</v>
      </c>
      <c r="K19">
        <v>20</v>
      </c>
      <c r="L19">
        <v>1.2</v>
      </c>
      <c r="M19">
        <f>0.85*0.85</f>
        <v>0.72249999999999992</v>
      </c>
      <c r="N19">
        <f t="shared" si="1"/>
        <v>17.339999999999996</v>
      </c>
    </row>
    <row r="20" spans="1:19" x14ac:dyDescent="0.25">
      <c r="A20" s="145"/>
      <c r="B20" s="146"/>
      <c r="C20" s="146"/>
      <c r="D20" s="146"/>
      <c r="E20" s="146"/>
      <c r="F20" s="147" t="s">
        <v>181</v>
      </c>
      <c r="J20" t="s">
        <v>242</v>
      </c>
      <c r="K20">
        <v>7</v>
      </c>
      <c r="L20">
        <v>1.2</v>
      </c>
      <c r="M20">
        <f>0.75*0.75</f>
        <v>0.5625</v>
      </c>
      <c r="N20">
        <f t="shared" si="1"/>
        <v>4.7249999999999996</v>
      </c>
    </row>
    <row r="21" spans="1:19" x14ac:dyDescent="0.25">
      <c r="N21">
        <f>SUM(N16:N20)</f>
        <v>72.464999999999975</v>
      </c>
    </row>
    <row r="23" spans="1:19" x14ac:dyDescent="0.25">
      <c r="K23" t="s">
        <v>238</v>
      </c>
      <c r="L23">
        <v>8</v>
      </c>
      <c r="M23">
        <v>0.4</v>
      </c>
      <c r="N23">
        <f>1.5*1.5</f>
        <v>2.25</v>
      </c>
      <c r="O23">
        <f>N23*M23*L23</f>
        <v>7.2</v>
      </c>
    </row>
    <row r="24" spans="1:19" x14ac:dyDescent="0.25">
      <c r="K24" t="s">
        <v>239</v>
      </c>
      <c r="M24">
        <v>0.4</v>
      </c>
      <c r="N24">
        <f>1.1*1.1</f>
        <v>1.2100000000000002</v>
      </c>
      <c r="O24">
        <f t="shared" ref="O24:O27" si="2">N24*M24*L24</f>
        <v>0</v>
      </c>
    </row>
    <row r="25" spans="1:19" x14ac:dyDescent="0.25">
      <c r="K25" t="s">
        <v>240</v>
      </c>
      <c r="L25">
        <v>24</v>
      </c>
      <c r="M25">
        <v>0.4</v>
      </c>
      <c r="N25">
        <f>1*1</f>
        <v>1</v>
      </c>
      <c r="O25">
        <f t="shared" si="2"/>
        <v>9.6000000000000014</v>
      </c>
    </row>
    <row r="26" spans="1:19" x14ac:dyDescent="0.25">
      <c r="K26" t="s">
        <v>241</v>
      </c>
      <c r="L26">
        <v>20</v>
      </c>
      <c r="M26">
        <v>0.4</v>
      </c>
      <c r="N26">
        <f>0.85*0.85</f>
        <v>0.72249999999999992</v>
      </c>
      <c r="O26">
        <f t="shared" si="2"/>
        <v>5.7799999999999994</v>
      </c>
    </row>
    <row r="27" spans="1:19" x14ac:dyDescent="0.25">
      <c r="K27" t="s">
        <v>242</v>
      </c>
      <c r="L27">
        <v>7</v>
      </c>
      <c r="M27">
        <v>0.4</v>
      </c>
      <c r="N27">
        <f>0.75*0.75</f>
        <v>0.5625</v>
      </c>
      <c r="O27">
        <f t="shared" si="2"/>
        <v>1.575</v>
      </c>
    </row>
    <row r="28" spans="1:19" x14ac:dyDescent="0.25">
      <c r="O28">
        <f>SUM(O23:O27)</f>
        <v>24.154999999999998</v>
      </c>
      <c r="Q28">
        <f>O28+S17</f>
        <v>56.53179999999999</v>
      </c>
    </row>
  </sheetData>
  <mergeCells count="2">
    <mergeCell ref="B2:E2"/>
    <mergeCell ref="B5:E5"/>
  </mergeCells>
  <pageMargins left="0.7" right="0.7" top="0.75" bottom="0.75" header="0.3" footer="0.3"/>
  <pageSetup paperSize="9" scale="85" fitToHeight="0"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32"/>
  <sheetViews>
    <sheetView view="pageBreakPreview" topLeftCell="A61" zoomScale="85" zoomScaleNormal="70" zoomScaleSheetLayoutView="85" workbookViewId="0">
      <selection activeCell="B75" sqref="B75"/>
    </sheetView>
  </sheetViews>
  <sheetFormatPr defaultRowHeight="15" x14ac:dyDescent="0.25"/>
  <cols>
    <col min="1" max="1" width="5" customWidth="1"/>
    <col min="2" max="2" width="47.5703125" customWidth="1"/>
    <col min="3" max="3" width="9.85546875" bestFit="1" customWidth="1"/>
    <col min="4" max="4" width="6.5703125" customWidth="1"/>
    <col min="5" max="5" width="15.140625" customWidth="1"/>
    <col min="6" max="6" width="19" style="1" bestFit="1" customWidth="1"/>
    <col min="9" max="9" width="10.7109375" bestFit="1" customWidth="1"/>
    <col min="10" max="10" width="11.140625" bestFit="1" customWidth="1"/>
  </cols>
  <sheetData>
    <row r="1" spans="1:22" x14ac:dyDescent="0.25">
      <c r="A1" s="5" t="s">
        <v>10</v>
      </c>
      <c r="B1" s="6" t="s">
        <v>11</v>
      </c>
      <c r="C1" s="7" t="s">
        <v>12</v>
      </c>
      <c r="D1" s="8" t="s">
        <v>13</v>
      </c>
      <c r="E1" s="6" t="s">
        <v>139</v>
      </c>
      <c r="F1" s="9" t="s">
        <v>14</v>
      </c>
    </row>
    <row r="2" spans="1:22" ht="15.75" thickBot="1" x14ac:dyDescent="0.3">
      <c r="A2" s="10">
        <v>3</v>
      </c>
      <c r="B2" s="246" t="s">
        <v>98</v>
      </c>
      <c r="C2" s="247"/>
      <c r="D2" s="247"/>
      <c r="E2" s="247"/>
      <c r="F2" s="11"/>
    </row>
    <row r="3" spans="1:22" ht="15.75" thickTop="1" x14ac:dyDescent="0.25">
      <c r="A3" s="13">
        <v>3.1</v>
      </c>
      <c r="B3" s="14" t="s">
        <v>16</v>
      </c>
      <c r="C3" s="31"/>
      <c r="D3" s="27"/>
      <c r="E3" s="17"/>
      <c r="F3" s="18"/>
    </row>
    <row r="4" spans="1:22" ht="69" customHeight="1" x14ac:dyDescent="0.25">
      <c r="A4" s="89" t="s">
        <v>29</v>
      </c>
      <c r="B4" s="2" t="s">
        <v>97</v>
      </c>
      <c r="C4" s="31"/>
      <c r="D4" s="27"/>
      <c r="E4" s="28"/>
      <c r="F4" s="29"/>
    </row>
    <row r="5" spans="1:22" ht="59.25" customHeight="1" x14ac:dyDescent="0.25">
      <c r="A5" s="89" t="s">
        <v>27</v>
      </c>
      <c r="B5" s="2" t="s">
        <v>96</v>
      </c>
      <c r="C5" s="31"/>
      <c r="D5" s="27"/>
      <c r="E5" s="28"/>
      <c r="F5" s="29"/>
    </row>
    <row r="6" spans="1:22" ht="70.5" customHeight="1" x14ac:dyDescent="0.25">
      <c r="A6" s="25" t="s">
        <v>40</v>
      </c>
      <c r="B6" s="2" t="s">
        <v>95</v>
      </c>
      <c r="C6" s="31"/>
      <c r="D6" s="27"/>
      <c r="E6" s="28"/>
      <c r="F6" s="29"/>
    </row>
    <row r="7" spans="1:22" ht="69.75" customHeight="1" x14ac:dyDescent="0.25">
      <c r="A7" s="25" t="s">
        <v>38</v>
      </c>
      <c r="B7" s="2" t="s">
        <v>94</v>
      </c>
      <c r="C7" s="31"/>
      <c r="D7" s="27"/>
      <c r="E7" s="28"/>
      <c r="F7" s="29"/>
    </row>
    <row r="8" spans="1:22" ht="29.25" customHeight="1" x14ac:dyDescent="0.25">
      <c r="A8" s="25" t="s">
        <v>26</v>
      </c>
      <c r="B8" s="2" t="s">
        <v>93</v>
      </c>
      <c r="C8" s="31"/>
      <c r="D8" s="27"/>
      <c r="E8" s="28"/>
      <c r="F8" s="29"/>
    </row>
    <row r="9" spans="1:22" ht="48" customHeight="1" x14ac:dyDescent="0.25">
      <c r="A9" s="25" t="s">
        <v>92</v>
      </c>
      <c r="B9" s="2" t="s">
        <v>91</v>
      </c>
      <c r="C9" s="31"/>
      <c r="D9" s="27"/>
      <c r="E9" s="28"/>
      <c r="F9" s="29"/>
    </row>
    <row r="10" spans="1:22" ht="39" customHeight="1" x14ac:dyDescent="0.25">
      <c r="A10" s="25" t="s">
        <v>179</v>
      </c>
      <c r="B10" s="2" t="s">
        <v>89</v>
      </c>
      <c r="C10" s="31"/>
      <c r="D10" s="27"/>
      <c r="E10" s="28"/>
      <c r="F10" s="29"/>
    </row>
    <row r="11" spans="1:22" ht="69" customHeight="1" x14ac:dyDescent="0.25">
      <c r="A11" s="25" t="s">
        <v>90</v>
      </c>
      <c r="B11" s="88" t="s">
        <v>88</v>
      </c>
      <c r="C11" s="31"/>
      <c r="D11" s="27"/>
      <c r="E11" s="28"/>
      <c r="F11" s="29"/>
    </row>
    <row r="12" spans="1:22" x14ac:dyDescent="0.25">
      <c r="A12" s="25" t="s">
        <v>87</v>
      </c>
      <c r="B12" s="2" t="s">
        <v>86</v>
      </c>
      <c r="C12" s="31">
        <v>1</v>
      </c>
      <c r="D12" s="27" t="s">
        <v>24</v>
      </c>
      <c r="E12" s="28"/>
      <c r="F12" s="34">
        <f>IF(E12="",IF(C12="","",C12*E12),C12*E12)</f>
        <v>0</v>
      </c>
    </row>
    <row r="13" spans="1:22" x14ac:dyDescent="0.25">
      <c r="A13" s="149"/>
      <c r="B13" s="150"/>
      <c r="C13" s="151"/>
      <c r="D13" s="152"/>
      <c r="E13" s="153"/>
      <c r="F13" s="154"/>
    </row>
    <row r="14" spans="1:22" ht="15.75" thickBot="1" x14ac:dyDescent="0.3">
      <c r="A14" s="195">
        <v>3.2</v>
      </c>
      <c r="B14" s="248" t="s">
        <v>85</v>
      </c>
      <c r="C14" s="249"/>
      <c r="D14" s="249"/>
      <c r="E14" s="249"/>
      <c r="F14" s="155">
        <f>SUM(F17:F68)</f>
        <v>0</v>
      </c>
    </row>
    <row r="15" spans="1:22" ht="15.75" thickTop="1" x14ac:dyDescent="0.25">
      <c r="A15" s="30"/>
      <c r="B15" s="14"/>
      <c r="C15" s="31"/>
      <c r="D15" s="27"/>
      <c r="E15" s="17"/>
      <c r="F15" s="79"/>
    </row>
    <row r="16" spans="1:22" x14ac:dyDescent="0.25">
      <c r="A16" s="86"/>
      <c r="B16" s="14" t="s">
        <v>102</v>
      </c>
      <c r="C16" s="27"/>
      <c r="D16" s="27"/>
      <c r="E16" s="28"/>
      <c r="F16" s="34" t="str">
        <f t="shared" ref="F16:F58" si="0">IF(E16="",IF(C16="","",C16*E16),C16*E16)</f>
        <v/>
      </c>
      <c r="I16" s="3"/>
      <c r="U16" t="s">
        <v>219</v>
      </c>
      <c r="V16" t="s">
        <v>29</v>
      </c>
    </row>
    <row r="17" spans="1:22" ht="15" customHeight="1" x14ac:dyDescent="0.25">
      <c r="A17" s="60"/>
      <c r="B17" s="2" t="s">
        <v>236</v>
      </c>
      <c r="C17" s="31">
        <v>7.0664749999999996</v>
      </c>
      <c r="D17" s="27" t="s">
        <v>84</v>
      </c>
      <c r="E17" s="28"/>
      <c r="F17" s="34">
        <f t="shared" si="0"/>
        <v>0</v>
      </c>
      <c r="O17" t="s">
        <v>219</v>
      </c>
      <c r="P17" t="s">
        <v>29</v>
      </c>
      <c r="T17">
        <f>53.044+45.798+2.353+2.353+45.978+13.245+13.245+23.309+23.309+74.094+27.04</f>
        <v>323.76799999999997</v>
      </c>
      <c r="U17">
        <f>T17*0.25*0.4</f>
        <v>32.376799999999996</v>
      </c>
      <c r="V17">
        <f>T17*0.25</f>
        <v>80.941999999999993</v>
      </c>
    </row>
    <row r="18" spans="1:22" x14ac:dyDescent="0.25">
      <c r="A18" s="60"/>
      <c r="B18" s="90"/>
      <c r="C18" s="31"/>
      <c r="D18" s="27"/>
      <c r="E18" s="28"/>
      <c r="F18" s="34" t="str">
        <f t="shared" si="0"/>
        <v/>
      </c>
      <c r="K18" t="s">
        <v>238</v>
      </c>
      <c r="L18">
        <v>8</v>
      </c>
      <c r="M18">
        <v>1.2</v>
      </c>
      <c r="N18">
        <f>1.5*1.5</f>
        <v>2.25</v>
      </c>
      <c r="O18">
        <f>N18*M18*L18</f>
        <v>21.599999999999998</v>
      </c>
      <c r="P18">
        <f>N18*L18</f>
        <v>18</v>
      </c>
    </row>
    <row r="19" spans="1:22" x14ac:dyDescent="0.25">
      <c r="A19" s="86"/>
      <c r="B19" s="14" t="s">
        <v>215</v>
      </c>
      <c r="C19" s="27"/>
      <c r="D19" s="27"/>
      <c r="E19" s="28"/>
      <c r="F19" s="34" t="str">
        <f t="shared" si="0"/>
        <v/>
      </c>
      <c r="K19" t="s">
        <v>239</v>
      </c>
      <c r="M19">
        <v>1.2</v>
      </c>
      <c r="N19">
        <f>1.1*1.1</f>
        <v>1.2100000000000002</v>
      </c>
      <c r="O19">
        <f t="shared" ref="O19:O22" si="1">N19*M19*L19</f>
        <v>0</v>
      </c>
      <c r="P19">
        <f t="shared" ref="P19:P22" si="2">N19*L19</f>
        <v>0</v>
      </c>
    </row>
    <row r="20" spans="1:22" ht="15.75" x14ac:dyDescent="0.25">
      <c r="A20" s="60"/>
      <c r="B20" s="2" t="s">
        <v>123</v>
      </c>
      <c r="C20" s="31">
        <f>T27</f>
        <v>5.3999999999999995</v>
      </c>
      <c r="D20" s="27" t="s">
        <v>84</v>
      </c>
      <c r="E20" s="28"/>
      <c r="F20" s="34">
        <f t="shared" si="0"/>
        <v>0</v>
      </c>
      <c r="K20" t="s">
        <v>240</v>
      </c>
      <c r="L20">
        <v>24</v>
      </c>
      <c r="M20">
        <v>1.2</v>
      </c>
      <c r="N20">
        <f>1*1</f>
        <v>1</v>
      </c>
      <c r="O20">
        <f t="shared" si="1"/>
        <v>28.799999999999997</v>
      </c>
      <c r="P20">
        <f t="shared" si="2"/>
        <v>24</v>
      </c>
    </row>
    <row r="21" spans="1:22" x14ac:dyDescent="0.25">
      <c r="A21" s="86"/>
      <c r="B21" s="36" t="s">
        <v>0</v>
      </c>
      <c r="C21" s="31"/>
      <c r="D21" s="27"/>
      <c r="E21" s="28"/>
      <c r="F21" s="34" t="str">
        <f t="shared" si="0"/>
        <v/>
      </c>
      <c r="K21" t="s">
        <v>241</v>
      </c>
      <c r="L21">
        <v>20</v>
      </c>
      <c r="M21">
        <v>1.2</v>
      </c>
      <c r="N21">
        <f>0.85*0.85</f>
        <v>0.72249999999999992</v>
      </c>
      <c r="O21">
        <f t="shared" si="1"/>
        <v>17.339999999999996</v>
      </c>
      <c r="P21">
        <f t="shared" si="2"/>
        <v>14.45</v>
      </c>
    </row>
    <row r="22" spans="1:22" x14ac:dyDescent="0.25">
      <c r="A22" s="60"/>
      <c r="B22" s="90" t="s">
        <v>128</v>
      </c>
      <c r="C22" s="31">
        <f>R27</f>
        <v>158.02469135802468</v>
      </c>
      <c r="D22" s="27" t="s">
        <v>158</v>
      </c>
      <c r="E22" s="28"/>
      <c r="F22" s="34">
        <f t="shared" si="0"/>
        <v>0</v>
      </c>
      <c r="K22" t="s">
        <v>242</v>
      </c>
      <c r="L22">
        <v>7</v>
      </c>
      <c r="M22">
        <v>1.2</v>
      </c>
      <c r="N22">
        <f>0.75*0.75</f>
        <v>0.5625</v>
      </c>
      <c r="O22">
        <f t="shared" si="1"/>
        <v>4.7249999999999996</v>
      </c>
      <c r="P22">
        <f t="shared" si="2"/>
        <v>3.9375</v>
      </c>
    </row>
    <row r="23" spans="1:22" ht="15.75" x14ac:dyDescent="0.25">
      <c r="A23" s="86"/>
      <c r="B23" s="36" t="s">
        <v>101</v>
      </c>
      <c r="C23" s="31">
        <f>U27</f>
        <v>32.4</v>
      </c>
      <c r="D23" s="27" t="s">
        <v>22</v>
      </c>
      <c r="E23" s="28"/>
      <c r="F23" s="34">
        <f t="shared" si="0"/>
        <v>0</v>
      </c>
    </row>
    <row r="24" spans="1:22" x14ac:dyDescent="0.25">
      <c r="A24" s="60"/>
      <c r="B24" s="88" t="s">
        <v>1</v>
      </c>
      <c r="C24" s="27"/>
      <c r="D24" s="27"/>
      <c r="E24" s="28"/>
      <c r="F24" s="34" t="str">
        <f t="shared" si="0"/>
        <v/>
      </c>
      <c r="O24">
        <f>SUM(O18:O23)</f>
        <v>72.464999999999975</v>
      </c>
      <c r="P24">
        <f>SUM(P18:P23)</f>
        <v>60.387500000000003</v>
      </c>
      <c r="R24">
        <f>P24+V17</f>
        <v>141.3295</v>
      </c>
      <c r="S24">
        <f>R24*0.05</f>
        <v>7.0664750000000005</v>
      </c>
    </row>
    <row r="25" spans="1:22" ht="43.5" customHeight="1" x14ac:dyDescent="0.25">
      <c r="A25" s="60"/>
      <c r="B25" s="2" t="s">
        <v>100</v>
      </c>
      <c r="C25" s="31">
        <f>S27</f>
        <v>14.399999999999999</v>
      </c>
      <c r="D25" s="27" t="s">
        <v>22</v>
      </c>
      <c r="E25" s="28"/>
      <c r="F25" s="34">
        <f t="shared" si="0"/>
        <v>0</v>
      </c>
    </row>
    <row r="26" spans="1:22" x14ac:dyDescent="0.25">
      <c r="A26" s="60"/>
      <c r="B26" s="90"/>
      <c r="C26" s="31"/>
      <c r="D26" s="27"/>
      <c r="E26" s="28"/>
      <c r="F26" s="34" t="str">
        <f t="shared" ref="F26:F33" si="3">IF(E26="",IF(C26="","",C26*E26),C26*E26)</f>
        <v/>
      </c>
      <c r="L26" t="s">
        <v>206</v>
      </c>
      <c r="M26" t="s">
        <v>27</v>
      </c>
      <c r="N26" t="s">
        <v>202</v>
      </c>
      <c r="O26" t="s">
        <v>9</v>
      </c>
      <c r="Q26" s="232" t="s">
        <v>249</v>
      </c>
      <c r="R26" t="s">
        <v>207</v>
      </c>
      <c r="S26" t="s">
        <v>223</v>
      </c>
      <c r="T26" t="s">
        <v>219</v>
      </c>
      <c r="U26" t="s">
        <v>250</v>
      </c>
    </row>
    <row r="27" spans="1:22" x14ac:dyDescent="0.25">
      <c r="A27" s="86"/>
      <c r="B27" s="14" t="s">
        <v>246</v>
      </c>
      <c r="C27" s="27"/>
      <c r="D27" s="27"/>
      <c r="E27" s="28"/>
      <c r="F27" s="34" t="str">
        <f t="shared" si="3"/>
        <v/>
      </c>
      <c r="K27" t="s">
        <v>238</v>
      </c>
      <c r="L27">
        <v>1.5</v>
      </c>
      <c r="M27">
        <v>1.5</v>
      </c>
      <c r="N27">
        <v>0.3</v>
      </c>
      <c r="O27">
        <v>8</v>
      </c>
      <c r="Q27">
        <f>(((1500/150)*(M27+0.1))*2)*O27</f>
        <v>256</v>
      </c>
      <c r="R27">
        <f>((10*10)*Q27)/162</f>
        <v>158.02469135802468</v>
      </c>
      <c r="S27">
        <f>((L27*4)*N27)*O27</f>
        <v>14.399999999999999</v>
      </c>
      <c r="T27">
        <f>(L27*M27*N27)*O27</f>
        <v>5.3999999999999995</v>
      </c>
      <c r="U27">
        <f>S27+((L27*M27)*O27)</f>
        <v>32.4</v>
      </c>
    </row>
    <row r="28" spans="1:22" ht="15.75" x14ac:dyDescent="0.25">
      <c r="A28" s="60"/>
      <c r="B28" s="2" t="s">
        <v>123</v>
      </c>
      <c r="C28" s="31">
        <f>T28</f>
        <v>7.1999999999999993</v>
      </c>
      <c r="D28" s="27" t="s">
        <v>84</v>
      </c>
      <c r="E28" s="28"/>
      <c r="F28" s="34">
        <f t="shared" si="3"/>
        <v>0</v>
      </c>
      <c r="K28" t="s">
        <v>240</v>
      </c>
      <c r="L28">
        <v>1</v>
      </c>
      <c r="M28">
        <v>1</v>
      </c>
      <c r="N28">
        <v>0.3</v>
      </c>
      <c r="O28">
        <v>24</v>
      </c>
      <c r="Q28">
        <f>(((1000/150)*(M28+0.1))*2)*O28</f>
        <v>352</v>
      </c>
      <c r="R28">
        <f t="shared" ref="R28:R30" si="4">((10*10)*Q28)/162</f>
        <v>217.28395061728395</v>
      </c>
      <c r="S28">
        <f t="shared" ref="S28:S30" si="5">((L28*4)*N28)*O28</f>
        <v>28.799999999999997</v>
      </c>
      <c r="T28">
        <f t="shared" ref="T28:T30" si="6">(L28*M28*N28)*O28</f>
        <v>7.1999999999999993</v>
      </c>
      <c r="U28">
        <f t="shared" ref="U28:U30" si="7">S28+((L28*M28)*O28)</f>
        <v>52.8</v>
      </c>
    </row>
    <row r="29" spans="1:22" x14ac:dyDescent="0.25">
      <c r="A29" s="86"/>
      <c r="B29" s="36" t="s">
        <v>0</v>
      </c>
      <c r="C29" s="31"/>
      <c r="D29" s="27"/>
      <c r="E29" s="28"/>
      <c r="F29" s="34" t="str">
        <f t="shared" si="3"/>
        <v/>
      </c>
      <c r="K29" t="s">
        <v>241</v>
      </c>
      <c r="L29">
        <v>0.85</v>
      </c>
      <c r="M29">
        <v>0.85</v>
      </c>
      <c r="N29">
        <v>0.3</v>
      </c>
      <c r="O29">
        <v>20</v>
      </c>
      <c r="Q29">
        <f>(((850/150)*(M29+0.1))*2)*O29</f>
        <v>215.33333333333334</v>
      </c>
      <c r="R29">
        <f t="shared" si="4"/>
        <v>132.92181069958849</v>
      </c>
      <c r="S29">
        <f t="shared" si="5"/>
        <v>20.399999999999999</v>
      </c>
      <c r="T29">
        <f t="shared" si="6"/>
        <v>4.3349999999999991</v>
      </c>
      <c r="U29">
        <f t="shared" si="7"/>
        <v>34.849999999999994</v>
      </c>
    </row>
    <row r="30" spans="1:22" x14ac:dyDescent="0.25">
      <c r="A30" s="60"/>
      <c r="B30" s="90" t="s">
        <v>128</v>
      </c>
      <c r="C30" s="31">
        <f>R28</f>
        <v>217.28395061728395</v>
      </c>
      <c r="D30" s="27" t="s">
        <v>158</v>
      </c>
      <c r="E30" s="28"/>
      <c r="F30" s="34">
        <f t="shared" si="3"/>
        <v>0</v>
      </c>
      <c r="K30" t="s">
        <v>242</v>
      </c>
      <c r="L30">
        <v>0.75</v>
      </c>
      <c r="M30">
        <v>0.75</v>
      </c>
      <c r="N30">
        <v>0.3</v>
      </c>
      <c r="O30">
        <v>7</v>
      </c>
      <c r="Q30">
        <f>(((750/150)*(M30+0.1))*2)*O30</f>
        <v>59.5</v>
      </c>
      <c r="R30">
        <f t="shared" si="4"/>
        <v>36.728395061728392</v>
      </c>
      <c r="S30">
        <f t="shared" si="5"/>
        <v>6.2999999999999989</v>
      </c>
      <c r="T30">
        <f t="shared" si="6"/>
        <v>1.1812499999999999</v>
      </c>
      <c r="U30">
        <f t="shared" si="7"/>
        <v>10.237499999999999</v>
      </c>
    </row>
    <row r="31" spans="1:22" ht="15.75" x14ac:dyDescent="0.25">
      <c r="A31" s="86"/>
      <c r="B31" s="36" t="s">
        <v>101</v>
      </c>
      <c r="C31" s="31">
        <f>U28</f>
        <v>52.8</v>
      </c>
      <c r="D31" s="27" t="s">
        <v>22</v>
      </c>
      <c r="E31" s="28"/>
      <c r="F31" s="34">
        <f t="shared" si="3"/>
        <v>0</v>
      </c>
    </row>
    <row r="32" spans="1:22" x14ac:dyDescent="0.25">
      <c r="A32" s="60"/>
      <c r="B32" s="88" t="s">
        <v>1</v>
      </c>
      <c r="C32" s="27"/>
      <c r="D32" s="27"/>
      <c r="E32" s="28"/>
      <c r="F32" s="34" t="str">
        <f t="shared" si="3"/>
        <v/>
      </c>
    </row>
    <row r="33" spans="1:6" ht="43.5" customHeight="1" x14ac:dyDescent="0.25">
      <c r="A33" s="60"/>
      <c r="B33" s="2" t="s">
        <v>100</v>
      </c>
      <c r="C33" s="31">
        <f>S28</f>
        <v>28.799999999999997</v>
      </c>
      <c r="D33" s="27" t="s">
        <v>22</v>
      </c>
      <c r="E33" s="28"/>
      <c r="F33" s="34">
        <f t="shared" si="3"/>
        <v>0</v>
      </c>
    </row>
    <row r="34" spans="1:6" x14ac:dyDescent="0.25">
      <c r="A34" s="60"/>
      <c r="B34" s="90"/>
      <c r="C34" s="31"/>
      <c r="D34" s="27"/>
      <c r="E34" s="28"/>
      <c r="F34" s="34" t="str">
        <f t="shared" ref="F34:F41" si="8">IF(E34="",IF(C34="","",C34*E34),C34*E34)</f>
        <v/>
      </c>
    </row>
    <row r="35" spans="1:6" x14ac:dyDescent="0.25">
      <c r="A35" s="86"/>
      <c r="B35" s="14" t="s">
        <v>247</v>
      </c>
      <c r="C35" s="27"/>
      <c r="D35" s="27"/>
      <c r="E35" s="28"/>
      <c r="F35" s="34" t="str">
        <f t="shared" si="8"/>
        <v/>
      </c>
    </row>
    <row r="36" spans="1:6" ht="15.75" x14ac:dyDescent="0.25">
      <c r="A36" s="60"/>
      <c r="B36" s="2" t="s">
        <v>123</v>
      </c>
      <c r="C36" s="31">
        <f>T29</f>
        <v>4.3349999999999991</v>
      </c>
      <c r="D36" s="27" t="s">
        <v>84</v>
      </c>
      <c r="E36" s="28"/>
      <c r="F36" s="34">
        <f t="shared" si="8"/>
        <v>0</v>
      </c>
    </row>
    <row r="37" spans="1:6" x14ac:dyDescent="0.25">
      <c r="A37" s="86"/>
      <c r="B37" s="36" t="s">
        <v>0</v>
      </c>
      <c r="C37" s="31"/>
      <c r="D37" s="27"/>
      <c r="E37" s="28"/>
      <c r="F37" s="34" t="str">
        <f t="shared" si="8"/>
        <v/>
      </c>
    </row>
    <row r="38" spans="1:6" x14ac:dyDescent="0.25">
      <c r="A38" s="60"/>
      <c r="B38" s="90" t="s">
        <v>128</v>
      </c>
      <c r="C38" s="31">
        <f>R29</f>
        <v>132.92181069958849</v>
      </c>
      <c r="D38" s="27" t="s">
        <v>158</v>
      </c>
      <c r="E38" s="28"/>
      <c r="F38" s="34">
        <f t="shared" si="8"/>
        <v>0</v>
      </c>
    </row>
    <row r="39" spans="1:6" ht="15.75" x14ac:dyDescent="0.25">
      <c r="A39" s="86"/>
      <c r="B39" s="36" t="s">
        <v>101</v>
      </c>
      <c r="C39" s="31">
        <f>U29</f>
        <v>34.849999999999994</v>
      </c>
      <c r="D39" s="27" t="s">
        <v>22</v>
      </c>
      <c r="E39" s="28"/>
      <c r="F39" s="34">
        <f t="shared" si="8"/>
        <v>0</v>
      </c>
    </row>
    <row r="40" spans="1:6" x14ac:dyDescent="0.25">
      <c r="A40" s="60"/>
      <c r="B40" s="88" t="s">
        <v>1</v>
      </c>
      <c r="C40" s="27"/>
      <c r="D40" s="27"/>
      <c r="E40" s="28"/>
      <c r="F40" s="34" t="str">
        <f t="shared" si="8"/>
        <v/>
      </c>
    </row>
    <row r="41" spans="1:6" ht="43.5" customHeight="1" x14ac:dyDescent="0.25">
      <c r="A41" s="60"/>
      <c r="B41" s="2" t="s">
        <v>100</v>
      </c>
      <c r="C41" s="31">
        <f>S29</f>
        <v>20.399999999999999</v>
      </c>
      <c r="D41" s="27" t="s">
        <v>22</v>
      </c>
      <c r="E41" s="28"/>
      <c r="F41" s="34">
        <f t="shared" si="8"/>
        <v>0</v>
      </c>
    </row>
    <row r="42" spans="1:6" x14ac:dyDescent="0.25">
      <c r="A42" s="60"/>
      <c r="B42" s="90"/>
      <c r="C42" s="31"/>
      <c r="D42" s="27"/>
      <c r="E42" s="28"/>
      <c r="F42" s="34" t="str">
        <f t="shared" ref="F42:F49" si="9">IF(E42="",IF(C42="","",C42*E42),C42*E42)</f>
        <v/>
      </c>
    </row>
    <row r="43" spans="1:6" x14ac:dyDescent="0.25">
      <c r="A43" s="86"/>
      <c r="B43" s="14" t="s">
        <v>248</v>
      </c>
      <c r="C43" s="27"/>
      <c r="D43" s="27"/>
      <c r="E43" s="28"/>
      <c r="F43" s="34" t="str">
        <f t="shared" si="9"/>
        <v/>
      </c>
    </row>
    <row r="44" spans="1:6" ht="15.75" x14ac:dyDescent="0.25">
      <c r="A44" s="60"/>
      <c r="B44" s="2" t="s">
        <v>123</v>
      </c>
      <c r="C44" s="31">
        <f>T30</f>
        <v>1.1812499999999999</v>
      </c>
      <c r="D44" s="27" t="s">
        <v>84</v>
      </c>
      <c r="E44" s="28"/>
      <c r="F44" s="34">
        <f t="shared" si="9"/>
        <v>0</v>
      </c>
    </row>
    <row r="45" spans="1:6" x14ac:dyDescent="0.25">
      <c r="A45" s="86"/>
      <c r="B45" s="36" t="s">
        <v>0</v>
      </c>
      <c r="C45" s="31"/>
      <c r="D45" s="27"/>
      <c r="E45" s="28"/>
      <c r="F45" s="34" t="str">
        <f t="shared" si="9"/>
        <v/>
      </c>
    </row>
    <row r="46" spans="1:6" x14ac:dyDescent="0.25">
      <c r="A46" s="60"/>
      <c r="B46" s="90" t="s">
        <v>128</v>
      </c>
      <c r="C46" s="31">
        <f>R30</f>
        <v>36.728395061728392</v>
      </c>
      <c r="D46" s="27" t="s">
        <v>158</v>
      </c>
      <c r="E46" s="28"/>
      <c r="F46" s="34">
        <f t="shared" si="9"/>
        <v>0</v>
      </c>
    </row>
    <row r="47" spans="1:6" ht="15.75" x14ac:dyDescent="0.25">
      <c r="A47" s="86"/>
      <c r="B47" s="36" t="s">
        <v>101</v>
      </c>
      <c r="C47" s="31">
        <f>U30</f>
        <v>10.237499999999999</v>
      </c>
      <c r="D47" s="27" t="s">
        <v>22</v>
      </c>
      <c r="E47" s="28"/>
      <c r="F47" s="34">
        <f t="shared" si="9"/>
        <v>0</v>
      </c>
    </row>
    <row r="48" spans="1:6" x14ac:dyDescent="0.25">
      <c r="A48" s="60"/>
      <c r="B48" s="88" t="s">
        <v>1</v>
      </c>
      <c r="C48" s="27"/>
      <c r="D48" s="27"/>
      <c r="E48" s="28"/>
      <c r="F48" s="34" t="str">
        <f t="shared" si="9"/>
        <v/>
      </c>
    </row>
    <row r="49" spans="1:27" ht="43.5" customHeight="1" x14ac:dyDescent="0.25">
      <c r="A49" s="60"/>
      <c r="B49" s="2" t="s">
        <v>100</v>
      </c>
      <c r="C49" s="31">
        <f>S30</f>
        <v>6.2999999999999989</v>
      </c>
      <c r="D49" s="27" t="s">
        <v>22</v>
      </c>
      <c r="E49" s="28"/>
      <c r="F49" s="34">
        <f t="shared" si="9"/>
        <v>0</v>
      </c>
    </row>
    <row r="50" spans="1:27" x14ac:dyDescent="0.25">
      <c r="A50" s="60"/>
      <c r="B50" s="36"/>
      <c r="C50" s="33"/>
      <c r="D50" s="27"/>
      <c r="E50" s="28"/>
      <c r="F50" s="34" t="str">
        <f t="shared" si="0"/>
        <v/>
      </c>
    </row>
    <row r="51" spans="1:27" x14ac:dyDescent="0.25">
      <c r="A51" s="86"/>
      <c r="B51" s="14" t="s">
        <v>251</v>
      </c>
      <c r="C51" s="27"/>
      <c r="D51" s="27"/>
      <c r="E51" s="28"/>
      <c r="F51" s="34" t="str">
        <f t="shared" si="0"/>
        <v/>
      </c>
    </row>
    <row r="52" spans="1:27" ht="15.75" x14ac:dyDescent="0.25">
      <c r="A52" s="60"/>
      <c r="B52" s="2" t="s">
        <v>124</v>
      </c>
      <c r="C52" s="31">
        <f>M55</f>
        <v>36.423899999999996</v>
      </c>
      <c r="D52" s="27" t="s">
        <v>84</v>
      </c>
      <c r="E52" s="28"/>
      <c r="F52" s="34">
        <f t="shared" si="0"/>
        <v>0</v>
      </c>
    </row>
    <row r="53" spans="1:27" x14ac:dyDescent="0.25">
      <c r="A53" s="86"/>
      <c r="B53" s="36" t="s">
        <v>0</v>
      </c>
      <c r="C53" s="31"/>
      <c r="D53" s="27"/>
      <c r="E53" s="28"/>
      <c r="F53" s="34" t="str">
        <f t="shared" si="0"/>
        <v/>
      </c>
      <c r="Q53" t="s">
        <v>220</v>
      </c>
    </row>
    <row r="54" spans="1:27" x14ac:dyDescent="0.25">
      <c r="A54" s="60"/>
      <c r="B54" s="90" t="s">
        <v>126</v>
      </c>
      <c r="C54" s="31">
        <f>AA55</f>
        <v>585.18068148148154</v>
      </c>
      <c r="D54" s="27" t="s">
        <v>158</v>
      </c>
      <c r="E54" s="28"/>
      <c r="F54" s="34">
        <f t="shared" si="0"/>
        <v>0</v>
      </c>
      <c r="J54" t="s">
        <v>206</v>
      </c>
      <c r="K54" t="s">
        <v>27</v>
      </c>
      <c r="L54" t="s">
        <v>202</v>
      </c>
      <c r="M54" t="s">
        <v>219</v>
      </c>
      <c r="N54" t="s">
        <v>223</v>
      </c>
      <c r="Q54" t="s">
        <v>221</v>
      </c>
      <c r="R54" t="s">
        <v>9</v>
      </c>
      <c r="S54" t="s">
        <v>222</v>
      </c>
      <c r="T54" t="s">
        <v>207</v>
      </c>
      <c r="V54" s="217" t="s">
        <v>208</v>
      </c>
      <c r="W54" s="217" t="s">
        <v>209</v>
      </c>
      <c r="X54" s="217" t="s">
        <v>210</v>
      </c>
      <c r="Y54" s="217" t="s">
        <v>211</v>
      </c>
      <c r="Z54" s="217" t="s">
        <v>212</v>
      </c>
      <c r="AA54" s="217" t="s">
        <v>207</v>
      </c>
    </row>
    <row r="55" spans="1:27" x14ac:dyDescent="0.25">
      <c r="A55" s="60"/>
      <c r="B55" s="90" t="s">
        <v>2</v>
      </c>
      <c r="C55" s="31">
        <f>T55</f>
        <v>2298.4145808167136</v>
      </c>
      <c r="D55" s="27" t="s">
        <v>158</v>
      </c>
      <c r="E55" s="28"/>
      <c r="F55" s="34">
        <f t="shared" si="0"/>
        <v>0</v>
      </c>
      <c r="J55" s="229">
        <v>323.76799999999997</v>
      </c>
      <c r="K55" s="229">
        <v>0.45</v>
      </c>
      <c r="L55" s="229">
        <v>0.25</v>
      </c>
      <c r="M55" s="230">
        <f>L55*K55*J55</f>
        <v>36.423899999999996</v>
      </c>
      <c r="N55">
        <f>(K55+K55+L55)*J55</f>
        <v>372.33319999999992</v>
      </c>
      <c r="Q55" s="229">
        <v>16</v>
      </c>
      <c r="R55" s="229">
        <v>4</v>
      </c>
      <c r="S55">
        <f>((((J55/5.2)*(40*Q55))/1000)+J55)*R55</f>
        <v>1454.4654769230767</v>
      </c>
      <c r="T55">
        <f>((S55*(Q55*Q55))/162)</f>
        <v>2298.4145808167136</v>
      </c>
      <c r="W55" s="216">
        <v>1</v>
      </c>
      <c r="X55" s="216">
        <v>0.15</v>
      </c>
      <c r="Y55">
        <f>(J55*W55)/X55</f>
        <v>2158.4533333333334</v>
      </c>
      <c r="Z55">
        <f>(((K55-0.045)+(L55-0.045))*2)*Y55</f>
        <v>2633.3130666666671</v>
      </c>
      <c r="AA55">
        <f>((6*6)*Z55)/162</f>
        <v>585.18068148148154</v>
      </c>
    </row>
    <row r="56" spans="1:27" x14ac:dyDescent="0.25">
      <c r="A56" s="60"/>
      <c r="B56" s="90" t="s">
        <v>99</v>
      </c>
      <c r="C56" s="31">
        <v>1</v>
      </c>
      <c r="D56" s="27" t="s">
        <v>125</v>
      </c>
      <c r="E56" s="28"/>
      <c r="F56" s="34">
        <f t="shared" si="0"/>
        <v>0</v>
      </c>
    </row>
    <row r="57" spans="1:27" x14ac:dyDescent="0.25">
      <c r="A57" s="60"/>
      <c r="B57" s="88" t="s">
        <v>1</v>
      </c>
      <c r="C57" s="27"/>
      <c r="D57" s="27"/>
      <c r="E57" s="28"/>
      <c r="F57" s="34" t="str">
        <f t="shared" si="0"/>
        <v/>
      </c>
    </row>
    <row r="58" spans="1:27" ht="43.5" customHeight="1" x14ac:dyDescent="0.25">
      <c r="A58" s="60"/>
      <c r="B58" s="2" t="s">
        <v>100</v>
      </c>
      <c r="C58" s="31">
        <f>N55</f>
        <v>372.33319999999992</v>
      </c>
      <c r="D58" s="27" t="s">
        <v>22</v>
      </c>
      <c r="E58" s="28"/>
      <c r="F58" s="34">
        <f t="shared" si="0"/>
        <v>0</v>
      </c>
    </row>
    <row r="59" spans="1:27" x14ac:dyDescent="0.25">
      <c r="A59" s="60"/>
      <c r="B59" s="36"/>
      <c r="C59" s="33"/>
      <c r="D59" s="27"/>
      <c r="E59" s="28"/>
      <c r="F59" s="34" t="str">
        <f>IF(E59="",IF(C59="","",C59*E59),C59*E59)</f>
        <v/>
      </c>
    </row>
    <row r="60" spans="1:27" x14ac:dyDescent="0.25">
      <c r="A60" s="86"/>
      <c r="B60" s="14" t="s">
        <v>252</v>
      </c>
      <c r="C60" s="27"/>
      <c r="D60" s="27"/>
      <c r="E60" s="28"/>
      <c r="F60" s="34" t="str">
        <f t="shared" ref="F60:F67" si="10">IF(E60="",IF(C60="","",C60*E60),C60*E60)</f>
        <v/>
      </c>
    </row>
    <row r="61" spans="1:27" ht="15.75" x14ac:dyDescent="0.25">
      <c r="A61" s="60"/>
      <c r="B61" s="2" t="s">
        <v>124</v>
      </c>
      <c r="C61" s="31">
        <f>M64</f>
        <v>0.20449000000000001</v>
      </c>
      <c r="D61" s="27" t="s">
        <v>84</v>
      </c>
      <c r="E61" s="28"/>
      <c r="F61" s="34">
        <f t="shared" si="10"/>
        <v>0</v>
      </c>
    </row>
    <row r="62" spans="1:27" x14ac:dyDescent="0.25">
      <c r="A62" s="86"/>
      <c r="B62" s="36" t="s">
        <v>0</v>
      </c>
      <c r="C62" s="31"/>
      <c r="D62" s="27"/>
      <c r="E62" s="28"/>
      <c r="F62" s="34" t="str">
        <f t="shared" si="10"/>
        <v/>
      </c>
      <c r="Q62" t="s">
        <v>220</v>
      </c>
    </row>
    <row r="63" spans="1:27" x14ac:dyDescent="0.25">
      <c r="A63" s="60"/>
      <c r="B63" s="90" t="s">
        <v>126</v>
      </c>
      <c r="C63" s="31">
        <f>AA64</f>
        <v>4.0548444444444449</v>
      </c>
      <c r="D63" s="27" t="s">
        <v>158</v>
      </c>
      <c r="E63" s="28"/>
      <c r="F63" s="34">
        <f t="shared" si="10"/>
        <v>0</v>
      </c>
      <c r="J63" t="s">
        <v>206</v>
      </c>
      <c r="K63" t="s">
        <v>27</v>
      </c>
      <c r="L63" t="s">
        <v>202</v>
      </c>
      <c r="M63" t="s">
        <v>219</v>
      </c>
      <c r="N63" t="s">
        <v>223</v>
      </c>
      <c r="Q63" t="s">
        <v>221</v>
      </c>
      <c r="R63" t="s">
        <v>9</v>
      </c>
      <c r="S63" t="s">
        <v>222</v>
      </c>
      <c r="T63" t="s">
        <v>207</v>
      </c>
      <c r="V63" s="217" t="s">
        <v>208</v>
      </c>
      <c r="W63" s="217" t="s">
        <v>209</v>
      </c>
      <c r="X63" s="217" t="s">
        <v>210</v>
      </c>
      <c r="Y63" s="217" t="s">
        <v>211</v>
      </c>
      <c r="Z63" s="217" t="s">
        <v>212</v>
      </c>
      <c r="AA63" s="217" t="s">
        <v>207</v>
      </c>
    </row>
    <row r="64" spans="1:27" x14ac:dyDescent="0.25">
      <c r="A64" s="60"/>
      <c r="B64" s="90" t="s">
        <v>2</v>
      </c>
      <c r="C64" s="31">
        <f>T64</f>
        <v>22.333313580246912</v>
      </c>
      <c r="D64" s="27" t="s">
        <v>158</v>
      </c>
      <c r="E64" s="28"/>
      <c r="F64" s="34">
        <f t="shared" si="10"/>
        <v>0</v>
      </c>
      <c r="J64" s="229">
        <v>3.1459999999999999</v>
      </c>
      <c r="K64" s="229">
        <v>0.32500000000000001</v>
      </c>
      <c r="L64" s="229">
        <v>0.2</v>
      </c>
      <c r="M64" s="230">
        <f>L64*K64*J64</f>
        <v>0.20449000000000001</v>
      </c>
      <c r="N64">
        <f>(K64+K64+L64)*J64</f>
        <v>2.6741000000000001</v>
      </c>
      <c r="Q64" s="229">
        <v>16</v>
      </c>
      <c r="R64" s="229">
        <v>4</v>
      </c>
      <c r="S64">
        <f>((((J64/5.2)*(40*Q64))/1000)+J64)*R64</f>
        <v>14.1328</v>
      </c>
      <c r="T64">
        <f>((S64*(Q64*Q64))/162)</f>
        <v>22.333313580246912</v>
      </c>
      <c r="W64" s="216">
        <v>1</v>
      </c>
      <c r="X64" s="216">
        <v>0.15</v>
      </c>
      <c r="Y64">
        <f>(J64*W64)/X64</f>
        <v>20.973333333333333</v>
      </c>
      <c r="Z64">
        <f>(((K64-0.045)+(L64-0.045))*2)*Y64</f>
        <v>18.2468</v>
      </c>
      <c r="AA64">
        <f>((6*6)*Z64)/162</f>
        <v>4.0548444444444449</v>
      </c>
    </row>
    <row r="65" spans="1:29" x14ac:dyDescent="0.25">
      <c r="A65" s="60"/>
      <c r="B65" s="90" t="s">
        <v>99</v>
      </c>
      <c r="C65" s="31">
        <v>1</v>
      </c>
      <c r="D65" s="27" t="s">
        <v>125</v>
      </c>
      <c r="E65" s="28"/>
      <c r="F65" s="34">
        <f t="shared" si="10"/>
        <v>0</v>
      </c>
    </row>
    <row r="66" spans="1:29" x14ac:dyDescent="0.25">
      <c r="A66" s="60"/>
      <c r="B66" s="88" t="s">
        <v>1</v>
      </c>
      <c r="C66" s="27"/>
      <c r="D66" s="27"/>
      <c r="E66" s="28"/>
      <c r="F66" s="34" t="str">
        <f t="shared" si="10"/>
        <v/>
      </c>
    </row>
    <row r="67" spans="1:29" ht="43.5" customHeight="1" x14ac:dyDescent="0.25">
      <c r="A67" s="60"/>
      <c r="B67" s="2" t="s">
        <v>100</v>
      </c>
      <c r="C67" s="31">
        <f>N64</f>
        <v>2.6741000000000001</v>
      </c>
      <c r="D67" s="27" t="s">
        <v>22</v>
      </c>
      <c r="E67" s="28"/>
      <c r="F67" s="34">
        <f t="shared" si="10"/>
        <v>0</v>
      </c>
    </row>
    <row r="68" spans="1:29" x14ac:dyDescent="0.25">
      <c r="A68" s="156"/>
      <c r="B68" s="157"/>
      <c r="C68" s="158"/>
      <c r="D68" s="152"/>
      <c r="E68" s="153"/>
      <c r="F68" s="154"/>
    </row>
    <row r="69" spans="1:29" ht="15.75" thickBot="1" x14ac:dyDescent="0.3">
      <c r="A69" s="195">
        <v>3.3</v>
      </c>
      <c r="B69" s="248" t="s">
        <v>127</v>
      </c>
      <c r="C69" s="249"/>
      <c r="D69" s="249"/>
      <c r="E69" s="249"/>
      <c r="F69" s="155">
        <f>SUM(F70:F102)</f>
        <v>0</v>
      </c>
    </row>
    <row r="70" spans="1:29" ht="15.75" thickTop="1" x14ac:dyDescent="0.25">
      <c r="A70" s="60"/>
      <c r="B70" s="2"/>
      <c r="C70" s="31"/>
      <c r="D70" s="27"/>
      <c r="E70" s="28"/>
      <c r="F70" s="34"/>
    </row>
    <row r="71" spans="1:29" x14ac:dyDescent="0.25">
      <c r="A71" s="86"/>
      <c r="B71" s="14" t="s">
        <v>237</v>
      </c>
      <c r="C71" s="27"/>
      <c r="D71" s="27"/>
      <c r="E71" s="17"/>
      <c r="F71" s="34" t="str">
        <f t="shared" ref="F71:F87" si="11">IF(E71="",IF(C71="","",C71*E71),C71*E71)</f>
        <v/>
      </c>
      <c r="J71">
        <f>15614/200</f>
        <v>78.069999999999993</v>
      </c>
      <c r="K71">
        <f>J71*7.663</f>
        <v>598.25040999999999</v>
      </c>
      <c r="L71">
        <f>J72*((11.08/5.2)*(40*0.01))</f>
        <v>32.65616923076923</v>
      </c>
      <c r="M71">
        <f>K71+K72+L71+L72</f>
        <v>1357.8523815384615</v>
      </c>
      <c r="N71">
        <f>M71*1</f>
        <v>1357.8523815384615</v>
      </c>
      <c r="O71">
        <f>(N71*(10*10))/162</f>
        <v>838.18048243114902</v>
      </c>
      <c r="Q71">
        <f>12875/200</f>
        <v>64.375</v>
      </c>
      <c r="R71">
        <f>Q71*7.663</f>
        <v>493.30562500000002</v>
      </c>
      <c r="S71">
        <f>Q72*((11.08/5.2)*(40*0.01))</f>
        <v>32.65616923076923</v>
      </c>
      <c r="T71">
        <f>R71+R72+S71+S72</f>
        <v>1125.3871307692307</v>
      </c>
      <c r="U71">
        <f>T71*1</f>
        <v>1125.3871307692307</v>
      </c>
      <c r="V71">
        <f>(U71*(10*10))/162</f>
        <v>694.68341405508068</v>
      </c>
      <c r="X71">
        <f>13245/200</f>
        <v>66.224999999999994</v>
      </c>
      <c r="Y71">
        <f>X71*6.76</f>
        <v>447.68099999999993</v>
      </c>
      <c r="Z71">
        <f>X72*((11.08/5.2)*(40*0.01))</f>
        <v>28.807999999999996</v>
      </c>
      <c r="AA71">
        <f>Y71+Y72+Z71+Z72</f>
        <v>1033.3393653846151</v>
      </c>
      <c r="AB71">
        <f>AA71*1</f>
        <v>1033.3393653846151</v>
      </c>
      <c r="AC71">
        <f>(AB71*(10*10))/162</f>
        <v>637.86380579297224</v>
      </c>
    </row>
    <row r="72" spans="1:29" ht="15.75" x14ac:dyDescent="0.25">
      <c r="A72" s="60"/>
      <c r="B72" s="2" t="s">
        <v>123</v>
      </c>
      <c r="C72" s="31">
        <f>C75*0.11</f>
        <v>34.387100000000004</v>
      </c>
      <c r="D72" s="27" t="s">
        <v>84</v>
      </c>
      <c r="E72" s="17"/>
      <c r="F72" s="34">
        <f t="shared" si="11"/>
        <v>0</v>
      </c>
      <c r="J72">
        <f>7663/200</f>
        <v>38.314999999999998</v>
      </c>
      <c r="K72">
        <f>J72*15.614</f>
        <v>598.25040999999999</v>
      </c>
      <c r="L72">
        <f>J71*((21.43/5.2)*(40*0.01))</f>
        <v>128.69539230769232</v>
      </c>
      <c r="Q72">
        <f>7663/200</f>
        <v>38.314999999999998</v>
      </c>
      <c r="R72">
        <f>Q72*12.875</f>
        <v>493.30562499999996</v>
      </c>
      <c r="S72">
        <f>Q71*((21.43/5.2)*(40*0.01))</f>
        <v>106.11971153846154</v>
      </c>
      <c r="X72">
        <f>6760/200</f>
        <v>33.799999999999997</v>
      </c>
      <c r="Y72">
        <f>X72*13.245</f>
        <v>447.68099999999993</v>
      </c>
      <c r="Z72">
        <f>X71*((21.43/5.2)*(40*0.01))</f>
        <v>109.16936538461539</v>
      </c>
    </row>
    <row r="73" spans="1:29" x14ac:dyDescent="0.25">
      <c r="A73" s="86"/>
      <c r="B73" s="36" t="s">
        <v>0</v>
      </c>
      <c r="C73" s="31"/>
      <c r="D73" s="27"/>
      <c r="E73" s="17"/>
      <c r="F73" s="34" t="str">
        <f t="shared" si="11"/>
        <v/>
      </c>
    </row>
    <row r="74" spans="1:29" x14ac:dyDescent="0.25">
      <c r="A74" s="60"/>
      <c r="B74" s="90" t="s">
        <v>216</v>
      </c>
      <c r="C74" s="31">
        <f>O71+V71+AC71</f>
        <v>2170.7277022792023</v>
      </c>
      <c r="D74" s="27" t="s">
        <v>158</v>
      </c>
      <c r="E74" s="17"/>
      <c r="F74" s="34">
        <f t="shared" si="11"/>
        <v>0</v>
      </c>
    </row>
    <row r="75" spans="1:29" ht="15.75" x14ac:dyDescent="0.25">
      <c r="A75" s="60"/>
      <c r="B75" s="90" t="s">
        <v>155</v>
      </c>
      <c r="C75" s="31">
        <f>120.92+102.13+89.56</f>
        <v>312.61</v>
      </c>
      <c r="D75" s="27" t="s">
        <v>22</v>
      </c>
      <c r="E75" s="17"/>
      <c r="F75" s="34">
        <f t="shared" si="11"/>
        <v>0</v>
      </c>
    </row>
    <row r="76" spans="1:29" x14ac:dyDescent="0.25">
      <c r="A76" s="60"/>
      <c r="B76" s="90"/>
      <c r="C76" s="31"/>
      <c r="D76" s="27"/>
      <c r="E76" s="17"/>
      <c r="F76" s="34" t="str">
        <f t="shared" si="11"/>
        <v/>
      </c>
    </row>
    <row r="77" spans="1:29" x14ac:dyDescent="0.25">
      <c r="A77" s="86"/>
      <c r="B77" s="220" t="str">
        <f>CONCATENATE("Column ",H79)</f>
        <v>Column C1</v>
      </c>
      <c r="C77" s="31"/>
      <c r="D77" s="27"/>
      <c r="E77" s="17"/>
      <c r="F77" s="34" t="str">
        <f t="shared" si="11"/>
        <v/>
      </c>
      <c r="H77" s="12"/>
      <c r="I77" t="s">
        <v>123</v>
      </c>
      <c r="P77" t="s">
        <v>200</v>
      </c>
    </row>
    <row r="78" spans="1:29" ht="15.75" x14ac:dyDescent="0.25">
      <c r="A78" s="60"/>
      <c r="B78" s="2" t="s">
        <v>124</v>
      </c>
      <c r="C78" s="31">
        <f>+N79</f>
        <v>6.2993700000000006</v>
      </c>
      <c r="D78" s="27" t="s">
        <v>84</v>
      </c>
      <c r="E78" s="28"/>
      <c r="F78" s="34">
        <f t="shared" si="11"/>
        <v>0</v>
      </c>
      <c r="H78" s="12"/>
      <c r="I78" s="12" t="s">
        <v>9</v>
      </c>
      <c r="J78" s="12" t="s">
        <v>201</v>
      </c>
      <c r="K78" s="12" t="s">
        <v>202</v>
      </c>
      <c r="L78" s="12" t="s">
        <v>27</v>
      </c>
      <c r="M78" s="12" t="s">
        <v>20</v>
      </c>
      <c r="N78" s="12" t="s">
        <v>203</v>
      </c>
      <c r="O78" t="s">
        <v>204</v>
      </c>
      <c r="P78" t="s">
        <v>205</v>
      </c>
      <c r="Q78" s="216" t="s">
        <v>9</v>
      </c>
      <c r="R78" s="217" t="s">
        <v>206</v>
      </c>
      <c r="S78" s="217" t="s">
        <v>207</v>
      </c>
      <c r="T78" s="217" t="s">
        <v>208</v>
      </c>
      <c r="U78" s="217" t="s">
        <v>209</v>
      </c>
      <c r="V78" s="217" t="s">
        <v>210</v>
      </c>
      <c r="W78" s="217" t="s">
        <v>211</v>
      </c>
      <c r="X78" s="217" t="s">
        <v>212</v>
      </c>
      <c r="Y78" s="217" t="s">
        <v>207</v>
      </c>
    </row>
    <row r="79" spans="1:29" x14ac:dyDescent="0.25">
      <c r="A79" s="86"/>
      <c r="B79" s="36" t="s">
        <v>0</v>
      </c>
      <c r="C79" s="31"/>
      <c r="D79" s="27"/>
      <c r="E79" s="28"/>
      <c r="F79" s="34" t="str">
        <f t="shared" si="11"/>
        <v/>
      </c>
      <c r="H79" s="12" t="s">
        <v>213</v>
      </c>
      <c r="I79" s="216">
        <v>21</v>
      </c>
      <c r="J79" s="216">
        <v>5.05</v>
      </c>
      <c r="K79" s="216"/>
      <c r="L79" s="216"/>
      <c r="M79">
        <v>5.9400000000000001E-2</v>
      </c>
      <c r="N79">
        <f>M79*J79*I79</f>
        <v>6.2993700000000006</v>
      </c>
      <c r="O79">
        <f>(((J79*K79)+(J79*L79))*2)*I79</f>
        <v>0</v>
      </c>
      <c r="P79" s="216">
        <v>16</v>
      </c>
      <c r="Q79" s="216">
        <v>6</v>
      </c>
      <c r="R79">
        <f>(J79+0.2)*Q79*I79</f>
        <v>661.5</v>
      </c>
      <c r="S79">
        <f>(R79*(P79*P79))/162</f>
        <v>1045.3333333333333</v>
      </c>
      <c r="U79" s="216">
        <v>1</v>
      </c>
      <c r="V79" s="216">
        <v>0.15</v>
      </c>
      <c r="W79">
        <f>(J79*I79*U79)/V79</f>
        <v>707</v>
      </c>
      <c r="X79">
        <f>W79*0.58412</f>
        <v>412.97283999999996</v>
      </c>
      <c r="Y79">
        <f>((6*6)*X79)/162</f>
        <v>91.771742222222215</v>
      </c>
    </row>
    <row r="80" spans="1:29" x14ac:dyDescent="0.25">
      <c r="A80" s="60"/>
      <c r="B80" s="90" t="s">
        <v>126</v>
      </c>
      <c r="C80" s="31">
        <f>+Y79</f>
        <v>91.771742222222215</v>
      </c>
      <c r="D80" s="27" t="s">
        <v>214</v>
      </c>
      <c r="E80" s="28"/>
      <c r="F80" s="34">
        <f t="shared" si="11"/>
        <v>0</v>
      </c>
      <c r="H80" s="12" t="s">
        <v>213</v>
      </c>
      <c r="I80" s="216"/>
      <c r="J80" s="216">
        <v>5.05</v>
      </c>
      <c r="K80" s="216">
        <v>0.2</v>
      </c>
      <c r="L80" s="216">
        <v>0.2</v>
      </c>
      <c r="M80">
        <f>L80*K80</f>
        <v>4.0000000000000008E-2</v>
      </c>
      <c r="N80">
        <f>M80*J80*I80</f>
        <v>0</v>
      </c>
      <c r="O80">
        <f>(((J80*K80)+(J80*L80))*2)*I80</f>
        <v>0</v>
      </c>
      <c r="P80" s="216">
        <v>12</v>
      </c>
      <c r="Q80" s="216">
        <v>4</v>
      </c>
      <c r="R80">
        <f>(J80+0.2)*Q80*I80</f>
        <v>0</v>
      </c>
      <c r="S80">
        <f>(R80*(P80*P80))/162</f>
        <v>0</v>
      </c>
      <c r="U80" s="216">
        <v>1</v>
      </c>
      <c r="V80" s="216">
        <v>0.15</v>
      </c>
      <c r="W80">
        <f>(J80*I80*U80)/V80</f>
        <v>0</v>
      </c>
      <c r="X80">
        <f>(((K80-0.045)+(L80-0.045))*2)*W80</f>
        <v>0</v>
      </c>
      <c r="Y80">
        <f>((6*6)*X80)/162</f>
        <v>0</v>
      </c>
    </row>
    <row r="81" spans="1:25" x14ac:dyDescent="0.25">
      <c r="A81" s="60"/>
      <c r="B81" s="90" t="str">
        <f>CONCATENATE("Steel deformed bars, ",P79," mm dia")</f>
        <v>Steel deformed bars, 16 mm dia</v>
      </c>
      <c r="C81" s="31">
        <f>+S79</f>
        <v>1045.3333333333333</v>
      </c>
      <c r="D81" s="27" t="s">
        <v>214</v>
      </c>
      <c r="E81" s="28"/>
      <c r="F81" s="34">
        <f t="shared" si="11"/>
        <v>0</v>
      </c>
    </row>
    <row r="82" spans="1:25" x14ac:dyDescent="0.25">
      <c r="A82" s="60"/>
      <c r="B82" s="90" t="str">
        <f>IF(I80="","",CONCATENATE("Steel deformed bars, ",P80," mm dia"))</f>
        <v/>
      </c>
      <c r="C82" s="31" t="str">
        <f>IF(I80="","",S80)</f>
        <v/>
      </c>
      <c r="D82" s="27" t="str">
        <f>IF(I80="","","kg")</f>
        <v/>
      </c>
      <c r="E82" s="28"/>
      <c r="F82" s="34" t="str">
        <f t="shared" si="11"/>
        <v/>
      </c>
    </row>
    <row r="83" spans="1:25" x14ac:dyDescent="0.25">
      <c r="A83" s="60"/>
      <c r="B83" s="90" t="s">
        <v>99</v>
      </c>
      <c r="C83" s="31">
        <v>1</v>
      </c>
      <c r="D83" s="27" t="s">
        <v>125</v>
      </c>
      <c r="E83" s="28"/>
      <c r="F83" s="34">
        <f t="shared" si="11"/>
        <v>0</v>
      </c>
    </row>
    <row r="84" spans="1:25" x14ac:dyDescent="0.25">
      <c r="A84" s="60"/>
      <c r="B84" s="90"/>
      <c r="C84" s="31"/>
      <c r="D84" s="27"/>
      <c r="E84" s="28"/>
      <c r="F84" s="34" t="str">
        <f t="shared" si="11"/>
        <v/>
      </c>
    </row>
    <row r="85" spans="1:25" x14ac:dyDescent="0.25">
      <c r="A85" s="60"/>
      <c r="B85" s="88" t="s">
        <v>1</v>
      </c>
      <c r="C85" s="31"/>
      <c r="D85" s="27"/>
      <c r="E85" s="28"/>
      <c r="F85" s="34" t="str">
        <f t="shared" si="11"/>
        <v/>
      </c>
    </row>
    <row r="86" spans="1:25" ht="38.25" x14ac:dyDescent="0.25">
      <c r="A86" s="60"/>
      <c r="B86" s="2" t="s">
        <v>100</v>
      </c>
      <c r="C86" s="218">
        <f>+O79</f>
        <v>0</v>
      </c>
      <c r="D86" s="219" t="s">
        <v>22</v>
      </c>
      <c r="E86" s="28"/>
      <c r="F86" s="34">
        <f t="shared" si="11"/>
        <v>0</v>
      </c>
    </row>
    <row r="87" spans="1:25" x14ac:dyDescent="0.25">
      <c r="A87" s="60"/>
      <c r="B87" s="2"/>
      <c r="C87" s="218"/>
      <c r="D87" s="219"/>
      <c r="E87" s="28"/>
      <c r="F87" s="34" t="str">
        <f t="shared" si="11"/>
        <v/>
      </c>
      <c r="P87" t="s">
        <v>220</v>
      </c>
    </row>
    <row r="88" spans="1:25" x14ac:dyDescent="0.25">
      <c r="A88" s="86" t="s">
        <v>253</v>
      </c>
      <c r="B88" s="220" t="str">
        <f>CONCATENATE("Column ",H90)</f>
        <v>Column C2</v>
      </c>
      <c r="C88" s="31"/>
      <c r="D88" s="27"/>
      <c r="E88" s="17"/>
      <c r="F88" s="34" t="str">
        <f t="shared" ref="F88:F103" si="12">IF(E88="",IF(C88="","",C88*E88),C88*E88)</f>
        <v/>
      </c>
      <c r="H88" s="12"/>
      <c r="I88" t="s">
        <v>123</v>
      </c>
      <c r="P88" t="s">
        <v>200</v>
      </c>
    </row>
    <row r="89" spans="1:25" ht="15.75" x14ac:dyDescent="0.25">
      <c r="A89" s="60"/>
      <c r="B89" s="2" t="s">
        <v>124</v>
      </c>
      <c r="C89" s="31">
        <f>+N90</f>
        <v>13.571875</v>
      </c>
      <c r="D89" s="27" t="s">
        <v>84</v>
      </c>
      <c r="E89" s="28"/>
      <c r="F89" s="34">
        <f t="shared" si="12"/>
        <v>0</v>
      </c>
      <c r="H89" s="12"/>
      <c r="I89" s="12" t="s">
        <v>9</v>
      </c>
      <c r="J89" s="12" t="s">
        <v>201</v>
      </c>
      <c r="K89" s="12" t="s">
        <v>202</v>
      </c>
      <c r="L89" s="12" t="s">
        <v>27</v>
      </c>
      <c r="M89" s="12" t="s">
        <v>20</v>
      </c>
      <c r="N89" s="12" t="s">
        <v>203</v>
      </c>
      <c r="O89" t="s">
        <v>204</v>
      </c>
      <c r="P89" t="s">
        <v>205</v>
      </c>
      <c r="Q89" s="216" t="s">
        <v>9</v>
      </c>
      <c r="R89" s="217" t="s">
        <v>206</v>
      </c>
      <c r="S89" s="217" t="s">
        <v>207</v>
      </c>
      <c r="T89" s="217" t="s">
        <v>208</v>
      </c>
      <c r="U89" s="217" t="s">
        <v>209</v>
      </c>
      <c r="V89" s="217" t="s">
        <v>210</v>
      </c>
      <c r="W89" s="217" t="s">
        <v>211</v>
      </c>
      <c r="X89" s="217" t="s">
        <v>212</v>
      </c>
      <c r="Y89" s="217" t="s">
        <v>207</v>
      </c>
    </row>
    <row r="90" spans="1:25" x14ac:dyDescent="0.25">
      <c r="A90" s="86"/>
      <c r="B90" s="36" t="s">
        <v>0</v>
      </c>
      <c r="C90" s="31"/>
      <c r="D90" s="27"/>
      <c r="E90" s="28"/>
      <c r="F90" s="34" t="str">
        <f t="shared" si="12"/>
        <v/>
      </c>
      <c r="H90" s="12" t="s">
        <v>254</v>
      </c>
      <c r="I90" s="216">
        <v>43</v>
      </c>
      <c r="J90" s="216">
        <v>5.05</v>
      </c>
      <c r="K90" s="216">
        <v>0.25</v>
      </c>
      <c r="L90" s="216">
        <v>0.25</v>
      </c>
      <c r="M90">
        <f>L90*K90</f>
        <v>6.25E-2</v>
      </c>
      <c r="N90">
        <f>M90*J90*I90</f>
        <v>13.571875</v>
      </c>
      <c r="O90">
        <f>(((J90*K90)+(J90*L90))*2)*I90</f>
        <v>217.15</v>
      </c>
      <c r="P90" s="216">
        <v>16</v>
      </c>
      <c r="Q90" s="216">
        <v>4</v>
      </c>
      <c r="R90">
        <f>(J90+0.2)*Q90*I90</f>
        <v>903</v>
      </c>
      <c r="S90">
        <f>(R90*(P90*P90))/162</f>
        <v>1426.962962962963</v>
      </c>
      <c r="U90" s="216">
        <v>2</v>
      </c>
      <c r="V90" s="216">
        <v>0.15</v>
      </c>
      <c r="W90">
        <f>(J90*I90*U90)/V90</f>
        <v>2895.3333333333335</v>
      </c>
      <c r="X90">
        <f>(((K90-0.045)+(L90-0.045))*2)*W90</f>
        <v>2374.1733333333336</v>
      </c>
      <c r="Y90">
        <f>((6*6)*X90)/162</f>
        <v>527.59407407407411</v>
      </c>
    </row>
    <row r="91" spans="1:25" x14ac:dyDescent="0.25">
      <c r="A91" s="60"/>
      <c r="B91" s="90" t="s">
        <v>126</v>
      </c>
      <c r="C91" s="31">
        <f>+Y90</f>
        <v>527.59407407407411</v>
      </c>
      <c r="D91" s="27" t="s">
        <v>214</v>
      </c>
      <c r="E91" s="28"/>
      <c r="F91" s="34">
        <f t="shared" si="12"/>
        <v>0</v>
      </c>
      <c r="H91" s="12" t="s">
        <v>254</v>
      </c>
      <c r="I91" s="216"/>
      <c r="J91" s="233" t="s">
        <v>255</v>
      </c>
      <c r="K91" s="216">
        <v>0.2</v>
      </c>
      <c r="L91" s="216">
        <v>0.2</v>
      </c>
      <c r="M91">
        <f>L91*K91</f>
        <v>4.0000000000000008E-2</v>
      </c>
      <c r="N91" t="e">
        <f>M91*J91*I91</f>
        <v>#VALUE!</v>
      </c>
      <c r="O91" t="e">
        <f>(((J91*K91)+(J91*L91))*2)*I91</f>
        <v>#VALUE!</v>
      </c>
      <c r="P91" s="216">
        <v>12</v>
      </c>
      <c r="Q91" s="216">
        <v>4</v>
      </c>
      <c r="R91" t="e">
        <f>(J91+0.2)*Q91*I91</f>
        <v>#VALUE!</v>
      </c>
      <c r="S91" t="e">
        <f>(R91*(P91*P91))/162</f>
        <v>#VALUE!</v>
      </c>
      <c r="U91" s="216">
        <v>1</v>
      </c>
      <c r="V91" s="216">
        <v>0.15</v>
      </c>
      <c r="W91" t="e">
        <f>(J91*I91*U91)/V91</f>
        <v>#VALUE!</v>
      </c>
      <c r="X91" t="e">
        <f>(((K91-0.045)+(L91-0.045))*2)*W91</f>
        <v>#VALUE!</v>
      </c>
      <c r="Y91" t="e">
        <f>((6*6)*X91)/162</f>
        <v>#VALUE!</v>
      </c>
    </row>
    <row r="92" spans="1:25" x14ac:dyDescent="0.25">
      <c r="A92" s="60"/>
      <c r="B92" s="90" t="str">
        <f>CONCATENATE("Steel deformed bars, ",P90," mm dia")</f>
        <v>Steel deformed bars, 16 mm dia</v>
      </c>
      <c r="C92" s="31">
        <f>+S90</f>
        <v>1426.962962962963</v>
      </c>
      <c r="D92" s="27" t="s">
        <v>214</v>
      </c>
      <c r="E92" s="28"/>
      <c r="F92" s="34">
        <f t="shared" si="12"/>
        <v>0</v>
      </c>
    </row>
    <row r="93" spans="1:25" x14ac:dyDescent="0.25">
      <c r="A93" s="60"/>
      <c r="B93" s="90" t="str">
        <f>IF(I91="","",CONCATENATE("Steel deformed bars, ",P91," mm dia"))</f>
        <v/>
      </c>
      <c r="C93" s="31" t="str">
        <f>IF(I91="","",S91)</f>
        <v/>
      </c>
      <c r="D93" s="27" t="str">
        <f>IF(I91="","","kg")</f>
        <v/>
      </c>
      <c r="E93" s="28"/>
      <c r="F93" s="34" t="str">
        <f t="shared" si="12"/>
        <v/>
      </c>
    </row>
    <row r="94" spans="1:25" x14ac:dyDescent="0.25">
      <c r="A94" s="60"/>
      <c r="B94" s="90" t="s">
        <v>99</v>
      </c>
      <c r="C94" s="31">
        <v>1</v>
      </c>
      <c r="D94" s="27" t="s">
        <v>125</v>
      </c>
      <c r="E94" s="28"/>
      <c r="F94" s="34">
        <f t="shared" si="12"/>
        <v>0</v>
      </c>
    </row>
    <row r="95" spans="1:25" x14ac:dyDescent="0.25">
      <c r="A95" s="60"/>
      <c r="B95" s="90"/>
      <c r="C95" s="31"/>
      <c r="D95" s="27"/>
      <c r="E95" s="28"/>
      <c r="F95" s="34" t="str">
        <f t="shared" si="12"/>
        <v/>
      </c>
    </row>
    <row r="96" spans="1:25" x14ac:dyDescent="0.25">
      <c r="A96" s="60"/>
      <c r="B96" s="88" t="s">
        <v>1</v>
      </c>
      <c r="C96" s="31"/>
      <c r="D96" s="27"/>
      <c r="E96" s="28"/>
      <c r="F96" s="34" t="str">
        <f t="shared" si="12"/>
        <v/>
      </c>
    </row>
    <row r="97" spans="1:29" ht="38.25" x14ac:dyDescent="0.25">
      <c r="A97" s="60"/>
      <c r="B97" s="2" t="s">
        <v>100</v>
      </c>
      <c r="C97" s="218">
        <f>+O90</f>
        <v>217.15</v>
      </c>
      <c r="D97" s="219" t="s">
        <v>22</v>
      </c>
      <c r="E97" s="28"/>
      <c r="F97" s="34">
        <f t="shared" si="12"/>
        <v>0</v>
      </c>
      <c r="J97">
        <f>0.29*7.396*1</f>
        <v>2.1448399999999999</v>
      </c>
    </row>
    <row r="98" spans="1:29" x14ac:dyDescent="0.25">
      <c r="A98" s="60"/>
      <c r="B98" s="2"/>
      <c r="C98" s="31"/>
      <c r="D98" s="27"/>
      <c r="E98" s="28"/>
      <c r="F98" s="34"/>
    </row>
    <row r="99" spans="1:29" x14ac:dyDescent="0.25">
      <c r="A99" s="86"/>
      <c r="B99" s="14" t="s">
        <v>265</v>
      </c>
      <c r="C99" s="27"/>
      <c r="D99" s="27"/>
      <c r="E99" s="17"/>
      <c r="F99" s="34" t="str">
        <f t="shared" ref="F99:F102" si="13">IF(E99="",IF(C99="","",C99*E99),C99*E99)</f>
        <v/>
      </c>
      <c r="J99">
        <f>1000/200</f>
        <v>5</v>
      </c>
      <c r="K99">
        <f>J99*7.396</f>
        <v>36.979999999999997</v>
      </c>
      <c r="L99">
        <f>J100*((7.396/5.2)*(40*0.01))</f>
        <v>21.038775384615384</v>
      </c>
      <c r="M99">
        <f>K99+K100+L99+L100</f>
        <v>94.998775384615385</v>
      </c>
      <c r="N99">
        <f>M99*1</f>
        <v>94.998775384615385</v>
      </c>
      <c r="O99">
        <f>(N99*(10*10))/162</f>
        <v>58.641219373219371</v>
      </c>
    </row>
    <row r="100" spans="1:29" ht="15.75" x14ac:dyDescent="0.25">
      <c r="A100" s="60"/>
      <c r="B100" s="2" t="s">
        <v>123</v>
      </c>
      <c r="C100" s="31">
        <v>2.1448399999999999</v>
      </c>
      <c r="D100" s="27" t="s">
        <v>84</v>
      </c>
      <c r="E100" s="17"/>
      <c r="F100" s="34">
        <f t="shared" si="13"/>
        <v>0</v>
      </c>
      <c r="J100">
        <f>7396/200</f>
        <v>36.979999999999997</v>
      </c>
      <c r="K100">
        <f>J100*1</f>
        <v>36.979999999999997</v>
      </c>
    </row>
    <row r="101" spans="1:29" x14ac:dyDescent="0.25">
      <c r="A101" s="86"/>
      <c r="B101" s="36" t="s">
        <v>0</v>
      </c>
      <c r="C101" s="31"/>
      <c r="D101" s="27"/>
      <c r="E101" s="17"/>
      <c r="F101" s="34" t="str">
        <f t="shared" si="13"/>
        <v/>
      </c>
    </row>
    <row r="102" spans="1:29" x14ac:dyDescent="0.25">
      <c r="A102" s="60"/>
      <c r="B102" s="90" t="s">
        <v>216</v>
      </c>
      <c r="C102" s="31">
        <f>O99+V99+AC99</f>
        <v>58.641219373219371</v>
      </c>
      <c r="D102" s="27" t="s">
        <v>158</v>
      </c>
      <c r="E102" s="17"/>
      <c r="F102" s="34">
        <f t="shared" si="13"/>
        <v>0</v>
      </c>
    </row>
    <row r="103" spans="1:29" x14ac:dyDescent="0.25">
      <c r="A103" s="60"/>
      <c r="B103" s="2"/>
      <c r="C103" s="218"/>
      <c r="D103" s="219"/>
      <c r="E103" s="28"/>
      <c r="F103" s="34" t="str">
        <f t="shared" si="12"/>
        <v/>
      </c>
      <c r="P103" t="s">
        <v>220</v>
      </c>
    </row>
    <row r="104" spans="1:29" ht="15.75" thickBot="1" x14ac:dyDescent="0.3">
      <c r="A104" s="195">
        <v>3.4</v>
      </c>
      <c r="B104" s="248" t="s">
        <v>256</v>
      </c>
      <c r="C104" s="249"/>
      <c r="D104" s="249"/>
      <c r="E104" s="249"/>
      <c r="F104" s="155">
        <f>SUM(F105:F174)</f>
        <v>0</v>
      </c>
    </row>
    <row r="105" spans="1:29" ht="15.75" thickTop="1" x14ac:dyDescent="0.25">
      <c r="A105" s="60"/>
      <c r="B105" s="2"/>
      <c r="C105" s="31"/>
      <c r="D105" s="27"/>
      <c r="E105" s="28"/>
      <c r="F105" s="34"/>
    </row>
    <row r="106" spans="1:29" x14ac:dyDescent="0.25">
      <c r="A106" s="86"/>
      <c r="B106" s="14" t="s">
        <v>257</v>
      </c>
      <c r="C106" s="27"/>
      <c r="D106" s="27"/>
      <c r="E106" s="17"/>
      <c r="F106" s="34" t="str">
        <f t="shared" ref="F106:F180" si="14">IF(E106="",IF(C106="","",C106*E106),C106*E106)</f>
        <v/>
      </c>
      <c r="J106">
        <f>15614/150</f>
        <v>104.09333333333333</v>
      </c>
      <c r="K106">
        <f>J106*7.663</f>
        <v>797.66721333333339</v>
      </c>
      <c r="L106">
        <f>J107*((7.663/5.2)*(40*0.01))</f>
        <v>30.113625128205129</v>
      </c>
      <c r="M106">
        <f>K106+K107+L106+L107</f>
        <v>1750.4721523076923</v>
      </c>
      <c r="N106">
        <f>M106*2</f>
        <v>3500.9443046153847</v>
      </c>
      <c r="O106">
        <f>(N106*(10*10))/162</f>
        <v>2161.0767312440648</v>
      </c>
      <c r="Q106">
        <f>12875/150</f>
        <v>85.833333333333329</v>
      </c>
      <c r="R106">
        <f>Q106*7.663</f>
        <v>657.74083333333328</v>
      </c>
      <c r="S106">
        <f>Q107*((7.663/5.2)*(40*0.01))</f>
        <v>30.113625128205129</v>
      </c>
      <c r="T106">
        <f>R106+R107+S106+S107</f>
        <v>1430.6033046153843</v>
      </c>
      <c r="U106">
        <f>T106*2</f>
        <v>2861.2066092307687</v>
      </c>
      <c r="V106">
        <f>(U106*(10*10))/162</f>
        <v>1766.1769192782522</v>
      </c>
      <c r="X106">
        <f>13245/150</f>
        <v>88.3</v>
      </c>
      <c r="Y106">
        <f>X106*6.76</f>
        <v>596.90800000000002</v>
      </c>
      <c r="Z106">
        <f>X107*((6.76/5.2)*(40*0.01))</f>
        <v>23.434666666666665</v>
      </c>
      <c r="AA106">
        <f>Y106+Y107+Z106+Z107</f>
        <v>1307.2147820512821</v>
      </c>
      <c r="AB106">
        <f>AA106*2</f>
        <v>2614.4295641025642</v>
      </c>
      <c r="AC106">
        <f>(AB106*(10*10))/162</f>
        <v>1613.8454099398543</v>
      </c>
    </row>
    <row r="107" spans="1:29" ht="15.75" x14ac:dyDescent="0.25">
      <c r="A107" s="60"/>
      <c r="B107" s="2" t="s">
        <v>123</v>
      </c>
      <c r="C107" s="31">
        <v>40.639300000000006</v>
      </c>
      <c r="D107" s="27" t="s">
        <v>84</v>
      </c>
      <c r="E107" s="17"/>
      <c r="F107" s="34">
        <f t="shared" si="14"/>
        <v>0</v>
      </c>
      <c r="J107">
        <f>7663/150</f>
        <v>51.086666666666666</v>
      </c>
      <c r="K107">
        <f>J107*15.614</f>
        <v>797.66721333333339</v>
      </c>
      <c r="L107">
        <f>J106*((15.614/5.2)*(40*0.01))</f>
        <v>125.02410051282052</v>
      </c>
      <c r="Q107">
        <f>7663/150</f>
        <v>51.086666666666666</v>
      </c>
      <c r="R107">
        <f>Q107*12.875</f>
        <v>657.74083333333328</v>
      </c>
      <c r="S107">
        <f>Q106*((12.875/5.2)*(40*0.01))</f>
        <v>85.008012820512818</v>
      </c>
      <c r="X107">
        <f>6760/150</f>
        <v>45.06666666666667</v>
      </c>
      <c r="Y107">
        <f>X107*13.245</f>
        <v>596.90800000000002</v>
      </c>
      <c r="Z107">
        <f>X106*((13.245/5.2)*(40*0.01))</f>
        <v>89.964115384615368</v>
      </c>
    </row>
    <row r="108" spans="1:29" x14ac:dyDescent="0.25">
      <c r="A108" s="86"/>
      <c r="B108" s="36" t="s">
        <v>0</v>
      </c>
      <c r="C108" s="31"/>
      <c r="D108" s="27"/>
      <c r="E108" s="17"/>
      <c r="F108" s="34" t="str">
        <f t="shared" si="14"/>
        <v/>
      </c>
    </row>
    <row r="109" spans="1:29" x14ac:dyDescent="0.25">
      <c r="A109" s="60"/>
      <c r="B109" s="90" t="s">
        <v>266</v>
      </c>
      <c r="C109" s="31">
        <f>O106+V106+AC106</f>
        <v>5541.0990604621711</v>
      </c>
      <c r="D109" s="27" t="s">
        <v>158</v>
      </c>
      <c r="E109" s="17"/>
      <c r="F109" s="34">
        <f t="shared" si="14"/>
        <v>0</v>
      </c>
    </row>
    <row r="110" spans="1:29" x14ac:dyDescent="0.25">
      <c r="A110" s="60"/>
      <c r="B110" s="90"/>
      <c r="C110" s="31"/>
      <c r="D110" s="27"/>
      <c r="E110" s="17"/>
      <c r="F110" s="34" t="str">
        <f t="shared" si="14"/>
        <v/>
      </c>
    </row>
    <row r="111" spans="1:29" x14ac:dyDescent="0.25">
      <c r="A111" s="86"/>
      <c r="B111" s="14" t="s">
        <v>258</v>
      </c>
      <c r="C111" s="27"/>
      <c r="D111" s="27"/>
      <c r="E111" s="17"/>
      <c r="F111" s="34" t="str">
        <f t="shared" ref="F111:F115" si="15">IF(E111="",IF(C111="","",C111*E111),C111*E111)</f>
        <v/>
      </c>
      <c r="J111">
        <f>1000/150</f>
        <v>6.666666666666667</v>
      </c>
      <c r="K111">
        <f>J111*5.057</f>
        <v>33.713333333333338</v>
      </c>
      <c r="L111">
        <f>J112*((5.057/5.2)*(40*0.01))</f>
        <v>13.114486666666666</v>
      </c>
      <c r="M111">
        <f>K111+K112+L111+L112</f>
        <v>80.541153333333341</v>
      </c>
      <c r="N111">
        <f>M111*2</f>
        <v>161.08230666666668</v>
      </c>
      <c r="O111">
        <f>(N111*(10*10))/162</f>
        <v>99.433522633744872</v>
      </c>
      <c r="Q111">
        <f>5057/75</f>
        <v>67.426666666666662</v>
      </c>
      <c r="R111">
        <f>Q111*2.875</f>
        <v>193.85166666666666</v>
      </c>
      <c r="S111">
        <f>(R111*(10*10))/162</f>
        <v>119.66152263374484</v>
      </c>
    </row>
    <row r="112" spans="1:29" ht="15.75" x14ac:dyDescent="0.25">
      <c r="A112" s="60"/>
      <c r="B112" s="2" t="s">
        <v>123</v>
      </c>
      <c r="C112" s="31">
        <f>1*5.075*0.165</f>
        <v>0.83737500000000009</v>
      </c>
      <c r="D112" s="27" t="s">
        <v>84</v>
      </c>
      <c r="E112" s="17"/>
      <c r="F112" s="34">
        <f t="shared" si="15"/>
        <v>0</v>
      </c>
      <c r="J112">
        <f>5057/150</f>
        <v>33.713333333333331</v>
      </c>
      <c r="K112">
        <f>J112*1</f>
        <v>33.713333333333331</v>
      </c>
    </row>
    <row r="113" spans="1:27" x14ac:dyDescent="0.25">
      <c r="A113" s="86"/>
      <c r="B113" s="36" t="s">
        <v>0</v>
      </c>
      <c r="C113" s="31"/>
      <c r="D113" s="27"/>
      <c r="E113" s="17"/>
      <c r="F113" s="34" t="str">
        <f t="shared" si="15"/>
        <v/>
      </c>
    </row>
    <row r="114" spans="1:27" x14ac:dyDescent="0.25">
      <c r="A114" s="60"/>
      <c r="B114" s="90" t="s">
        <v>266</v>
      </c>
      <c r="C114" s="31">
        <f>O111+S111</f>
        <v>219.0950452674897</v>
      </c>
      <c r="D114" s="27" t="s">
        <v>158</v>
      </c>
      <c r="E114" s="17"/>
      <c r="F114" s="34">
        <f t="shared" si="15"/>
        <v>0</v>
      </c>
    </row>
    <row r="115" spans="1:27" x14ac:dyDescent="0.25">
      <c r="A115" s="60"/>
      <c r="B115" s="90"/>
      <c r="C115" s="31"/>
      <c r="D115" s="27"/>
      <c r="E115" s="17"/>
      <c r="F115" s="34" t="str">
        <f t="shared" si="15"/>
        <v/>
      </c>
    </row>
    <row r="116" spans="1:27" x14ac:dyDescent="0.25">
      <c r="A116" s="86"/>
      <c r="B116" s="14" t="s">
        <v>259</v>
      </c>
      <c r="C116" s="27"/>
      <c r="D116" s="27"/>
      <c r="E116" s="28"/>
      <c r="F116" s="34" t="str">
        <f t="shared" ref="F116:F125" si="16">IF(E116="",IF(C116="","",C116*E116),C116*E116)</f>
        <v/>
      </c>
    </row>
    <row r="117" spans="1:27" ht="15.75" x14ac:dyDescent="0.25">
      <c r="A117" s="60"/>
      <c r="B117" s="2" t="s">
        <v>124</v>
      </c>
      <c r="C117" s="31">
        <f>M120</f>
        <v>3.42225</v>
      </c>
      <c r="D117" s="27" t="s">
        <v>84</v>
      </c>
      <c r="E117" s="28"/>
      <c r="F117" s="34">
        <f t="shared" si="16"/>
        <v>0</v>
      </c>
    </row>
    <row r="118" spans="1:27" x14ac:dyDescent="0.25">
      <c r="A118" s="86"/>
      <c r="B118" s="36" t="s">
        <v>0</v>
      </c>
      <c r="C118" s="31"/>
      <c r="D118" s="27"/>
      <c r="E118" s="28"/>
      <c r="F118" s="34" t="str">
        <f t="shared" si="16"/>
        <v/>
      </c>
      <c r="Q118" t="s">
        <v>220</v>
      </c>
    </row>
    <row r="119" spans="1:27" x14ac:dyDescent="0.25">
      <c r="A119" s="60"/>
      <c r="B119" s="90" t="s">
        <v>126</v>
      </c>
      <c r="C119" s="31">
        <f>AA120</f>
        <v>250.57066666666665</v>
      </c>
      <c r="D119" s="27" t="s">
        <v>158</v>
      </c>
      <c r="E119" s="28"/>
      <c r="F119" s="34">
        <f t="shared" si="16"/>
        <v>0</v>
      </c>
      <c r="J119" t="s">
        <v>206</v>
      </c>
      <c r="K119" t="s">
        <v>27</v>
      </c>
      <c r="L119" t="s">
        <v>202</v>
      </c>
      <c r="M119" t="s">
        <v>219</v>
      </c>
      <c r="N119" t="s">
        <v>223</v>
      </c>
      <c r="Q119" t="s">
        <v>221</v>
      </c>
      <c r="R119" t="s">
        <v>9</v>
      </c>
      <c r="S119" t="s">
        <v>222</v>
      </c>
      <c r="T119" t="s">
        <v>207</v>
      </c>
      <c r="V119" s="217" t="s">
        <v>208</v>
      </c>
      <c r="W119" s="217" t="s">
        <v>209</v>
      </c>
      <c r="X119" s="217" t="s">
        <v>210</v>
      </c>
      <c r="Y119" s="217" t="s">
        <v>211</v>
      </c>
      <c r="Z119" s="217" t="s">
        <v>212</v>
      </c>
      <c r="AA119" s="217" t="s">
        <v>207</v>
      </c>
    </row>
    <row r="120" spans="1:27" x14ac:dyDescent="0.25">
      <c r="A120" s="60"/>
      <c r="B120" s="90" t="s">
        <v>263</v>
      </c>
      <c r="C120" s="31">
        <f>T120</f>
        <v>119.97234567901232</v>
      </c>
      <c r="D120" s="27" t="s">
        <v>158</v>
      </c>
      <c r="E120" s="28"/>
      <c r="F120" s="34">
        <f t="shared" si="16"/>
        <v>0</v>
      </c>
      <c r="J120" s="229">
        <v>33.799999999999997</v>
      </c>
      <c r="K120" s="229">
        <v>0.45</v>
      </c>
      <c r="L120" s="229">
        <v>0.22500000000000001</v>
      </c>
      <c r="M120" s="230">
        <f>L120*K120*J120</f>
        <v>3.42225</v>
      </c>
      <c r="N120">
        <f>(K120+K120+L120)*J120</f>
        <v>38.024999999999999</v>
      </c>
      <c r="Q120" s="229">
        <v>16</v>
      </c>
      <c r="R120" s="229">
        <v>2</v>
      </c>
      <c r="S120">
        <f>((((J120/5.2)*(40*Q120))/1000)+J120)*R120</f>
        <v>75.919999999999987</v>
      </c>
      <c r="T120">
        <f>((S120*(Q120*Q120))/162)</f>
        <v>119.97234567901232</v>
      </c>
      <c r="W120" s="216">
        <v>2</v>
      </c>
      <c r="X120" s="216">
        <v>7.4999999999999997E-2</v>
      </c>
      <c r="Y120">
        <f>(J120*W120)/X120</f>
        <v>901.33333333333326</v>
      </c>
      <c r="Z120">
        <f>(((K120-0.045)+(L120-0.045*0.1))*2)*Y120</f>
        <v>1127.568</v>
      </c>
      <c r="AA120">
        <f>((6*6)*Z120)/162</f>
        <v>250.57066666666665</v>
      </c>
    </row>
    <row r="121" spans="1:27" x14ac:dyDescent="0.25">
      <c r="A121" s="60"/>
      <c r="B121" s="90" t="s">
        <v>264</v>
      </c>
      <c r="C121" s="31">
        <f>T121</f>
        <v>385.18518518518516</v>
      </c>
      <c r="D121" s="27" t="s">
        <v>158</v>
      </c>
      <c r="E121" s="28"/>
      <c r="F121" s="34">
        <f t="shared" si="16"/>
        <v>0</v>
      </c>
      <c r="J121" s="229">
        <v>33.799999999999997</v>
      </c>
      <c r="K121" s="229">
        <v>0.45</v>
      </c>
      <c r="L121" s="229">
        <v>0.22500000000000001</v>
      </c>
      <c r="M121" s="230">
        <f>L121*K121*J121</f>
        <v>3.42225</v>
      </c>
      <c r="N121">
        <f>(K121+K121+L121)*J121</f>
        <v>38.024999999999999</v>
      </c>
      <c r="Q121" s="229">
        <v>20</v>
      </c>
      <c r="R121" s="229">
        <v>4</v>
      </c>
      <c r="S121">
        <f>((((J121/5.2)*(40*Q121))/1000)+J121)*R121</f>
        <v>156</v>
      </c>
      <c r="T121">
        <f>((S121*(Q121*Q121))/162)</f>
        <v>385.18518518518516</v>
      </c>
      <c r="W121" s="216"/>
      <c r="X121" s="216"/>
    </row>
    <row r="122" spans="1:27" x14ac:dyDescent="0.25">
      <c r="A122" s="60"/>
      <c r="B122" s="90" t="s">
        <v>99</v>
      </c>
      <c r="C122" s="31">
        <v>1</v>
      </c>
      <c r="D122" s="27" t="s">
        <v>125</v>
      </c>
      <c r="E122" s="28"/>
      <c r="F122" s="34">
        <f t="shared" si="16"/>
        <v>0</v>
      </c>
    </row>
    <row r="123" spans="1:27" x14ac:dyDescent="0.25">
      <c r="A123" s="60"/>
      <c r="B123" s="88" t="s">
        <v>1</v>
      </c>
      <c r="C123" s="27"/>
      <c r="D123" s="27"/>
      <c r="E123" s="28"/>
      <c r="F123" s="34" t="str">
        <f t="shared" si="16"/>
        <v/>
      </c>
    </row>
    <row r="124" spans="1:27" ht="43.5" customHeight="1" x14ac:dyDescent="0.25">
      <c r="A124" s="60"/>
      <c r="B124" s="2" t="s">
        <v>100</v>
      </c>
      <c r="C124" s="31">
        <f>N120</f>
        <v>38.024999999999999</v>
      </c>
      <c r="D124" s="27" t="s">
        <v>22</v>
      </c>
      <c r="E124" s="28"/>
      <c r="F124" s="34">
        <f t="shared" si="16"/>
        <v>0</v>
      </c>
    </row>
    <row r="125" spans="1:27" x14ac:dyDescent="0.25">
      <c r="A125" s="60"/>
      <c r="B125" s="36"/>
      <c r="C125" s="33"/>
      <c r="D125" s="27"/>
      <c r="E125" s="28"/>
      <c r="F125" s="34" t="str">
        <f t="shared" si="16"/>
        <v/>
      </c>
    </row>
    <row r="126" spans="1:27" x14ac:dyDescent="0.25">
      <c r="A126" s="86"/>
      <c r="B126" s="14" t="s">
        <v>260</v>
      </c>
      <c r="C126" s="27"/>
      <c r="D126" s="27"/>
      <c r="E126" s="28"/>
      <c r="F126" s="34" t="str">
        <f t="shared" ref="F126:F133" si="17">IF(E126="",IF(C126="","",C126*E126),C126*E126)</f>
        <v/>
      </c>
    </row>
    <row r="127" spans="1:27" ht="15.75" x14ac:dyDescent="0.25">
      <c r="A127" s="60"/>
      <c r="B127" s="2" t="s">
        <v>124</v>
      </c>
      <c r="C127" s="31">
        <f>M130</f>
        <v>10.335000000000001</v>
      </c>
      <c r="D127" s="27" t="s">
        <v>84</v>
      </c>
      <c r="E127" s="28"/>
      <c r="F127" s="34">
        <f t="shared" si="17"/>
        <v>0</v>
      </c>
    </row>
    <row r="128" spans="1:27" x14ac:dyDescent="0.25">
      <c r="A128" s="86"/>
      <c r="B128" s="36" t="s">
        <v>0</v>
      </c>
      <c r="C128" s="31"/>
      <c r="D128" s="27"/>
      <c r="E128" s="28"/>
      <c r="F128" s="34" t="str">
        <f t="shared" si="17"/>
        <v/>
      </c>
      <c r="Q128" t="s">
        <v>220</v>
      </c>
    </row>
    <row r="129" spans="1:27" x14ac:dyDescent="0.25">
      <c r="A129" s="60"/>
      <c r="B129" s="90" t="s">
        <v>126</v>
      </c>
      <c r="C129" s="31">
        <f>AA130</f>
        <v>245.92000000000002</v>
      </c>
      <c r="D129" s="27" t="s">
        <v>158</v>
      </c>
      <c r="E129" s="28"/>
      <c r="F129" s="34">
        <f t="shared" si="17"/>
        <v>0</v>
      </c>
      <c r="J129" t="s">
        <v>206</v>
      </c>
      <c r="K129" t="s">
        <v>27</v>
      </c>
      <c r="L129" t="s">
        <v>202</v>
      </c>
      <c r="M129" t="s">
        <v>219</v>
      </c>
      <c r="N129" t="s">
        <v>223</v>
      </c>
      <c r="Q129" t="s">
        <v>221</v>
      </c>
      <c r="R129" t="s">
        <v>9</v>
      </c>
      <c r="S129" t="s">
        <v>222</v>
      </c>
      <c r="T129" t="s">
        <v>207</v>
      </c>
      <c r="V129" s="217" t="s">
        <v>208</v>
      </c>
      <c r="W129" s="217" t="s">
        <v>209</v>
      </c>
      <c r="X129" s="217" t="s">
        <v>210</v>
      </c>
      <c r="Y129" s="217" t="s">
        <v>211</v>
      </c>
      <c r="Z129" s="217" t="s">
        <v>212</v>
      </c>
      <c r="AA129" s="217" t="s">
        <v>207</v>
      </c>
    </row>
    <row r="130" spans="1:27" x14ac:dyDescent="0.25">
      <c r="A130" s="60"/>
      <c r="B130" s="90" t="s">
        <v>263</v>
      </c>
      <c r="C130" s="31">
        <f>T130</f>
        <v>1128.7339031339031</v>
      </c>
      <c r="D130" s="27" t="s">
        <v>158</v>
      </c>
      <c r="E130" s="28"/>
      <c r="F130" s="34">
        <f t="shared" si="17"/>
        <v>0</v>
      </c>
      <c r="J130" s="229">
        <f>93.974+3.146+61.88</f>
        <v>159</v>
      </c>
      <c r="K130" s="229">
        <v>0.32500000000000001</v>
      </c>
      <c r="L130" s="229">
        <v>0.2</v>
      </c>
      <c r="M130" s="230">
        <f>L130*K130*J130</f>
        <v>10.335000000000001</v>
      </c>
      <c r="N130">
        <f>(K130+K130+L130)*J130</f>
        <v>135.15</v>
      </c>
      <c r="Q130" s="229">
        <v>16</v>
      </c>
      <c r="R130" s="229">
        <v>4</v>
      </c>
      <c r="S130">
        <f>((((J130/5.2)*(40*Q130))/1000)+J130)*R130</f>
        <v>714.27692307692314</v>
      </c>
      <c r="T130">
        <f>((S130*(Q130*Q130))/162)</f>
        <v>1128.7339031339031</v>
      </c>
      <c r="W130" s="216">
        <v>1</v>
      </c>
      <c r="X130" s="216">
        <v>0.125</v>
      </c>
      <c r="Y130">
        <f>(J130*W130)/X130</f>
        <v>1272</v>
      </c>
      <c r="Z130">
        <f>(((K130-0.045)+(L130-0.045))*2)*Y130</f>
        <v>1106.6400000000001</v>
      </c>
      <c r="AA130">
        <f>((6*6)*Z130)/162</f>
        <v>245.92000000000002</v>
      </c>
    </row>
    <row r="131" spans="1:27" x14ac:dyDescent="0.25">
      <c r="A131" s="60"/>
      <c r="B131" s="90" t="s">
        <v>99</v>
      </c>
      <c r="C131" s="31">
        <v>1</v>
      </c>
      <c r="D131" s="27" t="s">
        <v>125</v>
      </c>
      <c r="E131" s="28"/>
      <c r="F131" s="34">
        <f t="shared" si="17"/>
        <v>0</v>
      </c>
    </row>
    <row r="132" spans="1:27" x14ac:dyDescent="0.25">
      <c r="A132" s="60"/>
      <c r="B132" s="88" t="s">
        <v>1</v>
      </c>
      <c r="C132" s="27"/>
      <c r="D132" s="27"/>
      <c r="E132" s="28"/>
      <c r="F132" s="34" t="str">
        <f t="shared" si="17"/>
        <v/>
      </c>
    </row>
    <row r="133" spans="1:27" ht="43.5" customHeight="1" x14ac:dyDescent="0.25">
      <c r="A133" s="60"/>
      <c r="B133" s="2" t="s">
        <v>100</v>
      </c>
      <c r="C133" s="31">
        <f>N130</f>
        <v>135.15</v>
      </c>
      <c r="D133" s="27" t="s">
        <v>22</v>
      </c>
      <c r="E133" s="28"/>
      <c r="F133" s="34">
        <f t="shared" si="17"/>
        <v>0</v>
      </c>
    </row>
    <row r="134" spans="1:27" x14ac:dyDescent="0.25">
      <c r="A134" s="60"/>
      <c r="B134" s="36"/>
      <c r="C134" s="33"/>
      <c r="D134" s="27"/>
      <c r="E134" s="28"/>
      <c r="F134" s="34" t="str">
        <f>IF(E134="",IF(C134="","",C134*E134),C134*E134)</f>
        <v/>
      </c>
    </row>
    <row r="135" spans="1:27" x14ac:dyDescent="0.25">
      <c r="A135" s="86"/>
      <c r="B135" s="14" t="s">
        <v>261</v>
      </c>
      <c r="C135" s="27"/>
      <c r="D135" s="27"/>
      <c r="E135" s="28"/>
      <c r="F135" s="34" t="str">
        <f t="shared" ref="F135:F142" si="18">IF(E135="",IF(C135="","",C135*E135),C135*E135)</f>
        <v/>
      </c>
    </row>
    <row r="136" spans="1:27" ht="15.75" x14ac:dyDescent="0.25">
      <c r="A136" s="60"/>
      <c r="B136" s="2" t="s">
        <v>124</v>
      </c>
      <c r="C136" s="31">
        <f>M139</f>
        <v>8.5129199999999976</v>
      </c>
      <c r="D136" s="27" t="s">
        <v>84</v>
      </c>
      <c r="E136" s="28"/>
      <c r="F136" s="34">
        <f t="shared" si="18"/>
        <v>0</v>
      </c>
    </row>
    <row r="137" spans="1:27" x14ac:dyDescent="0.25">
      <c r="A137" s="86"/>
      <c r="B137" s="36" t="s">
        <v>0</v>
      </c>
      <c r="C137" s="31"/>
      <c r="D137" s="27"/>
      <c r="E137" s="28"/>
      <c r="F137" s="34" t="str">
        <f t="shared" si="18"/>
        <v/>
      </c>
      <c r="Q137" t="s">
        <v>220</v>
      </c>
    </row>
    <row r="138" spans="1:27" x14ac:dyDescent="0.25">
      <c r="A138" s="60"/>
      <c r="B138" s="90" t="s">
        <v>126</v>
      </c>
      <c r="C138" s="31">
        <f>AA139</f>
        <v>202.56383999999997</v>
      </c>
      <c r="D138" s="27" t="s">
        <v>158</v>
      </c>
      <c r="E138" s="28"/>
      <c r="F138" s="34">
        <f t="shared" si="18"/>
        <v>0</v>
      </c>
      <c r="J138" t="s">
        <v>206</v>
      </c>
      <c r="K138" t="s">
        <v>27</v>
      </c>
      <c r="L138" t="s">
        <v>202</v>
      </c>
      <c r="M138" t="s">
        <v>219</v>
      </c>
      <c r="N138" t="s">
        <v>223</v>
      </c>
      <c r="Q138" t="s">
        <v>221</v>
      </c>
      <c r="R138" t="s">
        <v>9</v>
      </c>
      <c r="S138" t="s">
        <v>222</v>
      </c>
      <c r="T138" t="s">
        <v>207</v>
      </c>
      <c r="V138" s="217" t="s">
        <v>208</v>
      </c>
      <c r="W138" s="217" t="s">
        <v>209</v>
      </c>
      <c r="X138" s="217" t="s">
        <v>210</v>
      </c>
      <c r="Y138" s="217" t="s">
        <v>211</v>
      </c>
      <c r="Z138" s="217" t="s">
        <v>212</v>
      </c>
      <c r="AA138" s="217" t="s">
        <v>207</v>
      </c>
    </row>
    <row r="139" spans="1:27" x14ac:dyDescent="0.25">
      <c r="A139" s="60"/>
      <c r="B139" s="90" t="s">
        <v>2</v>
      </c>
      <c r="C139" s="31">
        <f>T139</f>
        <v>635.81046153846137</v>
      </c>
      <c r="D139" s="27" t="s">
        <v>158</v>
      </c>
      <c r="E139" s="28"/>
      <c r="F139" s="34">
        <f t="shared" si="18"/>
        <v>0</v>
      </c>
      <c r="J139" s="229">
        <f>323.768-J130-J120</f>
        <v>130.96799999999996</v>
      </c>
      <c r="K139" s="229">
        <v>0.32500000000000001</v>
      </c>
      <c r="L139" s="229">
        <v>0.2</v>
      </c>
      <c r="M139" s="230">
        <f>L139*K139*J139</f>
        <v>8.5129199999999976</v>
      </c>
      <c r="N139">
        <f>(K139+K139+L139)*J139</f>
        <v>111.32279999999997</v>
      </c>
      <c r="Q139" s="229">
        <v>12</v>
      </c>
      <c r="R139" s="229">
        <v>5</v>
      </c>
      <c r="S139">
        <f>((((J139/5.2)*(40*Q139))/1000)+J139)*R139</f>
        <v>715.28676923076898</v>
      </c>
      <c r="T139">
        <f>((S139*(Q139*Q139))/162)</f>
        <v>635.81046153846137</v>
      </c>
      <c r="W139" s="216">
        <v>1</v>
      </c>
      <c r="X139" s="216">
        <v>0.125</v>
      </c>
      <c r="Y139">
        <f>(J139*W139)/X139</f>
        <v>1047.7439999999997</v>
      </c>
      <c r="Z139">
        <f>(((K139-0.045)+(L139-0.045))*2)*Y139</f>
        <v>911.5372799999999</v>
      </c>
      <c r="AA139">
        <f>((6*6)*Z139)/162</f>
        <v>202.56383999999997</v>
      </c>
    </row>
    <row r="140" spans="1:27" x14ac:dyDescent="0.25">
      <c r="A140" s="60"/>
      <c r="B140" s="90" t="s">
        <v>99</v>
      </c>
      <c r="C140" s="31">
        <v>1</v>
      </c>
      <c r="D140" s="27" t="s">
        <v>125</v>
      </c>
      <c r="E140" s="28"/>
      <c r="F140" s="34">
        <f t="shared" si="18"/>
        <v>0</v>
      </c>
    </row>
    <row r="141" spans="1:27" x14ac:dyDescent="0.25">
      <c r="A141" s="60"/>
      <c r="B141" s="88" t="s">
        <v>1</v>
      </c>
      <c r="C141" s="27"/>
      <c r="D141" s="27"/>
      <c r="E141" s="28"/>
      <c r="F141" s="34" t="str">
        <f t="shared" si="18"/>
        <v/>
      </c>
    </row>
    <row r="142" spans="1:27" ht="43.5" customHeight="1" x14ac:dyDescent="0.25">
      <c r="A142" s="60"/>
      <c r="B142" s="2" t="s">
        <v>100</v>
      </c>
      <c r="C142" s="31">
        <f>N139</f>
        <v>111.32279999999997</v>
      </c>
      <c r="D142" s="27" t="s">
        <v>22</v>
      </c>
      <c r="E142" s="28"/>
      <c r="F142" s="34">
        <f t="shared" si="18"/>
        <v>0</v>
      </c>
    </row>
    <row r="143" spans="1:27" x14ac:dyDescent="0.25">
      <c r="A143" s="60"/>
      <c r="B143" s="36"/>
      <c r="C143" s="33"/>
      <c r="D143" s="27"/>
      <c r="E143" s="28"/>
      <c r="F143" s="34" t="str">
        <f>IF(E143="",IF(C143="","",C143*E143),C143*E143)</f>
        <v/>
      </c>
    </row>
    <row r="144" spans="1:27" x14ac:dyDescent="0.25">
      <c r="A144" s="86"/>
      <c r="B144" s="14" t="s">
        <v>262</v>
      </c>
      <c r="C144" s="27"/>
      <c r="D144" s="27"/>
      <c r="E144" s="28"/>
      <c r="F144" s="34" t="str">
        <f t="shared" ref="F144:F152" si="19">IF(E144="",IF(C144="","",C144*E144),C144*E144)</f>
        <v/>
      </c>
    </row>
    <row r="145" spans="1:27" ht="15.75" x14ac:dyDescent="0.25">
      <c r="A145" s="60"/>
      <c r="B145" s="2" t="s">
        <v>124</v>
      </c>
      <c r="C145" s="31">
        <f>M148</f>
        <v>0.38400000000000006</v>
      </c>
      <c r="D145" s="27" t="s">
        <v>84</v>
      </c>
      <c r="E145" s="28"/>
      <c r="F145" s="34">
        <f t="shared" si="19"/>
        <v>0</v>
      </c>
    </row>
    <row r="146" spans="1:27" x14ac:dyDescent="0.25">
      <c r="A146" s="86"/>
      <c r="B146" s="36" t="s">
        <v>0</v>
      </c>
      <c r="C146" s="31"/>
      <c r="D146" s="27"/>
      <c r="E146" s="28"/>
      <c r="F146" s="34" t="str">
        <f t="shared" si="19"/>
        <v/>
      </c>
      <c r="Q146" t="s">
        <v>220</v>
      </c>
    </row>
    <row r="147" spans="1:27" x14ac:dyDescent="0.25">
      <c r="A147" s="60"/>
      <c r="B147" s="90" t="s">
        <v>126</v>
      </c>
      <c r="C147" s="31">
        <f>AA148</f>
        <v>21.759999999999998</v>
      </c>
      <c r="D147" s="27" t="s">
        <v>158</v>
      </c>
      <c r="E147" s="28"/>
      <c r="F147" s="34">
        <f t="shared" si="19"/>
        <v>0</v>
      </c>
      <c r="J147" t="s">
        <v>206</v>
      </c>
      <c r="K147" t="s">
        <v>27</v>
      </c>
      <c r="L147" t="s">
        <v>202</v>
      </c>
      <c r="M147" t="s">
        <v>219</v>
      </c>
      <c r="N147" t="s">
        <v>223</v>
      </c>
      <c r="Q147" t="s">
        <v>221</v>
      </c>
      <c r="R147" t="s">
        <v>9</v>
      </c>
      <c r="S147" t="s">
        <v>222</v>
      </c>
      <c r="T147" t="s">
        <v>207</v>
      </c>
      <c r="V147" s="217" t="s">
        <v>208</v>
      </c>
      <c r="W147" s="217" t="s">
        <v>209</v>
      </c>
      <c r="X147" s="217" t="s">
        <v>210</v>
      </c>
      <c r="Y147" s="217" t="s">
        <v>211</v>
      </c>
      <c r="Z147" s="217" t="s">
        <v>212</v>
      </c>
      <c r="AA147" s="217" t="s">
        <v>207</v>
      </c>
    </row>
    <row r="148" spans="1:27" x14ac:dyDescent="0.25">
      <c r="A148" s="60"/>
      <c r="B148" s="90" t="s">
        <v>263</v>
      </c>
      <c r="C148" s="31">
        <f>T148</f>
        <v>41.660170940170936</v>
      </c>
      <c r="D148" s="27" t="s">
        <v>158</v>
      </c>
      <c r="E148" s="28"/>
      <c r="F148" s="34">
        <f t="shared" si="19"/>
        <v>0</v>
      </c>
      <c r="J148" s="229">
        <v>4.8</v>
      </c>
      <c r="K148" s="229">
        <v>0.4</v>
      </c>
      <c r="L148" s="229">
        <v>0.2</v>
      </c>
      <c r="M148" s="230">
        <f>L148*K148*J148</f>
        <v>0.38400000000000006</v>
      </c>
      <c r="N148">
        <f>(K148+K148+L148)*J148</f>
        <v>4.8</v>
      </c>
      <c r="Q148" s="229">
        <v>16</v>
      </c>
      <c r="R148" s="229">
        <v>4</v>
      </c>
      <c r="S148">
        <f>(((((J148/5.2)*(40*Q148))/1000)+J148)*R148)+4*1.2</f>
        <v>26.363076923076921</v>
      </c>
      <c r="T148">
        <f>((S148*(Q148*Q148))/162)</f>
        <v>41.660170940170936</v>
      </c>
      <c r="W148" s="216">
        <v>2</v>
      </c>
      <c r="X148" s="216">
        <v>0.1</v>
      </c>
      <c r="Y148">
        <f>(J148*W148)/X148</f>
        <v>95.999999999999986</v>
      </c>
      <c r="Z148">
        <f>(((K148-0.045)+(L148-0.045))*2)*Y148</f>
        <v>97.919999999999987</v>
      </c>
      <c r="AA148">
        <f>((6*6)*Z148)/162</f>
        <v>21.759999999999998</v>
      </c>
    </row>
    <row r="149" spans="1:27" x14ac:dyDescent="0.25">
      <c r="A149" s="60"/>
      <c r="B149" s="90" t="s">
        <v>2</v>
      </c>
      <c r="C149" s="31">
        <f>T149</f>
        <v>9.3210256410256402</v>
      </c>
      <c r="D149" s="27" t="s">
        <v>158</v>
      </c>
      <c r="E149" s="28"/>
      <c r="F149" s="34">
        <f t="shared" ref="F149" si="20">IF(E149="",IF(C149="","",C149*E149),C149*E149)</f>
        <v>0</v>
      </c>
      <c r="J149" s="229">
        <v>4.8</v>
      </c>
      <c r="K149" s="229">
        <v>0.4</v>
      </c>
      <c r="L149" s="229">
        <v>0.2</v>
      </c>
      <c r="M149" s="230">
        <f>L149*K149*J149</f>
        <v>0.38400000000000006</v>
      </c>
      <c r="N149">
        <f>(K149+K149+L149)*J149</f>
        <v>4.8</v>
      </c>
      <c r="Q149" s="229">
        <v>12</v>
      </c>
      <c r="R149" s="229">
        <v>2</v>
      </c>
      <c r="S149">
        <f>((((J149/5.2)*(40*Q149))/1000)+J149)*R149</f>
        <v>10.486153846153845</v>
      </c>
      <c r="T149">
        <f>((S149*(Q149*Q149))/162)</f>
        <v>9.3210256410256402</v>
      </c>
      <c r="W149" s="216"/>
      <c r="X149" s="216"/>
    </row>
    <row r="150" spans="1:27" x14ac:dyDescent="0.25">
      <c r="A150" s="60"/>
      <c r="B150" s="90" t="s">
        <v>99</v>
      </c>
      <c r="C150" s="31">
        <v>1</v>
      </c>
      <c r="D150" s="27" t="s">
        <v>125</v>
      </c>
      <c r="E150" s="28"/>
      <c r="F150" s="34">
        <f t="shared" si="19"/>
        <v>0</v>
      </c>
    </row>
    <row r="151" spans="1:27" x14ac:dyDescent="0.25">
      <c r="A151" s="60"/>
      <c r="B151" s="88" t="s">
        <v>1</v>
      </c>
      <c r="C151" s="27"/>
      <c r="D151" s="27"/>
      <c r="E151" s="28"/>
      <c r="F151" s="34" t="str">
        <f t="shared" si="19"/>
        <v/>
      </c>
    </row>
    <row r="152" spans="1:27" ht="43.5" customHeight="1" x14ac:dyDescent="0.25">
      <c r="A152" s="60"/>
      <c r="B152" s="2" t="s">
        <v>100</v>
      </c>
      <c r="C152" s="31">
        <f>N148</f>
        <v>4.8</v>
      </c>
      <c r="D152" s="27" t="s">
        <v>22</v>
      </c>
      <c r="E152" s="28"/>
      <c r="F152" s="34">
        <f t="shared" si="19"/>
        <v>0</v>
      </c>
    </row>
    <row r="153" spans="1:27" x14ac:dyDescent="0.25">
      <c r="A153" s="60"/>
      <c r="B153" s="36"/>
      <c r="C153" s="33"/>
      <c r="D153" s="27"/>
      <c r="E153" s="28"/>
      <c r="F153" s="34" t="str">
        <f>IF(E153="",IF(C153="","",C153*E153),C153*E153)</f>
        <v/>
      </c>
    </row>
    <row r="154" spans="1:27" x14ac:dyDescent="0.25">
      <c r="A154" s="86"/>
      <c r="B154" s="220" t="str">
        <f>CONCATENATE("Column ",H156)</f>
        <v>Column C1</v>
      </c>
      <c r="C154" s="31"/>
      <c r="D154" s="27"/>
      <c r="E154" s="17"/>
      <c r="F154" s="34" t="str">
        <f t="shared" si="14"/>
        <v/>
      </c>
      <c r="H154" s="12"/>
      <c r="I154" t="s">
        <v>123</v>
      </c>
      <c r="P154" t="s">
        <v>200</v>
      </c>
    </row>
    <row r="155" spans="1:27" ht="15.75" x14ac:dyDescent="0.25">
      <c r="A155" s="60"/>
      <c r="B155" s="2" t="s">
        <v>124</v>
      </c>
      <c r="C155" s="31">
        <f>+N156</f>
        <v>4.9896000000000003</v>
      </c>
      <c r="D155" s="27" t="s">
        <v>84</v>
      </c>
      <c r="E155" s="28"/>
      <c r="F155" s="34">
        <f t="shared" si="14"/>
        <v>0</v>
      </c>
      <c r="H155" s="12"/>
      <c r="I155" s="12" t="s">
        <v>9</v>
      </c>
      <c r="J155" s="12" t="s">
        <v>201</v>
      </c>
      <c r="K155" s="12" t="s">
        <v>202</v>
      </c>
      <c r="L155" s="12" t="s">
        <v>27</v>
      </c>
      <c r="M155" s="12" t="s">
        <v>20</v>
      </c>
      <c r="N155" s="12" t="s">
        <v>203</v>
      </c>
      <c r="O155" t="s">
        <v>204</v>
      </c>
      <c r="P155" t="s">
        <v>205</v>
      </c>
      <c r="Q155" s="216" t="s">
        <v>9</v>
      </c>
      <c r="R155" s="217" t="s">
        <v>206</v>
      </c>
      <c r="S155" s="217" t="s">
        <v>207</v>
      </c>
      <c r="T155" s="217" t="s">
        <v>208</v>
      </c>
      <c r="U155" s="217" t="s">
        <v>209</v>
      </c>
      <c r="V155" s="217" t="s">
        <v>210</v>
      </c>
      <c r="W155" s="217" t="s">
        <v>211</v>
      </c>
      <c r="X155" s="217" t="s">
        <v>212</v>
      </c>
      <c r="Y155" s="217" t="s">
        <v>207</v>
      </c>
    </row>
    <row r="156" spans="1:27" x14ac:dyDescent="0.25">
      <c r="A156" s="86"/>
      <c r="B156" s="36" t="s">
        <v>0</v>
      </c>
      <c r="C156" s="31"/>
      <c r="D156" s="27"/>
      <c r="E156" s="28"/>
      <c r="F156" s="34" t="str">
        <f t="shared" si="14"/>
        <v/>
      </c>
      <c r="H156" s="12" t="s">
        <v>213</v>
      </c>
      <c r="I156" s="216">
        <v>21</v>
      </c>
      <c r="J156" s="216">
        <v>4</v>
      </c>
      <c r="K156" s="216"/>
      <c r="L156" s="216"/>
      <c r="M156">
        <v>5.9400000000000001E-2</v>
      </c>
      <c r="N156">
        <f>M156*J156*I156</f>
        <v>4.9896000000000003</v>
      </c>
      <c r="O156">
        <f>(((J156*K156)+(J156*L156))*2)*I156</f>
        <v>0</v>
      </c>
      <c r="P156" s="216">
        <v>16</v>
      </c>
      <c r="Q156" s="216">
        <v>6</v>
      </c>
      <c r="R156">
        <f>(J156+0.2)*Q156*I156</f>
        <v>529.20000000000005</v>
      </c>
      <c r="S156">
        <f>(R156*(P156*P156))/162</f>
        <v>836.26666666666677</v>
      </c>
      <c r="U156" s="216">
        <v>1</v>
      </c>
      <c r="V156" s="216">
        <v>0.15</v>
      </c>
      <c r="W156">
        <f>(J156*I156*U156)/V156</f>
        <v>560</v>
      </c>
      <c r="X156">
        <f>W156*0.58412</f>
        <v>327.10719999999998</v>
      </c>
      <c r="Y156">
        <f>((6*6)*X156)/162</f>
        <v>72.690488888888879</v>
      </c>
    </row>
    <row r="157" spans="1:27" x14ac:dyDescent="0.25">
      <c r="A157" s="60"/>
      <c r="B157" s="90" t="s">
        <v>126</v>
      </c>
      <c r="C157" s="31">
        <f>+Y156</f>
        <v>72.690488888888879</v>
      </c>
      <c r="D157" s="27" t="s">
        <v>214</v>
      </c>
      <c r="E157" s="28"/>
      <c r="F157" s="34">
        <f t="shared" si="14"/>
        <v>0</v>
      </c>
      <c r="H157" s="12" t="s">
        <v>213</v>
      </c>
      <c r="I157" s="216"/>
      <c r="J157" s="216">
        <v>4</v>
      </c>
      <c r="K157" s="216"/>
      <c r="L157" s="216"/>
      <c r="M157">
        <f>L157*K157</f>
        <v>0</v>
      </c>
      <c r="N157">
        <f>M157*J157*I157</f>
        <v>0</v>
      </c>
      <c r="O157">
        <f>(((J157*K157)+(J157*L157))*2)*I157</f>
        <v>0</v>
      </c>
      <c r="P157" s="216">
        <v>12</v>
      </c>
      <c r="Q157" s="216">
        <v>4</v>
      </c>
      <c r="R157">
        <f>(J157+0.2)*Q157*I157</f>
        <v>0</v>
      </c>
      <c r="S157">
        <f>(R157*(P157*P157))/162</f>
        <v>0</v>
      </c>
      <c r="U157" s="216">
        <v>1</v>
      </c>
      <c r="V157" s="216">
        <v>0.15</v>
      </c>
      <c r="W157">
        <f>(J157*I157*U157)/V157</f>
        <v>0</v>
      </c>
      <c r="X157">
        <f>(((K157-0.045)+(L157-0.045))*2)*W157</f>
        <v>0</v>
      </c>
      <c r="Y157">
        <f>((6*6)*X157)/162</f>
        <v>0</v>
      </c>
    </row>
    <row r="158" spans="1:27" x14ac:dyDescent="0.25">
      <c r="A158" s="60"/>
      <c r="B158" s="90" t="str">
        <f>CONCATENATE("Steel deformed bars, ",P156," mm dia")</f>
        <v>Steel deformed bars, 16 mm dia</v>
      </c>
      <c r="C158" s="31">
        <f>+S156</f>
        <v>836.26666666666677</v>
      </c>
      <c r="D158" s="27" t="s">
        <v>214</v>
      </c>
      <c r="E158" s="28"/>
      <c r="F158" s="34">
        <f t="shared" si="14"/>
        <v>0</v>
      </c>
    </row>
    <row r="159" spans="1:27" x14ac:dyDescent="0.25">
      <c r="A159" s="60"/>
      <c r="B159" s="90" t="str">
        <f>IF(I157="","",CONCATENATE("Steel deformed bars, ",P157," mm dia"))</f>
        <v/>
      </c>
      <c r="C159" s="31" t="str">
        <f>IF(I157="","",S157)</f>
        <v/>
      </c>
      <c r="D159" s="27" t="str">
        <f>IF(I157="","","kg")</f>
        <v/>
      </c>
      <c r="E159" s="28"/>
      <c r="F159" s="34" t="str">
        <f t="shared" si="14"/>
        <v/>
      </c>
    </row>
    <row r="160" spans="1:27" x14ac:dyDescent="0.25">
      <c r="A160" s="60"/>
      <c r="B160" s="90" t="s">
        <v>99</v>
      </c>
      <c r="C160" s="31">
        <v>1</v>
      </c>
      <c r="D160" s="27" t="s">
        <v>125</v>
      </c>
      <c r="E160" s="28"/>
      <c r="F160" s="34">
        <f t="shared" si="14"/>
        <v>0</v>
      </c>
    </row>
    <row r="161" spans="1:25" x14ac:dyDescent="0.25">
      <c r="A161" s="60"/>
      <c r="B161" s="90"/>
      <c r="C161" s="31"/>
      <c r="D161" s="27"/>
      <c r="E161" s="28"/>
      <c r="F161" s="34" t="str">
        <f t="shared" si="14"/>
        <v/>
      </c>
    </row>
    <row r="162" spans="1:25" x14ac:dyDescent="0.25">
      <c r="A162" s="60"/>
      <c r="B162" s="88" t="s">
        <v>1</v>
      </c>
      <c r="C162" s="31"/>
      <c r="D162" s="27"/>
      <c r="E162" s="28"/>
      <c r="F162" s="34" t="str">
        <f t="shared" si="14"/>
        <v/>
      </c>
    </row>
    <row r="163" spans="1:25" ht="38.25" x14ac:dyDescent="0.25">
      <c r="A163" s="60"/>
      <c r="B163" s="2" t="s">
        <v>100</v>
      </c>
      <c r="C163" s="218">
        <f>+O156</f>
        <v>0</v>
      </c>
      <c r="D163" s="219" t="s">
        <v>22</v>
      </c>
      <c r="E163" s="28"/>
      <c r="F163" s="34">
        <f t="shared" si="14"/>
        <v>0</v>
      </c>
    </row>
    <row r="164" spans="1:25" x14ac:dyDescent="0.25">
      <c r="A164" s="60"/>
      <c r="B164" s="2"/>
      <c r="C164" s="218"/>
      <c r="D164" s="219"/>
      <c r="E164" s="28"/>
      <c r="F164" s="34" t="str">
        <f t="shared" si="14"/>
        <v/>
      </c>
      <c r="P164" t="s">
        <v>220</v>
      </c>
    </row>
    <row r="165" spans="1:25" x14ac:dyDescent="0.25">
      <c r="A165" s="86" t="s">
        <v>253</v>
      </c>
      <c r="B165" s="220" t="str">
        <f>CONCATENATE("Column ",H167)</f>
        <v>Column C2</v>
      </c>
      <c r="C165" s="31"/>
      <c r="D165" s="27"/>
      <c r="E165" s="17"/>
      <c r="F165" s="34" t="str">
        <f t="shared" si="14"/>
        <v/>
      </c>
      <c r="H165" s="12"/>
      <c r="I165" t="s">
        <v>123</v>
      </c>
      <c r="P165" t="s">
        <v>200</v>
      </c>
    </row>
    <row r="166" spans="1:25" ht="15.75" x14ac:dyDescent="0.25">
      <c r="A166" s="60"/>
      <c r="B166" s="2" t="s">
        <v>124</v>
      </c>
      <c r="C166" s="31">
        <f>+N167</f>
        <v>10.75</v>
      </c>
      <c r="D166" s="27" t="s">
        <v>84</v>
      </c>
      <c r="E166" s="28"/>
      <c r="F166" s="34">
        <f t="shared" si="14"/>
        <v>0</v>
      </c>
      <c r="H166" s="12"/>
      <c r="I166" s="12" t="s">
        <v>9</v>
      </c>
      <c r="J166" s="12" t="s">
        <v>201</v>
      </c>
      <c r="K166" s="12" t="s">
        <v>202</v>
      </c>
      <c r="L166" s="12" t="s">
        <v>27</v>
      </c>
      <c r="M166" s="12" t="s">
        <v>20</v>
      </c>
      <c r="N166" s="12" t="s">
        <v>203</v>
      </c>
      <c r="O166" t="s">
        <v>204</v>
      </c>
      <c r="P166" t="s">
        <v>205</v>
      </c>
      <c r="Q166" s="216" t="s">
        <v>9</v>
      </c>
      <c r="R166" s="217" t="s">
        <v>206</v>
      </c>
      <c r="S166" s="217" t="s">
        <v>207</v>
      </c>
      <c r="T166" s="217" t="s">
        <v>208</v>
      </c>
      <c r="U166" s="217" t="s">
        <v>209</v>
      </c>
      <c r="V166" s="217" t="s">
        <v>210</v>
      </c>
      <c r="W166" s="217" t="s">
        <v>211</v>
      </c>
      <c r="X166" s="217" t="s">
        <v>212</v>
      </c>
      <c r="Y166" s="217" t="s">
        <v>207</v>
      </c>
    </row>
    <row r="167" spans="1:25" x14ac:dyDescent="0.25">
      <c r="A167" s="86"/>
      <c r="B167" s="36" t="s">
        <v>0</v>
      </c>
      <c r="C167" s="31"/>
      <c r="D167" s="27"/>
      <c r="E167" s="28"/>
      <c r="F167" s="34" t="str">
        <f t="shared" si="14"/>
        <v/>
      </c>
      <c r="H167" s="12" t="s">
        <v>254</v>
      </c>
      <c r="I167" s="216">
        <v>43</v>
      </c>
      <c r="J167" s="216">
        <v>4</v>
      </c>
      <c r="K167" s="216">
        <v>0.25</v>
      </c>
      <c r="L167" s="216">
        <v>0.25</v>
      </c>
      <c r="M167">
        <f>L167*K167</f>
        <v>6.25E-2</v>
      </c>
      <c r="N167">
        <f>M167*J167*I167</f>
        <v>10.75</v>
      </c>
      <c r="O167">
        <f>(((J167*K167)+(J167*L167))*2)*I167</f>
        <v>172</v>
      </c>
      <c r="P167" s="216">
        <v>16</v>
      </c>
      <c r="Q167" s="216">
        <v>4</v>
      </c>
      <c r="R167">
        <f>(J167+0.2)*Q167*I167</f>
        <v>722.4</v>
      </c>
      <c r="S167">
        <f>(R167*(P167*P167))/162</f>
        <v>1141.5703703703703</v>
      </c>
      <c r="U167" s="216">
        <v>2</v>
      </c>
      <c r="V167" s="216">
        <v>0.15</v>
      </c>
      <c r="W167">
        <f>(J167*I167*U167)/V167</f>
        <v>2293.3333333333335</v>
      </c>
      <c r="X167">
        <f>(((K167-0.045)+(L167-0.045))*2)*W167</f>
        <v>1880.5333333333335</v>
      </c>
      <c r="Y167">
        <f>((6*6)*X167)/162</f>
        <v>417.89629629629638</v>
      </c>
    </row>
    <row r="168" spans="1:25" x14ac:dyDescent="0.25">
      <c r="A168" s="60"/>
      <c r="B168" s="90" t="s">
        <v>126</v>
      </c>
      <c r="C168" s="31">
        <f>+Y167</f>
        <v>417.89629629629638</v>
      </c>
      <c r="D168" s="27" t="s">
        <v>214</v>
      </c>
      <c r="E168" s="28"/>
      <c r="F168" s="34">
        <f t="shared" si="14"/>
        <v>0</v>
      </c>
      <c r="H168" s="12" t="s">
        <v>254</v>
      </c>
      <c r="I168" s="216"/>
      <c r="J168" s="216">
        <v>4</v>
      </c>
      <c r="K168" s="216">
        <v>0.25</v>
      </c>
      <c r="L168" s="216">
        <v>0.25</v>
      </c>
      <c r="M168">
        <f>L168*K168</f>
        <v>6.25E-2</v>
      </c>
      <c r="N168">
        <f>M168*J168*I168</f>
        <v>0</v>
      </c>
      <c r="O168">
        <f>(((J168*K168)+(J168*L168))*2)*I168</f>
        <v>0</v>
      </c>
      <c r="P168" s="216">
        <v>12</v>
      </c>
      <c r="Q168" s="216">
        <v>4</v>
      </c>
      <c r="R168">
        <f>(J168+0.2)*Q168*I168</f>
        <v>0</v>
      </c>
      <c r="S168">
        <f>(R168*(P168*P168))/162</f>
        <v>0</v>
      </c>
      <c r="U168" s="216">
        <v>1</v>
      </c>
      <c r="V168" s="216">
        <v>0.15</v>
      </c>
      <c r="W168">
        <f>(J168*I168*U168)/V168</f>
        <v>0</v>
      </c>
      <c r="X168">
        <f>(((K168-0.045)+(L168-0.045))*2)*W168</f>
        <v>0</v>
      </c>
      <c r="Y168">
        <f>((6*6)*X168)/162</f>
        <v>0</v>
      </c>
    </row>
    <row r="169" spans="1:25" x14ac:dyDescent="0.25">
      <c r="A169" s="60"/>
      <c r="B169" s="90" t="str">
        <f>CONCATENATE("Steel deformed bars, ",P167," mm dia")</f>
        <v>Steel deformed bars, 16 mm dia</v>
      </c>
      <c r="C169" s="31">
        <f>+S167</f>
        <v>1141.5703703703703</v>
      </c>
      <c r="D169" s="27" t="s">
        <v>214</v>
      </c>
      <c r="E169" s="28"/>
      <c r="F169" s="34">
        <f t="shared" si="14"/>
        <v>0</v>
      </c>
    </row>
    <row r="170" spans="1:25" x14ac:dyDescent="0.25">
      <c r="A170" s="60"/>
      <c r="B170" s="90" t="str">
        <f>IF(I168="","",CONCATENATE("Steel deformed bars, ",P168," mm dia"))</f>
        <v/>
      </c>
      <c r="C170" s="31" t="str">
        <f>IF(I168="","",S168)</f>
        <v/>
      </c>
      <c r="D170" s="27" t="str">
        <f>IF(I168="","","kg")</f>
        <v/>
      </c>
      <c r="E170" s="28"/>
      <c r="F170" s="34" t="str">
        <f t="shared" si="14"/>
        <v/>
      </c>
    </row>
    <row r="171" spans="1:25" x14ac:dyDescent="0.25">
      <c r="A171" s="60"/>
      <c r="B171" s="90" t="s">
        <v>99</v>
      </c>
      <c r="C171" s="31">
        <v>1</v>
      </c>
      <c r="D171" s="27" t="s">
        <v>125</v>
      </c>
      <c r="E171" s="28"/>
      <c r="F171" s="34">
        <f t="shared" si="14"/>
        <v>0</v>
      </c>
    </row>
    <row r="172" spans="1:25" x14ac:dyDescent="0.25">
      <c r="A172" s="60"/>
      <c r="B172" s="90"/>
      <c r="C172" s="31"/>
      <c r="D172" s="27"/>
      <c r="E172" s="28"/>
      <c r="F172" s="34" t="str">
        <f t="shared" si="14"/>
        <v/>
      </c>
    </row>
    <row r="173" spans="1:25" x14ac:dyDescent="0.25">
      <c r="A173" s="60"/>
      <c r="B173" s="88" t="s">
        <v>1</v>
      </c>
      <c r="C173" s="31"/>
      <c r="D173" s="27"/>
      <c r="E173" s="28"/>
      <c r="F173" s="34" t="str">
        <f t="shared" si="14"/>
        <v/>
      </c>
    </row>
    <row r="174" spans="1:25" ht="38.25" x14ac:dyDescent="0.25">
      <c r="A174" s="60"/>
      <c r="B174" s="2" t="s">
        <v>100</v>
      </c>
      <c r="C174" s="218">
        <f>+O167</f>
        <v>172</v>
      </c>
      <c r="D174" s="219" t="s">
        <v>22</v>
      </c>
      <c r="E174" s="28"/>
      <c r="F174" s="34">
        <f t="shared" si="14"/>
        <v>0</v>
      </c>
    </row>
    <row r="175" spans="1:25" x14ac:dyDescent="0.25">
      <c r="A175" s="60"/>
      <c r="B175" s="2"/>
      <c r="C175" s="218"/>
      <c r="D175" s="219"/>
      <c r="E175" s="28"/>
      <c r="F175" s="34"/>
    </row>
    <row r="176" spans="1:25" x14ac:dyDescent="0.25">
      <c r="A176" s="86"/>
      <c r="B176" s="14" t="s">
        <v>294</v>
      </c>
      <c r="C176" s="27"/>
      <c r="D176" s="27"/>
      <c r="E176" s="17"/>
      <c r="F176" s="34" t="str">
        <f t="shared" si="14"/>
        <v/>
      </c>
      <c r="J176">
        <f>1200/200</f>
        <v>6</v>
      </c>
      <c r="K176">
        <f>J176*12.836</f>
        <v>77.016000000000005</v>
      </c>
      <c r="L176">
        <f>J177*((12.836/5.2)*(40*0.01))</f>
        <v>63.370344615384624</v>
      </c>
      <c r="M176">
        <f>K176+K177+L176+L177</f>
        <v>217.40234461538464</v>
      </c>
      <c r="N176">
        <f>M176*1</f>
        <v>217.40234461538464</v>
      </c>
      <c r="O176">
        <f>(N176*(10*10))/162</f>
        <v>134.19897815764483</v>
      </c>
    </row>
    <row r="177" spans="1:29" ht="15.75" x14ac:dyDescent="0.25">
      <c r="A177" s="60"/>
      <c r="B177" s="2" t="s">
        <v>123</v>
      </c>
      <c r="C177" s="31">
        <f>12.836*1.2*0.1</f>
        <v>1.5403200000000001</v>
      </c>
      <c r="D177" s="27" t="s">
        <v>84</v>
      </c>
      <c r="E177" s="17"/>
      <c r="F177" s="34">
        <f t="shared" si="14"/>
        <v>0</v>
      </c>
      <c r="J177">
        <f>12836/200</f>
        <v>64.180000000000007</v>
      </c>
      <c r="K177">
        <f>J177*1.2</f>
        <v>77.016000000000005</v>
      </c>
    </row>
    <row r="178" spans="1:29" x14ac:dyDescent="0.25">
      <c r="A178" s="86"/>
      <c r="B178" s="36" t="s">
        <v>0</v>
      </c>
      <c r="C178" s="31"/>
      <c r="D178" s="27"/>
      <c r="E178" s="17"/>
      <c r="F178" s="34" t="str">
        <f t="shared" si="14"/>
        <v/>
      </c>
    </row>
    <row r="179" spans="1:29" x14ac:dyDescent="0.25">
      <c r="A179" s="60"/>
      <c r="B179" s="90" t="s">
        <v>216</v>
      </c>
      <c r="C179" s="31">
        <f>O176+V176+AC176</f>
        <v>134.19897815764483</v>
      </c>
      <c r="D179" s="27" t="s">
        <v>158</v>
      </c>
      <c r="E179" s="17"/>
      <c r="F179" s="34">
        <f t="shared" si="14"/>
        <v>0</v>
      </c>
    </row>
    <row r="180" spans="1:29" x14ac:dyDescent="0.25">
      <c r="A180" s="60"/>
      <c r="B180" s="2"/>
      <c r="C180" s="218"/>
      <c r="D180" s="219"/>
      <c r="E180" s="28"/>
      <c r="F180" s="34" t="str">
        <f t="shared" si="14"/>
        <v/>
      </c>
      <c r="P180" t="s">
        <v>220</v>
      </c>
    </row>
    <row r="181" spans="1:29" ht="15.75" thickBot="1" x14ac:dyDescent="0.3">
      <c r="A181" s="195">
        <v>3.5</v>
      </c>
      <c r="B181" s="248" t="s">
        <v>64</v>
      </c>
      <c r="C181" s="249"/>
      <c r="D181" s="249"/>
      <c r="E181" s="249"/>
      <c r="F181" s="155">
        <f>SUM(F182:F230)</f>
        <v>0</v>
      </c>
      <c r="I181" t="s">
        <v>206</v>
      </c>
      <c r="J181" t="s">
        <v>27</v>
      </c>
      <c r="K181" t="s">
        <v>202</v>
      </c>
      <c r="L181" t="s">
        <v>219</v>
      </c>
      <c r="M181" t="s">
        <v>223</v>
      </c>
      <c r="P181" t="s">
        <v>221</v>
      </c>
      <c r="Q181" t="s">
        <v>9</v>
      </c>
      <c r="R181" t="s">
        <v>222</v>
      </c>
      <c r="S181" t="s">
        <v>207</v>
      </c>
      <c r="U181" s="217" t="s">
        <v>208</v>
      </c>
      <c r="V181" s="217" t="s">
        <v>209</v>
      </c>
      <c r="W181" s="217" t="s">
        <v>210</v>
      </c>
      <c r="X181" s="217" t="s">
        <v>211</v>
      </c>
      <c r="Y181" s="217" t="s">
        <v>212</v>
      </c>
      <c r="Z181" s="217" t="s">
        <v>207</v>
      </c>
    </row>
    <row r="182" spans="1:29" ht="15.75" thickTop="1" x14ac:dyDescent="0.25">
      <c r="A182" s="60"/>
      <c r="B182" s="2"/>
      <c r="C182" s="31"/>
      <c r="D182" s="27"/>
      <c r="E182" s="28"/>
      <c r="F182" s="34" t="str">
        <f>IF(E182="",IF(C182="","",C182*E182),C182*E182)</f>
        <v/>
      </c>
      <c r="I182" s="229">
        <v>76.099999999999994</v>
      </c>
      <c r="J182" s="229">
        <v>0.3</v>
      </c>
      <c r="K182" s="229">
        <v>0.2</v>
      </c>
      <c r="L182" s="230">
        <f>K182*J182*I182</f>
        <v>4.5659999999999998</v>
      </c>
      <c r="M182">
        <f>(J182+J182+K182)*I182</f>
        <v>60.879999999999995</v>
      </c>
      <c r="P182" s="229">
        <v>12</v>
      </c>
      <c r="Q182" s="229">
        <v>5</v>
      </c>
      <c r="R182">
        <f>((((I182/5.2)*(40*P182))/1000)+I182)*Q182</f>
        <v>415.62307692307689</v>
      </c>
      <c r="S182">
        <f>((R182*(P182*P182))/162)</f>
        <v>369.44273504273502</v>
      </c>
      <c r="V182" s="216">
        <v>1</v>
      </c>
      <c r="W182" s="216">
        <v>0.15</v>
      </c>
      <c r="X182">
        <f>(I182*V182)/W182</f>
        <v>507.33333333333331</v>
      </c>
      <c r="Y182">
        <f>(((J182-0.045)+(K182-0.045))*2)*X182</f>
        <v>416.01333333333332</v>
      </c>
      <c r="Z182">
        <f>((6*6)*Y182)/162</f>
        <v>92.447407407407411</v>
      </c>
    </row>
    <row r="183" spans="1:29" x14ac:dyDescent="0.25">
      <c r="A183" s="86"/>
      <c r="B183" s="14" t="s">
        <v>303</v>
      </c>
      <c r="C183" s="27"/>
      <c r="D183" s="27"/>
      <c r="E183" s="17"/>
      <c r="F183" s="34" t="str">
        <f t="shared" ref="F183:F192" si="21">IF(E183="",IF(C183="","",C183*E183),C183*E183)</f>
        <v/>
      </c>
      <c r="J183">
        <f>15614/150</f>
        <v>104.09333333333333</v>
      </c>
      <c r="K183">
        <f>J183*7.663</f>
        <v>797.66721333333339</v>
      </c>
      <c r="L183">
        <f>J184*((7.663/5.2)*(40*0.01))</f>
        <v>30.113625128205129</v>
      </c>
      <c r="M183">
        <f>K183+K184+L183+L184</f>
        <v>1750.4721523076923</v>
      </c>
      <c r="N183">
        <f>M183*2</f>
        <v>3500.9443046153847</v>
      </c>
      <c r="O183">
        <f>(N183*(10*10))/162</f>
        <v>2161.0767312440648</v>
      </c>
      <c r="Q183">
        <f>12875/150</f>
        <v>85.833333333333329</v>
      </c>
      <c r="R183">
        <f>Q183*7.663</f>
        <v>657.74083333333328</v>
      </c>
      <c r="S183">
        <f>Q184*((7.663/5.2)*(40*0.01))</f>
        <v>30.113625128205129</v>
      </c>
      <c r="T183">
        <f>R183+R184+S183+S184</f>
        <v>1430.6033046153843</v>
      </c>
      <c r="U183">
        <f>T183*2</f>
        <v>2861.2066092307687</v>
      </c>
      <c r="V183">
        <f>(U183*(10*10))/162</f>
        <v>1766.1769192782522</v>
      </c>
      <c r="X183">
        <f>13245/150</f>
        <v>88.3</v>
      </c>
      <c r="Y183">
        <f>X183*6.76</f>
        <v>596.90800000000002</v>
      </c>
      <c r="Z183">
        <f>X184*((6.76/5.2)*(40*0.01))</f>
        <v>23.434666666666665</v>
      </c>
      <c r="AA183">
        <f>Y183+Y184+Z183+Z184</f>
        <v>1307.2147820512821</v>
      </c>
      <c r="AB183">
        <f>AA183*2</f>
        <v>2614.4295641025642</v>
      </c>
      <c r="AC183">
        <f>(AB183*(10*10))/162</f>
        <v>1613.8454099398543</v>
      </c>
    </row>
    <row r="184" spans="1:29" ht="15.75" x14ac:dyDescent="0.25">
      <c r="A184" s="60"/>
      <c r="B184" s="2" t="s">
        <v>123</v>
      </c>
      <c r="C184" s="31">
        <v>40.639300000000006</v>
      </c>
      <c r="D184" s="27" t="s">
        <v>84</v>
      </c>
      <c r="E184" s="17"/>
      <c r="F184" s="34">
        <f t="shared" si="21"/>
        <v>0</v>
      </c>
      <c r="J184">
        <f>7663/150</f>
        <v>51.086666666666666</v>
      </c>
      <c r="K184">
        <f>J184*15.614</f>
        <v>797.66721333333339</v>
      </c>
      <c r="L184">
        <f>J183*((15.614/5.2)*(40*0.01))</f>
        <v>125.02410051282052</v>
      </c>
      <c r="Q184">
        <f>7663/150</f>
        <v>51.086666666666666</v>
      </c>
      <c r="R184">
        <f>Q184*12.875</f>
        <v>657.74083333333328</v>
      </c>
      <c r="S184">
        <f>Q183*((12.875/5.2)*(40*0.01))</f>
        <v>85.008012820512818</v>
      </c>
      <c r="X184">
        <f>6760/150</f>
        <v>45.06666666666667</v>
      </c>
      <c r="Y184">
        <f>X184*13.245</f>
        <v>596.90800000000002</v>
      </c>
      <c r="Z184">
        <f>X183*((13.245/5.2)*(40*0.01))</f>
        <v>89.964115384615368</v>
      </c>
    </row>
    <row r="185" spans="1:29" x14ac:dyDescent="0.25">
      <c r="A185" s="86"/>
      <c r="B185" s="36" t="s">
        <v>0</v>
      </c>
      <c r="C185" s="31"/>
      <c r="D185" s="27"/>
      <c r="E185" s="17"/>
      <c r="F185" s="34" t="str">
        <f t="shared" si="21"/>
        <v/>
      </c>
    </row>
    <row r="186" spans="1:29" x14ac:dyDescent="0.25">
      <c r="A186" s="60"/>
      <c r="B186" s="90" t="s">
        <v>266</v>
      </c>
      <c r="C186" s="31">
        <f>O183+V183+AC183</f>
        <v>5541.0990604621711</v>
      </c>
      <c r="D186" s="27" t="s">
        <v>158</v>
      </c>
      <c r="E186" s="17"/>
      <c r="F186" s="34">
        <f t="shared" si="21"/>
        <v>0</v>
      </c>
    </row>
    <row r="187" spans="1:29" x14ac:dyDescent="0.25">
      <c r="A187" s="60"/>
      <c r="B187" s="90"/>
      <c r="C187" s="31"/>
      <c r="D187" s="27"/>
      <c r="E187" s="17"/>
      <c r="F187" s="34" t="str">
        <f t="shared" si="21"/>
        <v/>
      </c>
    </row>
    <row r="188" spans="1:29" x14ac:dyDescent="0.25">
      <c r="A188" s="86"/>
      <c r="B188" s="14" t="s">
        <v>304</v>
      </c>
      <c r="C188" s="27"/>
      <c r="D188" s="27"/>
      <c r="E188" s="17"/>
      <c r="F188" s="34" t="str">
        <f t="shared" si="21"/>
        <v/>
      </c>
      <c r="J188">
        <f>1000/150</f>
        <v>6.666666666666667</v>
      </c>
      <c r="K188">
        <f>J188*13.245</f>
        <v>88.3</v>
      </c>
      <c r="L188">
        <f>J189*((13.245/5.2)*(40*0.01))</f>
        <v>89.964115384615368</v>
      </c>
      <c r="M188">
        <f>K188+K189+L188+L189</f>
        <v>266.56411538461538</v>
      </c>
      <c r="N188">
        <f>M188*2</f>
        <v>533.12823076923075</v>
      </c>
      <c r="O188">
        <f>(N188*(10*10))/162</f>
        <v>329.09150047483377</v>
      </c>
      <c r="Q188">
        <f>13245/75</f>
        <v>176.6</v>
      </c>
      <c r="R188">
        <f>Q188*2.875</f>
        <v>507.72499999999997</v>
      </c>
      <c r="S188">
        <f>(R188*(10*10))/162</f>
        <v>313.41049382716051</v>
      </c>
    </row>
    <row r="189" spans="1:29" ht="15.75" x14ac:dyDescent="0.25">
      <c r="A189" s="60"/>
      <c r="B189" s="2" t="s">
        <v>123</v>
      </c>
      <c r="C189" s="31">
        <f>1*5.075*0.165</f>
        <v>0.83737500000000009</v>
      </c>
      <c r="D189" s="27" t="s">
        <v>84</v>
      </c>
      <c r="E189" s="17"/>
      <c r="F189" s="34">
        <f t="shared" si="21"/>
        <v>0</v>
      </c>
      <c r="J189">
        <f>13245/150</f>
        <v>88.3</v>
      </c>
      <c r="K189">
        <f>J189*1</f>
        <v>88.3</v>
      </c>
    </row>
    <row r="190" spans="1:29" x14ac:dyDescent="0.25">
      <c r="A190" s="86"/>
      <c r="B190" s="36" t="s">
        <v>0</v>
      </c>
      <c r="C190" s="31"/>
      <c r="D190" s="27"/>
      <c r="E190" s="17"/>
      <c r="F190" s="34" t="str">
        <f t="shared" si="21"/>
        <v/>
      </c>
    </row>
    <row r="191" spans="1:29" x14ac:dyDescent="0.25">
      <c r="A191" s="60"/>
      <c r="B191" s="90" t="s">
        <v>266</v>
      </c>
      <c r="C191" s="31">
        <f>O188+S188</f>
        <v>642.50199430199427</v>
      </c>
      <c r="D191" s="27" t="s">
        <v>158</v>
      </c>
      <c r="E191" s="17"/>
      <c r="F191" s="34">
        <f t="shared" si="21"/>
        <v>0</v>
      </c>
    </row>
    <row r="192" spans="1:29" x14ac:dyDescent="0.25">
      <c r="A192" s="60"/>
      <c r="B192" s="90"/>
      <c r="C192" s="31"/>
      <c r="D192" s="27"/>
      <c r="E192" s="17"/>
      <c r="F192" s="34" t="str">
        <f t="shared" si="21"/>
        <v/>
      </c>
    </row>
    <row r="193" spans="1:27" x14ac:dyDescent="0.25">
      <c r="A193" s="86"/>
      <c r="B193" s="14" t="s">
        <v>259</v>
      </c>
      <c r="C193" s="27"/>
      <c r="D193" s="27"/>
      <c r="E193" s="28"/>
      <c r="F193" s="34" t="str">
        <f t="shared" ref="F193:F202" si="22">IF(E193="",IF(C193="","",C193*E193),C193*E193)</f>
        <v/>
      </c>
    </row>
    <row r="194" spans="1:27" ht="15.75" x14ac:dyDescent="0.25">
      <c r="A194" s="60"/>
      <c r="B194" s="2" t="s">
        <v>124</v>
      </c>
      <c r="C194" s="31">
        <f>M197</f>
        <v>3.42225</v>
      </c>
      <c r="D194" s="27" t="s">
        <v>84</v>
      </c>
      <c r="E194" s="28"/>
      <c r="F194" s="34">
        <f t="shared" si="22"/>
        <v>0</v>
      </c>
    </row>
    <row r="195" spans="1:27" x14ac:dyDescent="0.25">
      <c r="A195" s="86"/>
      <c r="B195" s="36" t="s">
        <v>0</v>
      </c>
      <c r="C195" s="31"/>
      <c r="D195" s="27"/>
      <c r="E195" s="28"/>
      <c r="F195" s="34" t="str">
        <f t="shared" si="22"/>
        <v/>
      </c>
      <c r="Q195" t="s">
        <v>220</v>
      </c>
    </row>
    <row r="196" spans="1:27" x14ac:dyDescent="0.25">
      <c r="A196" s="60"/>
      <c r="B196" s="90" t="s">
        <v>126</v>
      </c>
      <c r="C196" s="31">
        <f>AA197</f>
        <v>250.57066666666665</v>
      </c>
      <c r="D196" s="27" t="s">
        <v>158</v>
      </c>
      <c r="E196" s="28"/>
      <c r="F196" s="34">
        <f t="shared" si="22"/>
        <v>0</v>
      </c>
      <c r="J196" t="s">
        <v>206</v>
      </c>
      <c r="K196" t="s">
        <v>27</v>
      </c>
      <c r="L196" t="s">
        <v>202</v>
      </c>
      <c r="M196" t="s">
        <v>219</v>
      </c>
      <c r="N196" t="s">
        <v>223</v>
      </c>
      <c r="Q196" t="s">
        <v>221</v>
      </c>
      <c r="R196" t="s">
        <v>9</v>
      </c>
      <c r="S196" t="s">
        <v>222</v>
      </c>
      <c r="T196" t="s">
        <v>207</v>
      </c>
      <c r="V196" s="217" t="s">
        <v>208</v>
      </c>
      <c r="W196" s="217" t="s">
        <v>209</v>
      </c>
      <c r="X196" s="217" t="s">
        <v>210</v>
      </c>
      <c r="Y196" s="217" t="s">
        <v>211</v>
      </c>
      <c r="Z196" s="217" t="s">
        <v>212</v>
      </c>
      <c r="AA196" s="217" t="s">
        <v>207</v>
      </c>
    </row>
    <row r="197" spans="1:27" x14ac:dyDescent="0.25">
      <c r="A197" s="60"/>
      <c r="B197" s="90" t="s">
        <v>263</v>
      </c>
      <c r="C197" s="31">
        <f>T197</f>
        <v>119.97234567901232</v>
      </c>
      <c r="D197" s="27" t="s">
        <v>158</v>
      </c>
      <c r="E197" s="28"/>
      <c r="F197" s="34">
        <f t="shared" si="22"/>
        <v>0</v>
      </c>
      <c r="J197" s="229">
        <v>33.799999999999997</v>
      </c>
      <c r="K197" s="229">
        <v>0.45</v>
      </c>
      <c r="L197" s="229">
        <v>0.22500000000000001</v>
      </c>
      <c r="M197" s="230">
        <f>L197*K197*J197</f>
        <v>3.42225</v>
      </c>
      <c r="N197">
        <f>(K197+K197+L197)*J197</f>
        <v>38.024999999999999</v>
      </c>
      <c r="Q197" s="229">
        <v>16</v>
      </c>
      <c r="R197" s="229">
        <v>2</v>
      </c>
      <c r="S197">
        <f>((((J197/5.2)*(40*Q197))/1000)+J197)*R197</f>
        <v>75.919999999999987</v>
      </c>
      <c r="T197">
        <f>((S197*(Q197*Q197))/162)</f>
        <v>119.97234567901232</v>
      </c>
      <c r="W197" s="216">
        <v>2</v>
      </c>
      <c r="X197" s="216">
        <v>7.4999999999999997E-2</v>
      </c>
      <c r="Y197">
        <f>(J197*W197)/X197</f>
        <v>901.33333333333326</v>
      </c>
      <c r="Z197">
        <f>(((K197-0.045)+(L197-0.045*0.1))*2)*Y197</f>
        <v>1127.568</v>
      </c>
      <c r="AA197">
        <f>((6*6)*Z197)/162</f>
        <v>250.57066666666665</v>
      </c>
    </row>
    <row r="198" spans="1:27" x14ac:dyDescent="0.25">
      <c r="A198" s="60"/>
      <c r="B198" s="90" t="s">
        <v>264</v>
      </c>
      <c r="C198" s="31">
        <f>T198</f>
        <v>385.18518518518516</v>
      </c>
      <c r="D198" s="27" t="s">
        <v>158</v>
      </c>
      <c r="E198" s="28"/>
      <c r="F198" s="34">
        <f t="shared" si="22"/>
        <v>0</v>
      </c>
      <c r="J198" s="229">
        <v>33.799999999999997</v>
      </c>
      <c r="K198" s="229">
        <v>0.45</v>
      </c>
      <c r="L198" s="229">
        <v>0.22500000000000001</v>
      </c>
      <c r="M198" s="230">
        <f>L198*K198*J198</f>
        <v>3.42225</v>
      </c>
      <c r="N198">
        <f>(K198+K198+L198)*J198</f>
        <v>38.024999999999999</v>
      </c>
      <c r="Q198" s="229">
        <v>20</v>
      </c>
      <c r="R198" s="229">
        <v>4</v>
      </c>
      <c r="S198">
        <f>((((J198/5.2)*(40*Q198))/1000)+J198)*R198</f>
        <v>156</v>
      </c>
      <c r="T198">
        <f>((S198*(Q198*Q198))/162)</f>
        <v>385.18518518518516</v>
      </c>
      <c r="W198" s="216"/>
      <c r="X198" s="216"/>
    </row>
    <row r="199" spans="1:27" x14ac:dyDescent="0.25">
      <c r="A199" s="60"/>
      <c r="B199" s="90" t="s">
        <v>99</v>
      </c>
      <c r="C199" s="31">
        <v>1</v>
      </c>
      <c r="D199" s="27" t="s">
        <v>125</v>
      </c>
      <c r="E199" s="28"/>
      <c r="F199" s="34">
        <f t="shared" si="22"/>
        <v>0</v>
      </c>
    </row>
    <row r="200" spans="1:27" x14ac:dyDescent="0.25">
      <c r="A200" s="60"/>
      <c r="B200" s="88" t="s">
        <v>1</v>
      </c>
      <c r="C200" s="27"/>
      <c r="D200" s="27"/>
      <c r="E200" s="28"/>
      <c r="F200" s="34" t="str">
        <f t="shared" si="22"/>
        <v/>
      </c>
    </row>
    <row r="201" spans="1:27" ht="43.5" customHeight="1" x14ac:dyDescent="0.25">
      <c r="A201" s="60"/>
      <c r="B201" s="2" t="s">
        <v>100</v>
      </c>
      <c r="C201" s="31">
        <f>N197</f>
        <v>38.024999999999999</v>
      </c>
      <c r="D201" s="27" t="s">
        <v>22</v>
      </c>
      <c r="E201" s="28"/>
      <c r="F201" s="34">
        <f t="shared" si="22"/>
        <v>0</v>
      </c>
    </row>
    <row r="202" spans="1:27" x14ac:dyDescent="0.25">
      <c r="A202" s="60"/>
      <c r="B202" s="36"/>
      <c r="C202" s="33"/>
      <c r="D202" s="27"/>
      <c r="E202" s="28"/>
      <c r="F202" s="34" t="str">
        <f t="shared" si="22"/>
        <v/>
      </c>
    </row>
    <row r="203" spans="1:27" x14ac:dyDescent="0.25">
      <c r="A203" s="86"/>
      <c r="B203" s="14" t="s">
        <v>260</v>
      </c>
      <c r="C203" s="27"/>
      <c r="D203" s="27"/>
      <c r="E203" s="28"/>
      <c r="F203" s="34" t="str">
        <f t="shared" ref="F203:F210" si="23">IF(E203="",IF(C203="","",C203*E203),C203*E203)</f>
        <v/>
      </c>
    </row>
    <row r="204" spans="1:27" ht="15.75" x14ac:dyDescent="0.25">
      <c r="A204" s="60"/>
      <c r="B204" s="2" t="s">
        <v>124</v>
      </c>
      <c r="C204" s="31">
        <f>M207</f>
        <v>10.335000000000001</v>
      </c>
      <c r="D204" s="27" t="s">
        <v>84</v>
      </c>
      <c r="E204" s="28"/>
      <c r="F204" s="34">
        <f t="shared" si="23"/>
        <v>0</v>
      </c>
    </row>
    <row r="205" spans="1:27" x14ac:dyDescent="0.25">
      <c r="A205" s="86"/>
      <c r="B205" s="36" t="s">
        <v>0</v>
      </c>
      <c r="C205" s="31"/>
      <c r="D205" s="27"/>
      <c r="E205" s="28"/>
      <c r="F205" s="34" t="str">
        <f t="shared" si="23"/>
        <v/>
      </c>
      <c r="Q205" t="s">
        <v>220</v>
      </c>
    </row>
    <row r="206" spans="1:27" x14ac:dyDescent="0.25">
      <c r="A206" s="60"/>
      <c r="B206" s="90" t="s">
        <v>126</v>
      </c>
      <c r="C206" s="31">
        <f>AA207</f>
        <v>245.92000000000002</v>
      </c>
      <c r="D206" s="27" t="s">
        <v>158</v>
      </c>
      <c r="E206" s="28"/>
      <c r="F206" s="34">
        <f t="shared" si="23"/>
        <v>0</v>
      </c>
      <c r="J206" t="s">
        <v>206</v>
      </c>
      <c r="K206" t="s">
        <v>27</v>
      </c>
      <c r="L206" t="s">
        <v>202</v>
      </c>
      <c r="M206" t="s">
        <v>219</v>
      </c>
      <c r="N206" t="s">
        <v>223</v>
      </c>
      <c r="Q206" t="s">
        <v>221</v>
      </c>
      <c r="R206" t="s">
        <v>9</v>
      </c>
      <c r="S206" t="s">
        <v>222</v>
      </c>
      <c r="T206" t="s">
        <v>207</v>
      </c>
      <c r="V206" s="217" t="s">
        <v>208</v>
      </c>
      <c r="W206" s="217" t="s">
        <v>209</v>
      </c>
      <c r="X206" s="217" t="s">
        <v>210</v>
      </c>
      <c r="Y206" s="217" t="s">
        <v>211</v>
      </c>
      <c r="Z206" s="217" t="s">
        <v>212</v>
      </c>
      <c r="AA206" s="217" t="s">
        <v>207</v>
      </c>
    </row>
    <row r="207" spans="1:27" x14ac:dyDescent="0.25">
      <c r="A207" s="60"/>
      <c r="B207" s="90" t="s">
        <v>263</v>
      </c>
      <c r="C207" s="31">
        <f>T207</f>
        <v>1128.7339031339031</v>
      </c>
      <c r="D207" s="27" t="s">
        <v>158</v>
      </c>
      <c r="E207" s="28"/>
      <c r="F207" s="34">
        <f t="shared" si="23"/>
        <v>0</v>
      </c>
      <c r="J207" s="229">
        <f>93.974+3.146+61.88</f>
        <v>159</v>
      </c>
      <c r="K207" s="229">
        <v>0.32500000000000001</v>
      </c>
      <c r="L207" s="229">
        <v>0.2</v>
      </c>
      <c r="M207" s="230">
        <f>L207*K207*J207</f>
        <v>10.335000000000001</v>
      </c>
      <c r="N207">
        <f>(K207+K207+L207)*J207</f>
        <v>135.15</v>
      </c>
      <c r="Q207" s="229">
        <v>16</v>
      </c>
      <c r="R207" s="229">
        <v>4</v>
      </c>
      <c r="S207">
        <f>((((J207/5.2)*(40*Q207))/1000)+J207)*R207</f>
        <v>714.27692307692314</v>
      </c>
      <c r="T207">
        <f>((S207*(Q207*Q207))/162)</f>
        <v>1128.7339031339031</v>
      </c>
      <c r="W207" s="216">
        <v>1</v>
      </c>
      <c r="X207" s="216">
        <v>0.125</v>
      </c>
      <c r="Y207">
        <f>(J207*W207)/X207</f>
        <v>1272</v>
      </c>
      <c r="Z207">
        <f>(((K207-0.045)+(L207-0.045))*2)*Y207</f>
        <v>1106.6400000000001</v>
      </c>
      <c r="AA207">
        <f>((6*6)*Z207)/162</f>
        <v>245.92000000000002</v>
      </c>
    </row>
    <row r="208" spans="1:27" x14ac:dyDescent="0.25">
      <c r="A208" s="60"/>
      <c r="B208" s="90" t="s">
        <v>99</v>
      </c>
      <c r="C208" s="31">
        <v>1</v>
      </c>
      <c r="D208" s="27" t="s">
        <v>125</v>
      </c>
      <c r="E208" s="28"/>
      <c r="F208" s="34">
        <f t="shared" si="23"/>
        <v>0</v>
      </c>
    </row>
    <row r="209" spans="1:27" x14ac:dyDescent="0.25">
      <c r="A209" s="60"/>
      <c r="B209" s="88" t="s">
        <v>1</v>
      </c>
      <c r="C209" s="27"/>
      <c r="D209" s="27"/>
      <c r="E209" s="28"/>
      <c r="F209" s="34" t="str">
        <f t="shared" si="23"/>
        <v/>
      </c>
    </row>
    <row r="210" spans="1:27" ht="43.5" customHeight="1" x14ac:dyDescent="0.25">
      <c r="A210" s="60"/>
      <c r="B210" s="2" t="s">
        <v>100</v>
      </c>
      <c r="C210" s="31">
        <f>N207</f>
        <v>135.15</v>
      </c>
      <c r="D210" s="27" t="s">
        <v>22</v>
      </c>
      <c r="E210" s="28"/>
      <c r="F210" s="34">
        <f t="shared" si="23"/>
        <v>0</v>
      </c>
    </row>
    <row r="211" spans="1:27" x14ac:dyDescent="0.25">
      <c r="A211" s="60"/>
      <c r="B211" s="36"/>
      <c r="C211" s="33"/>
      <c r="D211" s="27"/>
      <c r="E211" s="28"/>
      <c r="F211" s="34" t="str">
        <f>IF(E211="",IF(C211="","",C211*E211),C211*E211)</f>
        <v/>
      </c>
    </row>
    <row r="212" spans="1:27" x14ac:dyDescent="0.25">
      <c r="A212" s="86"/>
      <c r="B212" s="14" t="s">
        <v>261</v>
      </c>
      <c r="C212" s="27"/>
      <c r="D212" s="27"/>
      <c r="E212" s="28"/>
      <c r="F212" s="34" t="str">
        <f t="shared" ref="F212:F219" si="24">IF(E212="",IF(C212="","",C212*E212),C212*E212)</f>
        <v/>
      </c>
    </row>
    <row r="213" spans="1:27" ht="15.75" x14ac:dyDescent="0.25">
      <c r="A213" s="60"/>
      <c r="B213" s="2" t="s">
        <v>124</v>
      </c>
      <c r="C213" s="31">
        <f>M216</f>
        <v>8.5129199999999976</v>
      </c>
      <c r="D213" s="27" t="s">
        <v>84</v>
      </c>
      <c r="E213" s="28"/>
      <c r="F213" s="34">
        <f t="shared" si="24"/>
        <v>0</v>
      </c>
    </row>
    <row r="214" spans="1:27" x14ac:dyDescent="0.25">
      <c r="A214" s="86"/>
      <c r="B214" s="36" t="s">
        <v>0</v>
      </c>
      <c r="C214" s="31"/>
      <c r="D214" s="27"/>
      <c r="E214" s="28"/>
      <c r="F214" s="34" t="str">
        <f t="shared" si="24"/>
        <v/>
      </c>
      <c r="Q214" t="s">
        <v>220</v>
      </c>
    </row>
    <row r="215" spans="1:27" x14ac:dyDescent="0.25">
      <c r="A215" s="60"/>
      <c r="B215" s="90" t="s">
        <v>126</v>
      </c>
      <c r="C215" s="31">
        <f>AA216</f>
        <v>202.56383999999997</v>
      </c>
      <c r="D215" s="27" t="s">
        <v>158</v>
      </c>
      <c r="E215" s="28"/>
      <c r="F215" s="34">
        <f t="shared" si="24"/>
        <v>0</v>
      </c>
      <c r="J215" t="s">
        <v>206</v>
      </c>
      <c r="K215" t="s">
        <v>27</v>
      </c>
      <c r="L215" t="s">
        <v>202</v>
      </c>
      <c r="M215" t="s">
        <v>219</v>
      </c>
      <c r="N215" t="s">
        <v>223</v>
      </c>
      <c r="Q215" t="s">
        <v>221</v>
      </c>
      <c r="R215" t="s">
        <v>9</v>
      </c>
      <c r="S215" t="s">
        <v>222</v>
      </c>
      <c r="T215" t="s">
        <v>207</v>
      </c>
      <c r="V215" s="217" t="s">
        <v>208</v>
      </c>
      <c r="W215" s="217" t="s">
        <v>209</v>
      </c>
      <c r="X215" s="217" t="s">
        <v>210</v>
      </c>
      <c r="Y215" s="217" t="s">
        <v>211</v>
      </c>
      <c r="Z215" s="217" t="s">
        <v>212</v>
      </c>
      <c r="AA215" s="217" t="s">
        <v>207</v>
      </c>
    </row>
    <row r="216" spans="1:27" x14ac:dyDescent="0.25">
      <c r="A216" s="60"/>
      <c r="B216" s="90" t="s">
        <v>2</v>
      </c>
      <c r="C216" s="31">
        <f>T216</f>
        <v>635.81046153846137</v>
      </c>
      <c r="D216" s="27" t="s">
        <v>158</v>
      </c>
      <c r="E216" s="28"/>
      <c r="F216" s="34">
        <f t="shared" si="24"/>
        <v>0</v>
      </c>
      <c r="J216" s="229">
        <f>323.768-J207-J197</f>
        <v>130.96799999999996</v>
      </c>
      <c r="K216" s="229">
        <v>0.32500000000000001</v>
      </c>
      <c r="L216" s="229">
        <v>0.2</v>
      </c>
      <c r="M216" s="230">
        <f>L216*K216*J216</f>
        <v>8.5129199999999976</v>
      </c>
      <c r="N216">
        <f>(K216+K216+L216)*J216</f>
        <v>111.32279999999997</v>
      </c>
      <c r="Q216" s="229">
        <v>12</v>
      </c>
      <c r="R216" s="229">
        <v>5</v>
      </c>
      <c r="S216">
        <f>((((J216/5.2)*(40*Q216))/1000)+J216)*R216</f>
        <v>715.28676923076898</v>
      </c>
      <c r="T216">
        <f>((S216*(Q216*Q216))/162)</f>
        <v>635.81046153846137</v>
      </c>
      <c r="W216" s="216">
        <v>1</v>
      </c>
      <c r="X216" s="216">
        <v>0.125</v>
      </c>
      <c r="Y216">
        <f>(J216*W216)/X216</f>
        <v>1047.7439999999997</v>
      </c>
      <c r="Z216">
        <f>(((K216-0.045)+(L216-0.045))*2)*Y216</f>
        <v>911.5372799999999</v>
      </c>
      <c r="AA216">
        <f>((6*6)*Z216)/162</f>
        <v>202.56383999999997</v>
      </c>
    </row>
    <row r="217" spans="1:27" x14ac:dyDescent="0.25">
      <c r="A217" s="60"/>
      <c r="B217" s="90" t="s">
        <v>99</v>
      </c>
      <c r="C217" s="31">
        <v>1</v>
      </c>
      <c r="D217" s="27" t="s">
        <v>125</v>
      </c>
      <c r="E217" s="28"/>
      <c r="F217" s="34">
        <f t="shared" si="24"/>
        <v>0</v>
      </c>
    </row>
    <row r="218" spans="1:27" x14ac:dyDescent="0.25">
      <c r="A218" s="60"/>
      <c r="B218" s="88" t="s">
        <v>1</v>
      </c>
      <c r="C218" s="27"/>
      <c r="D218" s="27"/>
      <c r="E218" s="28"/>
      <c r="F218" s="34" t="str">
        <f t="shared" si="24"/>
        <v/>
      </c>
    </row>
    <row r="219" spans="1:27" ht="43.5" customHeight="1" x14ac:dyDescent="0.25">
      <c r="A219" s="60"/>
      <c r="B219" s="2" t="s">
        <v>100</v>
      </c>
      <c r="C219" s="31">
        <f>N216</f>
        <v>111.32279999999997</v>
      </c>
      <c r="D219" s="27" t="s">
        <v>22</v>
      </c>
      <c r="E219" s="28"/>
      <c r="F219" s="34">
        <f t="shared" si="24"/>
        <v>0</v>
      </c>
    </row>
    <row r="220" spans="1:27" x14ac:dyDescent="0.25">
      <c r="A220" s="60"/>
      <c r="B220" s="36"/>
      <c r="C220" s="33"/>
      <c r="D220" s="27"/>
      <c r="E220" s="28"/>
      <c r="F220" s="34" t="str">
        <f>IF(E220="",IF(C220="","",C220*E220),C220*E220)</f>
        <v/>
      </c>
    </row>
    <row r="221" spans="1:27" x14ac:dyDescent="0.25">
      <c r="A221" s="86"/>
      <c r="B221" s="14" t="s">
        <v>262</v>
      </c>
      <c r="C221" s="27"/>
      <c r="D221" s="27"/>
      <c r="E221" s="28"/>
      <c r="F221" s="34" t="str">
        <f t="shared" ref="F221:F229" si="25">IF(E221="",IF(C221="","",C221*E221),C221*E221)</f>
        <v/>
      </c>
    </row>
    <row r="222" spans="1:27" ht="15.75" x14ac:dyDescent="0.25">
      <c r="A222" s="60"/>
      <c r="B222" s="2" t="s">
        <v>124</v>
      </c>
      <c r="C222" s="31">
        <f>M225</f>
        <v>0.38400000000000006</v>
      </c>
      <c r="D222" s="27" t="s">
        <v>84</v>
      </c>
      <c r="E222" s="28"/>
      <c r="F222" s="34">
        <f t="shared" si="25"/>
        <v>0</v>
      </c>
    </row>
    <row r="223" spans="1:27" x14ac:dyDescent="0.25">
      <c r="A223" s="86"/>
      <c r="B223" s="36" t="s">
        <v>0</v>
      </c>
      <c r="C223" s="31"/>
      <c r="D223" s="27"/>
      <c r="E223" s="28"/>
      <c r="F223" s="34" t="str">
        <f t="shared" si="25"/>
        <v/>
      </c>
      <c r="Q223" t="s">
        <v>220</v>
      </c>
    </row>
    <row r="224" spans="1:27" x14ac:dyDescent="0.25">
      <c r="A224" s="60"/>
      <c r="B224" s="90" t="s">
        <v>126</v>
      </c>
      <c r="C224" s="31">
        <f>AA225</f>
        <v>21.759999999999998</v>
      </c>
      <c r="D224" s="27" t="s">
        <v>158</v>
      </c>
      <c r="E224" s="28"/>
      <c r="F224" s="34">
        <f t="shared" si="25"/>
        <v>0</v>
      </c>
      <c r="J224" t="s">
        <v>206</v>
      </c>
      <c r="K224" t="s">
        <v>27</v>
      </c>
      <c r="L224" t="s">
        <v>202</v>
      </c>
      <c r="M224" t="s">
        <v>219</v>
      </c>
      <c r="N224" t="s">
        <v>223</v>
      </c>
      <c r="Q224" t="s">
        <v>221</v>
      </c>
      <c r="R224" t="s">
        <v>9</v>
      </c>
      <c r="S224" t="s">
        <v>222</v>
      </c>
      <c r="T224" t="s">
        <v>207</v>
      </c>
      <c r="V224" s="217" t="s">
        <v>208</v>
      </c>
      <c r="W224" s="217" t="s">
        <v>209</v>
      </c>
      <c r="X224" s="217" t="s">
        <v>210</v>
      </c>
      <c r="Y224" s="217" t="s">
        <v>211</v>
      </c>
      <c r="Z224" s="217" t="s">
        <v>212</v>
      </c>
      <c r="AA224" s="217" t="s">
        <v>207</v>
      </c>
    </row>
    <row r="225" spans="1:27" x14ac:dyDescent="0.25">
      <c r="A225" s="60"/>
      <c r="B225" s="90" t="s">
        <v>263</v>
      </c>
      <c r="C225" s="31">
        <f>T225</f>
        <v>41.660170940170936</v>
      </c>
      <c r="D225" s="27" t="s">
        <v>158</v>
      </c>
      <c r="E225" s="28"/>
      <c r="F225" s="34">
        <f t="shared" si="25"/>
        <v>0</v>
      </c>
      <c r="J225" s="229">
        <v>4.8</v>
      </c>
      <c r="K225" s="229">
        <v>0.4</v>
      </c>
      <c r="L225" s="229">
        <v>0.2</v>
      </c>
      <c r="M225" s="230">
        <f>L225*K225*J225</f>
        <v>0.38400000000000006</v>
      </c>
      <c r="N225">
        <f>(K225+K225+L225)*J225</f>
        <v>4.8</v>
      </c>
      <c r="Q225" s="229">
        <v>16</v>
      </c>
      <c r="R225" s="229">
        <v>4</v>
      </c>
      <c r="S225">
        <f>(((((J225/5.2)*(40*Q225))/1000)+J225)*R225)+4*1.2</f>
        <v>26.363076923076921</v>
      </c>
      <c r="T225">
        <f>((S225*(Q225*Q225))/162)</f>
        <v>41.660170940170936</v>
      </c>
      <c r="W225" s="216">
        <v>2</v>
      </c>
      <c r="X225" s="216">
        <v>0.1</v>
      </c>
      <c r="Y225">
        <f>(J225*W225)/X225</f>
        <v>95.999999999999986</v>
      </c>
      <c r="Z225">
        <f>(((K225-0.045)+(L225-0.045))*2)*Y225</f>
        <v>97.919999999999987</v>
      </c>
      <c r="AA225">
        <f>((6*6)*Z225)/162</f>
        <v>21.759999999999998</v>
      </c>
    </row>
    <row r="226" spans="1:27" x14ac:dyDescent="0.25">
      <c r="A226" s="60"/>
      <c r="B226" s="90" t="s">
        <v>2</v>
      </c>
      <c r="C226" s="31">
        <f>T226</f>
        <v>9.3210256410256402</v>
      </c>
      <c r="D226" s="27" t="s">
        <v>158</v>
      </c>
      <c r="E226" s="28"/>
      <c r="F226" s="34">
        <f t="shared" si="25"/>
        <v>0</v>
      </c>
      <c r="J226" s="229">
        <v>4.8</v>
      </c>
      <c r="K226" s="229">
        <v>0.4</v>
      </c>
      <c r="L226" s="229">
        <v>0.2</v>
      </c>
      <c r="M226" s="230">
        <f>L226*K226*J226</f>
        <v>0.38400000000000006</v>
      </c>
      <c r="N226">
        <f>(K226+K226+L226)*J226</f>
        <v>4.8</v>
      </c>
      <c r="Q226" s="229">
        <v>12</v>
      </c>
      <c r="R226" s="229">
        <v>2</v>
      </c>
      <c r="S226">
        <f>((((J226/5.2)*(40*Q226))/1000)+J226)*R226</f>
        <v>10.486153846153845</v>
      </c>
      <c r="T226">
        <f>((S226*(Q226*Q226))/162)</f>
        <v>9.3210256410256402</v>
      </c>
      <c r="W226" s="216"/>
      <c r="X226" s="216"/>
    </row>
    <row r="227" spans="1:27" x14ac:dyDescent="0.25">
      <c r="A227" s="60"/>
      <c r="B227" s="90" t="s">
        <v>99</v>
      </c>
      <c r="C227" s="31">
        <v>1</v>
      </c>
      <c r="D227" s="27" t="s">
        <v>125</v>
      </c>
      <c r="E227" s="28"/>
      <c r="F227" s="34">
        <f t="shared" si="25"/>
        <v>0</v>
      </c>
    </row>
    <row r="228" spans="1:27" x14ac:dyDescent="0.25">
      <c r="A228" s="60"/>
      <c r="B228" s="88" t="s">
        <v>1</v>
      </c>
      <c r="C228" s="27"/>
      <c r="D228" s="27"/>
      <c r="E228" s="28"/>
      <c r="F228" s="34" t="str">
        <f t="shared" si="25"/>
        <v/>
      </c>
    </row>
    <row r="229" spans="1:27" ht="43.5" customHeight="1" x14ac:dyDescent="0.25">
      <c r="A229" s="60"/>
      <c r="B229" s="2" t="s">
        <v>100</v>
      </c>
      <c r="C229" s="31">
        <f>N225</f>
        <v>4.8</v>
      </c>
      <c r="D229" s="27" t="s">
        <v>22</v>
      </c>
      <c r="E229" s="28"/>
      <c r="F229" s="34">
        <f t="shared" si="25"/>
        <v>0</v>
      </c>
    </row>
    <row r="230" spans="1:27" x14ac:dyDescent="0.25">
      <c r="A230" s="60"/>
      <c r="B230" s="2"/>
      <c r="C230" s="31"/>
      <c r="D230" s="27"/>
      <c r="E230" s="28"/>
      <c r="F230" s="34" t="str">
        <f t="shared" ref="F230" si="26">IF(E230="",IF(C230="","",C230*E230),C230*E230)</f>
        <v/>
      </c>
    </row>
    <row r="231" spans="1:27" x14ac:dyDescent="0.25">
      <c r="A231" s="60"/>
      <c r="B231" s="2"/>
      <c r="C231" s="31"/>
      <c r="D231" s="27"/>
      <c r="E231" s="28"/>
      <c r="F231" s="148"/>
    </row>
    <row r="232" spans="1:27" x14ac:dyDescent="0.25">
      <c r="A232" s="145"/>
      <c r="B232" s="146"/>
      <c r="C232" s="146"/>
      <c r="D232" s="146"/>
      <c r="E232" s="146"/>
      <c r="F232" s="147" t="s">
        <v>182</v>
      </c>
    </row>
  </sheetData>
  <mergeCells count="5">
    <mergeCell ref="B2:E2"/>
    <mergeCell ref="B14:E14"/>
    <mergeCell ref="B69:E69"/>
    <mergeCell ref="B181:E181"/>
    <mergeCell ref="B104:E104"/>
  </mergeCells>
  <hyperlinks>
    <hyperlink ref="Q26" r:id="rId1"/>
  </hyperlinks>
  <pageMargins left="0.7" right="0.7" top="0.75" bottom="0.75" header="0.3" footer="0.3"/>
  <pageSetup paperSize="9" scale="84" fitToHeight="0" orientation="portrait" r:id="rId2"/>
  <headerFooter>
    <oddHeader>&amp;L&amp;A</oddHeader>
    <oddFooter>&amp;R&amp;P of &amp;N</oddFooter>
  </headerFooter>
  <rowBreaks count="5" manualBreakCount="5">
    <brk id="13" max="16383" man="1"/>
    <brk id="68" max="16383" man="1"/>
    <brk id="103" max="5" man="1"/>
    <brk id="180" max="5" man="1"/>
    <brk id="219"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view="pageBreakPreview" topLeftCell="A4" zoomScaleNormal="100" zoomScaleSheetLayoutView="100" workbookViewId="0">
      <selection activeCell="B18" sqref="B18:E18"/>
    </sheetView>
  </sheetViews>
  <sheetFormatPr defaultRowHeight="15" x14ac:dyDescent="0.25"/>
  <cols>
    <col min="1" max="1" width="5.5703125" customWidth="1"/>
    <col min="2" max="2" width="48.85546875" customWidth="1"/>
    <col min="3" max="3" width="7.5703125" bestFit="1" customWidth="1"/>
    <col min="4" max="4" width="5.85546875" customWidth="1"/>
    <col min="5" max="5" width="14.42578125" customWidth="1"/>
    <col min="6" max="6" width="18.5703125" customWidth="1"/>
    <col min="12" max="12" width="15.28515625" bestFit="1" customWidth="1"/>
  </cols>
  <sheetData>
    <row r="1" spans="1:12" x14ac:dyDescent="0.25">
      <c r="A1" s="5" t="s">
        <v>10</v>
      </c>
      <c r="B1" s="6" t="s">
        <v>11</v>
      </c>
      <c r="C1" s="7" t="s">
        <v>12</v>
      </c>
      <c r="D1" s="8" t="s">
        <v>13</v>
      </c>
      <c r="E1" s="6" t="s">
        <v>122</v>
      </c>
      <c r="F1" s="9" t="s">
        <v>14</v>
      </c>
    </row>
    <row r="2" spans="1:12" ht="15.75" thickBot="1" x14ac:dyDescent="0.3">
      <c r="A2" s="10">
        <v>4</v>
      </c>
      <c r="B2" s="239" t="s">
        <v>61</v>
      </c>
      <c r="C2" s="240"/>
      <c r="D2" s="240"/>
      <c r="E2" s="252"/>
      <c r="F2" s="11"/>
    </row>
    <row r="3" spans="1:12" ht="15.75" thickTop="1" x14ac:dyDescent="0.25">
      <c r="A3" s="51"/>
      <c r="B3" s="14"/>
      <c r="C3" s="31"/>
      <c r="D3" s="27"/>
      <c r="E3" s="17"/>
      <c r="F3" s="18"/>
    </row>
    <row r="4" spans="1:12" x14ac:dyDescent="0.25">
      <c r="A4" s="48"/>
      <c r="B4" s="14" t="s">
        <v>16</v>
      </c>
      <c r="C4" s="39"/>
      <c r="D4" s="27"/>
      <c r="E4" s="47"/>
      <c r="F4" s="46"/>
    </row>
    <row r="5" spans="1:12" ht="72.75" customHeight="1" x14ac:dyDescent="0.25">
      <c r="A5" s="25" t="s">
        <v>29</v>
      </c>
      <c r="B5" s="36" t="s">
        <v>49</v>
      </c>
      <c r="C5" s="39"/>
      <c r="D5" s="27"/>
      <c r="E5" s="47"/>
      <c r="F5" s="46"/>
    </row>
    <row r="6" spans="1:12" ht="76.5" x14ac:dyDescent="0.25">
      <c r="A6" s="25" t="s">
        <v>27</v>
      </c>
      <c r="B6" s="36" t="s">
        <v>62</v>
      </c>
      <c r="C6" s="39"/>
      <c r="D6" s="27"/>
      <c r="E6" s="47"/>
      <c r="F6" s="46"/>
    </row>
    <row r="7" spans="1:12" ht="29.25" customHeight="1" x14ac:dyDescent="0.25">
      <c r="A7" s="25" t="s">
        <v>40</v>
      </c>
      <c r="B7" s="36" t="s">
        <v>50</v>
      </c>
      <c r="C7" s="39"/>
      <c r="D7" s="27"/>
      <c r="E7" s="47"/>
      <c r="F7" s="46"/>
    </row>
    <row r="8" spans="1:12" ht="33.75" customHeight="1" x14ac:dyDescent="0.25">
      <c r="A8" s="25" t="s">
        <v>38</v>
      </c>
      <c r="B8" s="36" t="s">
        <v>51</v>
      </c>
      <c r="C8" s="15"/>
      <c r="D8" s="16"/>
      <c r="E8" s="17"/>
      <c r="F8" s="18"/>
    </row>
    <row r="9" spans="1:12" ht="27" customHeight="1" x14ac:dyDescent="0.25">
      <c r="A9" s="25" t="s">
        <v>26</v>
      </c>
      <c r="B9" s="36" t="s">
        <v>52</v>
      </c>
      <c r="C9" s="15"/>
      <c r="D9" s="16"/>
      <c r="E9" s="17"/>
      <c r="F9" s="18"/>
    </row>
    <row r="10" spans="1:12" ht="27.75" customHeight="1" x14ac:dyDescent="0.25">
      <c r="A10" s="25" t="s">
        <v>92</v>
      </c>
      <c r="B10" s="36" t="s">
        <v>53</v>
      </c>
      <c r="C10" s="15"/>
      <c r="D10" s="16"/>
      <c r="E10" s="17"/>
      <c r="F10" s="18"/>
    </row>
    <row r="11" spans="1:12" x14ac:dyDescent="0.25">
      <c r="A11" s="19"/>
      <c r="B11" s="165"/>
      <c r="C11" s="166"/>
      <c r="D11" s="167"/>
      <c r="E11" s="168"/>
      <c r="F11" s="169"/>
    </row>
    <row r="12" spans="1:12" x14ac:dyDescent="0.25">
      <c r="A12" s="176">
        <v>4.0999999999999996</v>
      </c>
      <c r="B12" s="253" t="s">
        <v>63</v>
      </c>
      <c r="C12" s="254"/>
      <c r="D12" s="254"/>
      <c r="E12" s="254"/>
      <c r="F12" s="32">
        <f>+SUM(F13:F16)</f>
        <v>0</v>
      </c>
    </row>
    <row r="13" spans="1:12" s="122" customFormat="1" x14ac:dyDescent="0.25">
      <c r="A13" s="61"/>
      <c r="B13" s="2" t="s">
        <v>176</v>
      </c>
      <c r="C13" s="26">
        <f>102.85+102.36+89.56</f>
        <v>294.77</v>
      </c>
      <c r="D13" s="27" t="s">
        <v>115</v>
      </c>
      <c r="E13" s="28"/>
      <c r="F13" s="34">
        <f>IF(E13="",IF(C13="","",C13*E13),C13*E13)</f>
        <v>0</v>
      </c>
      <c r="L13" s="231"/>
    </row>
    <row r="14" spans="1:12" s="122" customFormat="1" x14ac:dyDescent="0.25">
      <c r="A14" s="208"/>
      <c r="B14" s="2" t="s">
        <v>267</v>
      </c>
      <c r="C14" s="21">
        <v>1</v>
      </c>
      <c r="D14" s="22" t="s">
        <v>24</v>
      </c>
      <c r="E14" s="23"/>
      <c r="F14" s="34">
        <f>IF(E14="",IF(C14="","",C14*E14),C14*E14)</f>
        <v>0</v>
      </c>
      <c r="L14" s="231"/>
    </row>
    <row r="15" spans="1:12" s="122" customFormat="1" x14ac:dyDescent="0.25">
      <c r="A15" s="208"/>
      <c r="B15" s="2" t="s">
        <v>273</v>
      </c>
      <c r="C15" s="21">
        <v>5</v>
      </c>
      <c r="D15" s="22" t="s">
        <v>24</v>
      </c>
      <c r="E15" s="23"/>
      <c r="F15" s="34">
        <f t="shared" ref="F15:F16" si="0">IF(E15="",IF(C15="","",C15*E15),C15*E15)</f>
        <v>0</v>
      </c>
      <c r="L15"/>
    </row>
    <row r="16" spans="1:12" s="122" customFormat="1" x14ac:dyDescent="0.25">
      <c r="A16" s="208"/>
      <c r="B16" s="2" t="s">
        <v>296</v>
      </c>
      <c r="C16" s="21">
        <v>123.095</v>
      </c>
      <c r="D16" s="22" t="s">
        <v>115</v>
      </c>
      <c r="E16" s="23"/>
      <c r="F16" s="34">
        <f t="shared" si="0"/>
        <v>0</v>
      </c>
      <c r="L16"/>
    </row>
    <row r="17" spans="1:12" s="122" customFormat="1" x14ac:dyDescent="0.25">
      <c r="A17" s="208"/>
      <c r="B17" s="2"/>
      <c r="C17" s="21"/>
      <c r="D17" s="22"/>
      <c r="E17" s="23"/>
      <c r="F17" s="34"/>
      <c r="L17"/>
    </row>
    <row r="18" spans="1:12" x14ac:dyDescent="0.25">
      <c r="A18" s="176">
        <v>4.2</v>
      </c>
      <c r="B18" s="250" t="s">
        <v>256</v>
      </c>
      <c r="C18" s="251"/>
      <c r="D18" s="251"/>
      <c r="E18" s="251"/>
      <c r="F18" s="32">
        <f>F19+F21+F20+F22</f>
        <v>0</v>
      </c>
    </row>
    <row r="19" spans="1:12" ht="17.25" customHeight="1" x14ac:dyDescent="0.25">
      <c r="A19" s="196"/>
      <c r="B19" s="2" t="s">
        <v>176</v>
      </c>
      <c r="C19" s="26">
        <f>102.85+102.36+114.195</f>
        <v>319.40499999999997</v>
      </c>
      <c r="D19" s="27" t="s">
        <v>115</v>
      </c>
      <c r="E19" s="174"/>
      <c r="F19" s="34">
        <f>IF(E19="",IF(C19="","",C19*E19),C19*E19)</f>
        <v>0</v>
      </c>
    </row>
    <row r="20" spans="1:12" ht="17.25" customHeight="1" x14ac:dyDescent="0.25">
      <c r="A20" s="196"/>
      <c r="B20" s="2" t="s">
        <v>295</v>
      </c>
      <c r="C20" s="26">
        <v>1</v>
      </c>
      <c r="D20" s="27" t="s">
        <v>24</v>
      </c>
      <c r="E20" s="174"/>
      <c r="F20" s="34">
        <f t="shared" ref="F20:F22" si="1">IF(E20="",IF(C20="","",C20*E20),C20*E20)</f>
        <v>0</v>
      </c>
    </row>
    <row r="21" spans="1:12" ht="17.25" customHeight="1" x14ac:dyDescent="0.25">
      <c r="A21" s="196"/>
      <c r="B21" s="2" t="s">
        <v>273</v>
      </c>
      <c r="C21" s="26">
        <v>1</v>
      </c>
      <c r="D21" s="27" t="s">
        <v>24</v>
      </c>
      <c r="E21" s="174"/>
      <c r="F21" s="34">
        <f t="shared" si="1"/>
        <v>0</v>
      </c>
    </row>
    <row r="22" spans="1:12" ht="17.25" customHeight="1" x14ac:dyDescent="0.25">
      <c r="A22" s="196"/>
      <c r="B22" s="2" t="s">
        <v>296</v>
      </c>
      <c r="C22" s="21">
        <v>186.875</v>
      </c>
      <c r="D22" s="22" t="s">
        <v>115</v>
      </c>
      <c r="E22" s="174"/>
      <c r="F22" s="34">
        <f t="shared" si="1"/>
        <v>0</v>
      </c>
    </row>
    <row r="23" spans="1:12" ht="17.25" customHeight="1" x14ac:dyDescent="0.25">
      <c r="A23" s="196"/>
      <c r="B23" s="2"/>
      <c r="C23" s="26"/>
      <c r="D23" s="27"/>
      <c r="E23" s="174"/>
      <c r="F23" s="34"/>
    </row>
    <row r="24" spans="1:12" x14ac:dyDescent="0.25">
      <c r="A24" s="145"/>
      <c r="B24" s="146"/>
      <c r="C24" s="146"/>
      <c r="D24" s="146"/>
      <c r="E24" s="146"/>
      <c r="F24" s="147" t="s">
        <v>183</v>
      </c>
    </row>
  </sheetData>
  <mergeCells count="3">
    <mergeCell ref="B18:E18"/>
    <mergeCell ref="B2:E2"/>
    <mergeCell ref="B12:E12"/>
  </mergeCells>
  <pageMargins left="0.7" right="0.7" top="0.75" bottom="0.75" header="0.3" footer="0.3"/>
  <pageSetup paperSize="9" scale="85"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abSelected="1" view="pageBreakPreview" topLeftCell="A7" zoomScale="85" zoomScaleNormal="100" zoomScaleSheetLayoutView="85" workbookViewId="0">
      <selection activeCell="D26" sqref="D26"/>
    </sheetView>
  </sheetViews>
  <sheetFormatPr defaultRowHeight="15" x14ac:dyDescent="0.25"/>
  <cols>
    <col min="1" max="1" width="5.42578125" bestFit="1" customWidth="1"/>
    <col min="2" max="2" width="42.5703125" customWidth="1"/>
    <col min="3" max="3" width="9.140625" customWidth="1"/>
    <col min="4" max="4" width="6.28515625" customWidth="1"/>
    <col min="5" max="5" width="10.85546875" customWidth="1"/>
    <col min="6" max="6" width="17.42578125" customWidth="1"/>
  </cols>
  <sheetData>
    <row r="1" spans="1:11" x14ac:dyDescent="0.25">
      <c r="A1" s="5" t="s">
        <v>10</v>
      </c>
      <c r="B1" s="6" t="s">
        <v>11</v>
      </c>
      <c r="C1" s="7" t="s">
        <v>12</v>
      </c>
      <c r="D1" s="8" t="s">
        <v>13</v>
      </c>
      <c r="E1" s="6" t="s">
        <v>122</v>
      </c>
      <c r="F1" s="9" t="s">
        <v>14</v>
      </c>
    </row>
    <row r="2" spans="1:11" ht="15.75" thickBot="1" x14ac:dyDescent="0.3">
      <c r="A2" s="10">
        <v>5</v>
      </c>
      <c r="B2" s="246" t="s">
        <v>15</v>
      </c>
      <c r="C2" s="247"/>
      <c r="D2" s="247"/>
      <c r="E2" s="247"/>
      <c r="F2" s="11"/>
    </row>
    <row r="3" spans="1:11" ht="15.75" thickTop="1" x14ac:dyDescent="0.25">
      <c r="A3" s="13"/>
      <c r="B3" s="14" t="s">
        <v>16</v>
      </c>
      <c r="C3" s="15"/>
      <c r="D3" s="16"/>
      <c r="E3" s="17"/>
      <c r="F3" s="18"/>
    </row>
    <row r="4" spans="1:11" ht="204" x14ac:dyDescent="0.25">
      <c r="A4" s="19" t="s">
        <v>29</v>
      </c>
      <c r="B4" s="20" t="s">
        <v>54</v>
      </c>
      <c r="C4" s="21"/>
      <c r="D4" s="22"/>
      <c r="E4" s="23"/>
      <c r="F4" s="24"/>
    </row>
    <row r="5" spans="1:11" ht="45.95" customHeight="1" x14ac:dyDescent="0.25">
      <c r="A5" s="25" t="s">
        <v>27</v>
      </c>
      <c r="B5" s="2" t="s">
        <v>17</v>
      </c>
      <c r="C5" s="26"/>
      <c r="D5" s="27"/>
      <c r="E5" s="28"/>
      <c r="F5" s="29"/>
    </row>
    <row r="6" spans="1:11" ht="44.45" customHeight="1" x14ac:dyDescent="0.25">
      <c r="A6" s="25" t="s">
        <v>40</v>
      </c>
      <c r="B6" s="2" t="s">
        <v>18</v>
      </c>
      <c r="C6" s="26"/>
      <c r="D6" s="27"/>
      <c r="E6" s="28"/>
      <c r="F6" s="29"/>
    </row>
    <row r="7" spans="1:11" ht="32.1" customHeight="1" x14ac:dyDescent="0.25">
      <c r="A7" s="25" t="s">
        <v>38</v>
      </c>
      <c r="B7" s="2" t="s">
        <v>19</v>
      </c>
      <c r="C7" s="26"/>
      <c r="D7" s="27"/>
      <c r="E7" s="28"/>
      <c r="F7" s="29"/>
    </row>
    <row r="8" spans="1:11" x14ac:dyDescent="0.25">
      <c r="A8" s="199"/>
      <c r="B8" s="200"/>
      <c r="C8" s="201"/>
      <c r="D8" s="22"/>
      <c r="E8" s="168"/>
      <c r="F8" s="169"/>
    </row>
    <row r="9" spans="1:11" x14ac:dyDescent="0.25">
      <c r="A9" s="176">
        <v>5.0999999999999996</v>
      </c>
      <c r="B9" s="250" t="s">
        <v>63</v>
      </c>
      <c r="C9" s="251"/>
      <c r="D9" s="251"/>
      <c r="E9" s="251"/>
      <c r="F9" s="32">
        <f>SUM(F12:F19)</f>
        <v>0</v>
      </c>
    </row>
    <row r="10" spans="1:11" x14ac:dyDescent="0.25">
      <c r="A10" s="170"/>
      <c r="B10" s="171"/>
      <c r="C10" s="172"/>
      <c r="D10" s="173"/>
      <c r="E10" s="174"/>
      <c r="F10" s="175"/>
    </row>
    <row r="11" spans="1:11" x14ac:dyDescent="0.25">
      <c r="A11" s="60">
        <v>1</v>
      </c>
      <c r="B11" s="14" t="s">
        <v>21</v>
      </c>
      <c r="C11" s="15"/>
      <c r="D11" s="16"/>
      <c r="E11" s="17"/>
      <c r="F11" s="34" t="str">
        <f>IF(E11="","",C11*E11)</f>
        <v/>
      </c>
    </row>
    <row r="12" spans="1:11" x14ac:dyDescent="0.25">
      <c r="A12" s="25"/>
      <c r="B12" s="36" t="s">
        <v>268</v>
      </c>
      <c r="C12" s="26">
        <v>47.712000000000003</v>
      </c>
      <c r="D12" s="27" t="s">
        <v>115</v>
      </c>
      <c r="E12" s="28"/>
      <c r="F12" s="34">
        <f>IF(E12="",IF(C12="","",C12*E12),C12*E12)</f>
        <v>0</v>
      </c>
      <c r="J12">
        <v>11.928000000000001</v>
      </c>
      <c r="K12">
        <f>J12*4</f>
        <v>47.712000000000003</v>
      </c>
    </row>
    <row r="13" spans="1:11" x14ac:dyDescent="0.25">
      <c r="A13" s="25"/>
      <c r="B13" s="36" t="s">
        <v>269</v>
      </c>
      <c r="C13" s="26">
        <v>221.18639999999999</v>
      </c>
      <c r="D13" s="27" t="s">
        <v>115</v>
      </c>
      <c r="E13" s="28"/>
      <c r="F13" s="34">
        <f t="shared" ref="F13:F14" si="0">IF(E13="",IF(C13="","",C13*E13),C13*E13)</f>
        <v>0</v>
      </c>
      <c r="J13">
        <f>111.577+34.59+26.394+11.761</f>
        <v>184.322</v>
      </c>
      <c r="K13">
        <f>J13*1.2</f>
        <v>221.18639999999999</v>
      </c>
    </row>
    <row r="14" spans="1:11" x14ac:dyDescent="0.25">
      <c r="A14" s="25"/>
      <c r="B14" s="36" t="s">
        <v>270</v>
      </c>
      <c r="C14" s="26">
        <v>11.516</v>
      </c>
      <c r="D14" s="27" t="s">
        <v>115</v>
      </c>
      <c r="E14" s="28"/>
      <c r="F14" s="34">
        <f t="shared" si="0"/>
        <v>0</v>
      </c>
      <c r="J14">
        <f>0.875+0.957+1.047</f>
        <v>2.8789999999999996</v>
      </c>
      <c r="K14">
        <f>J14*4</f>
        <v>11.515999999999998</v>
      </c>
    </row>
    <row r="15" spans="1:11" x14ac:dyDescent="0.25">
      <c r="A15" s="35"/>
      <c r="B15" s="36"/>
      <c r="C15" s="37"/>
      <c r="D15" s="27"/>
      <c r="E15" s="38"/>
      <c r="F15" s="34"/>
    </row>
    <row r="16" spans="1:11" x14ac:dyDescent="0.25">
      <c r="A16" s="60">
        <v>2</v>
      </c>
      <c r="B16" s="14" t="s">
        <v>23</v>
      </c>
      <c r="C16" s="15"/>
      <c r="D16" s="16"/>
      <c r="E16" s="17"/>
      <c r="F16" s="34" t="str">
        <f>IF(E16="",IF(C16="","",C16*E16),C16*E16)</f>
        <v/>
      </c>
    </row>
    <row r="17" spans="1:16" x14ac:dyDescent="0.25">
      <c r="A17" s="25"/>
      <c r="B17" s="36" t="s">
        <v>271</v>
      </c>
      <c r="C17" s="26">
        <f>C12</f>
        <v>47.712000000000003</v>
      </c>
      <c r="D17" s="27" t="s">
        <v>115</v>
      </c>
      <c r="E17" s="28"/>
      <c r="F17" s="34">
        <f>IF(E17="",IF(C17="","",C17*E17),C17*E17)</f>
        <v>0</v>
      </c>
    </row>
    <row r="18" spans="1:16" x14ac:dyDescent="0.25">
      <c r="A18" s="25"/>
      <c r="B18" s="36" t="s">
        <v>272</v>
      </c>
      <c r="C18" s="26">
        <f>C12+(C13*2)+(C14*2)</f>
        <v>513.11680000000001</v>
      </c>
      <c r="D18" s="27"/>
      <c r="E18" s="28"/>
      <c r="F18" s="34">
        <f t="shared" ref="F18:F19" si="1">IF(E18="",IF(C18="","",C18*E18),C18*E18)</f>
        <v>0</v>
      </c>
    </row>
    <row r="19" spans="1:16" x14ac:dyDescent="0.25">
      <c r="A19" s="25"/>
      <c r="B19" s="36" t="s">
        <v>55</v>
      </c>
      <c r="C19" s="26">
        <f>'BILL4 METAL AND CARPENTRY WORKS'!C13</f>
        <v>294.77</v>
      </c>
      <c r="D19" s="27" t="s">
        <v>115</v>
      </c>
      <c r="E19" s="28"/>
      <c r="F19" s="34">
        <f t="shared" si="1"/>
        <v>0</v>
      </c>
      <c r="J19">
        <f>15+15+10.7+10.7+10.7+7</f>
        <v>69.100000000000009</v>
      </c>
      <c r="K19">
        <f>J19*3.5</f>
        <v>241.85000000000002</v>
      </c>
    </row>
    <row r="20" spans="1:16" ht="12" customHeight="1" x14ac:dyDescent="0.25">
      <c r="A20" s="61"/>
      <c r="B20" s="2"/>
      <c r="C20" s="45"/>
      <c r="D20" s="27"/>
      <c r="E20" s="28"/>
      <c r="F20" s="34"/>
    </row>
    <row r="21" spans="1:16" x14ac:dyDescent="0.25">
      <c r="A21" s="176">
        <v>5.2</v>
      </c>
      <c r="B21" s="250" t="s">
        <v>256</v>
      </c>
      <c r="C21" s="251"/>
      <c r="D21" s="251"/>
      <c r="E21" s="251"/>
      <c r="F21" s="32">
        <f>SUM(F24:F30)</f>
        <v>0</v>
      </c>
    </row>
    <row r="22" spans="1:16" x14ac:dyDescent="0.25">
      <c r="A22" s="170"/>
      <c r="B22" s="171"/>
      <c r="C22" s="172"/>
      <c r="D22" s="173"/>
      <c r="E22" s="174"/>
      <c r="F22" s="175"/>
    </row>
    <row r="23" spans="1:16" x14ac:dyDescent="0.25">
      <c r="A23" s="60">
        <v>1</v>
      </c>
      <c r="B23" s="14" t="s">
        <v>21</v>
      </c>
      <c r="C23" s="15"/>
      <c r="D23" s="16"/>
      <c r="E23" s="17"/>
      <c r="F23" s="34" t="str">
        <f>IF(E23="","",C23*E23)</f>
        <v/>
      </c>
    </row>
    <row r="24" spans="1:16" x14ac:dyDescent="0.25">
      <c r="A24" s="25"/>
      <c r="B24" s="36" t="s">
        <v>268</v>
      </c>
      <c r="C24" s="26">
        <v>141.11199999999999</v>
      </c>
      <c r="D24" s="27" t="s">
        <v>115</v>
      </c>
      <c r="E24" s="28"/>
      <c r="F24" s="34">
        <f>IF(E24="",IF(C24="","",C24*E24),C24*E24)</f>
        <v>0</v>
      </c>
      <c r="J24">
        <v>35.277999999999999</v>
      </c>
      <c r="K24">
        <f>J24*4</f>
        <v>141.11199999999999</v>
      </c>
    </row>
    <row r="25" spans="1:16" x14ac:dyDescent="0.25">
      <c r="A25" s="25"/>
      <c r="B25" s="36" t="s">
        <v>270</v>
      </c>
      <c r="C25" s="26">
        <v>198.84</v>
      </c>
      <c r="D25" s="27" t="s">
        <v>115</v>
      </c>
      <c r="E25" s="28"/>
      <c r="F25" s="34">
        <f>IF(E25="",IF(C25="","",C25*E25),C25*E25)</f>
        <v>0</v>
      </c>
      <c r="J25">
        <f>49.71</f>
        <v>49.71</v>
      </c>
      <c r="K25">
        <f>J25*4</f>
        <v>198.84</v>
      </c>
      <c r="P25">
        <f>(90.65+155.54)/2</f>
        <v>123.095</v>
      </c>
    </row>
    <row r="26" spans="1:16" x14ac:dyDescent="0.25">
      <c r="A26" s="35"/>
      <c r="B26" s="36"/>
      <c r="C26" s="37"/>
      <c r="D26" s="27"/>
      <c r="E26" s="38"/>
      <c r="F26" s="34"/>
      <c r="P26">
        <f>P25+19.75+22.15+21.88</f>
        <v>186.875</v>
      </c>
    </row>
    <row r="27" spans="1:16" x14ac:dyDescent="0.25">
      <c r="A27" s="60">
        <v>2</v>
      </c>
      <c r="B27" s="14" t="s">
        <v>23</v>
      </c>
      <c r="C27" s="15"/>
      <c r="D27" s="16"/>
      <c r="E27" s="17"/>
      <c r="F27" s="34" t="str">
        <f>IF(E27="",IF(C27="","",C27*E27),C27*E27)</f>
        <v/>
      </c>
    </row>
    <row r="28" spans="1:16" x14ac:dyDescent="0.25">
      <c r="A28" s="25"/>
      <c r="B28" s="36" t="s">
        <v>271</v>
      </c>
      <c r="C28" s="26">
        <f>C24</f>
        <v>141.11199999999999</v>
      </c>
      <c r="D28" s="27" t="s">
        <v>115</v>
      </c>
      <c r="E28" s="28"/>
      <c r="F28" s="34">
        <f>IF(E28="",IF(C28="","",C28*E28),C28*E28)</f>
        <v>0</v>
      </c>
    </row>
    <row r="29" spans="1:16" x14ac:dyDescent="0.25">
      <c r="A29" s="25"/>
      <c r="B29" s="36" t="s">
        <v>272</v>
      </c>
      <c r="C29" s="26">
        <f>C24+(C25*2)</f>
        <v>538.79200000000003</v>
      </c>
      <c r="D29" s="27"/>
      <c r="E29" s="28"/>
      <c r="F29" s="34">
        <f>IF(E29="",IF(C29="","",C29*E29),C29*E29)</f>
        <v>0</v>
      </c>
    </row>
    <row r="30" spans="1:16" x14ac:dyDescent="0.25">
      <c r="A30" s="25"/>
      <c r="B30" s="36" t="s">
        <v>55</v>
      </c>
      <c r="C30" s="26">
        <f>'BILL4 METAL AND CARPENTRY WORKS'!C19</f>
        <v>319.40499999999997</v>
      </c>
      <c r="D30" s="27" t="s">
        <v>115</v>
      </c>
      <c r="E30" s="28"/>
      <c r="F30" s="34">
        <f>IF(E30="",IF(C30="","",C30*E30),C30*E30)</f>
        <v>0</v>
      </c>
      <c r="J30">
        <f>15+15+10.7+10.7+10.7+7</f>
        <v>69.100000000000009</v>
      </c>
      <c r="K30">
        <f>J30*3.5</f>
        <v>241.85000000000002</v>
      </c>
    </row>
    <row r="31" spans="1:16" x14ac:dyDescent="0.25">
      <c r="A31" s="25"/>
      <c r="B31" s="36"/>
      <c r="C31" s="26"/>
      <c r="D31" s="27"/>
      <c r="E31" s="28"/>
      <c r="F31" s="34"/>
    </row>
    <row r="32" spans="1:16" x14ac:dyDescent="0.25">
      <c r="A32" s="176">
        <v>5.2</v>
      </c>
      <c r="B32" s="250" t="s">
        <v>305</v>
      </c>
      <c r="C32" s="251"/>
      <c r="D32" s="251"/>
      <c r="E32" s="251"/>
      <c r="F32" s="32">
        <f>SUM(F35:F36)</f>
        <v>0</v>
      </c>
    </row>
    <row r="33" spans="1:16" x14ac:dyDescent="0.25">
      <c r="A33" s="170"/>
      <c r="B33" s="171"/>
      <c r="C33" s="172"/>
      <c r="D33" s="173"/>
      <c r="E33" s="174"/>
      <c r="F33" s="175"/>
    </row>
    <row r="34" spans="1:16" x14ac:dyDescent="0.25">
      <c r="A34" s="60">
        <v>1</v>
      </c>
      <c r="B34" s="14" t="s">
        <v>23</v>
      </c>
      <c r="C34" s="15"/>
      <c r="D34" s="16"/>
      <c r="E34" s="17"/>
      <c r="F34" s="34" t="str">
        <f>IF(E34="","",C34*E34)</f>
        <v/>
      </c>
    </row>
    <row r="35" spans="1:16" x14ac:dyDescent="0.25">
      <c r="A35" s="25"/>
      <c r="B35" s="36" t="s">
        <v>55</v>
      </c>
      <c r="C35" s="26">
        <v>319.41000000000003</v>
      </c>
      <c r="D35" s="27" t="s">
        <v>115</v>
      </c>
      <c r="E35" s="28"/>
      <c r="F35" s="34">
        <f>IF(E35="",IF(C35="","",C35*E35),C35*E35)</f>
        <v>0</v>
      </c>
      <c r="J35">
        <v>35.277999999999999</v>
      </c>
      <c r="K35">
        <f>J35*4</f>
        <v>141.11199999999999</v>
      </c>
    </row>
    <row r="36" spans="1:16" x14ac:dyDescent="0.25">
      <c r="A36" s="25"/>
      <c r="B36" s="257" t="s">
        <v>155</v>
      </c>
      <c r="C36" s="26">
        <v>319.41000000000003</v>
      </c>
      <c r="D36" s="27" t="s">
        <v>115</v>
      </c>
      <c r="E36" s="28"/>
      <c r="F36" s="34">
        <f>IF(E36="",IF(C36="","",C36*E36),C36*E36)</f>
        <v>0</v>
      </c>
      <c r="J36">
        <f>49.71</f>
        <v>49.71</v>
      </c>
      <c r="K36">
        <f>J36*4</f>
        <v>198.84</v>
      </c>
      <c r="P36">
        <f>(90.65+155.54)/2</f>
        <v>123.095</v>
      </c>
    </row>
    <row r="37" spans="1:16" ht="12" customHeight="1" x14ac:dyDescent="0.25">
      <c r="A37" s="61"/>
      <c r="B37" s="2"/>
      <c r="C37" s="45"/>
      <c r="D37" s="27"/>
      <c r="E37" s="28"/>
      <c r="F37" s="34"/>
    </row>
    <row r="38" spans="1:16" x14ac:dyDescent="0.25">
      <c r="A38" s="145"/>
      <c r="B38" s="146"/>
      <c r="C38" s="146"/>
      <c r="D38" s="146"/>
      <c r="E38" s="146"/>
      <c r="F38" s="147" t="s">
        <v>184</v>
      </c>
    </row>
  </sheetData>
  <mergeCells count="4">
    <mergeCell ref="B2:E2"/>
    <mergeCell ref="B9:E9"/>
    <mergeCell ref="B21:E21"/>
    <mergeCell ref="B32:E32"/>
  </mergeCells>
  <phoneticPr fontId="11" type="noConversion"/>
  <pageMargins left="0.7" right="0.7" top="0.75" bottom="0.75" header="0.3" footer="0.3"/>
  <pageSetup paperSize="9" scale="8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topLeftCell="A4" zoomScale="90" zoomScaleNormal="85" zoomScaleSheetLayoutView="90" workbookViewId="0">
      <selection activeCell="B15" sqref="B15"/>
    </sheetView>
  </sheetViews>
  <sheetFormatPr defaultRowHeight="15" outlineLevelRow="1" x14ac:dyDescent="0.25"/>
  <cols>
    <col min="1" max="1" width="4.5703125" bestFit="1" customWidth="1"/>
    <col min="2" max="2" width="42.85546875" customWidth="1"/>
    <col min="3" max="3" width="5.85546875" customWidth="1"/>
    <col min="4" max="4" width="6.85546875" customWidth="1"/>
    <col min="5" max="5" width="12.85546875" bestFit="1" customWidth="1"/>
    <col min="6" max="6" width="16.42578125" customWidth="1"/>
  </cols>
  <sheetData>
    <row r="1" spans="1:6" x14ac:dyDescent="0.25">
      <c r="A1" s="5" t="s">
        <v>10</v>
      </c>
      <c r="B1" s="6" t="s">
        <v>11</v>
      </c>
      <c r="C1" s="7" t="s">
        <v>12</v>
      </c>
      <c r="D1" s="8" t="s">
        <v>13</v>
      </c>
      <c r="E1" s="6" t="s">
        <v>122</v>
      </c>
      <c r="F1" s="9" t="s">
        <v>14</v>
      </c>
    </row>
    <row r="2" spans="1:6" s="52" customFormat="1" thickBot="1" x14ac:dyDescent="0.25">
      <c r="A2" s="10">
        <v>6</v>
      </c>
      <c r="B2" s="239" t="s">
        <v>56</v>
      </c>
      <c r="C2" s="240"/>
      <c r="D2" s="240"/>
      <c r="E2" s="240"/>
      <c r="F2" s="11"/>
    </row>
    <row r="3" spans="1:6" s="44" customFormat="1" ht="13.5" outlineLevel="1" thickTop="1" x14ac:dyDescent="0.2">
      <c r="A3" s="48"/>
      <c r="B3" s="14" t="s">
        <v>16</v>
      </c>
      <c r="C3" s="39"/>
      <c r="D3" s="27"/>
      <c r="E3" s="47"/>
      <c r="F3" s="46"/>
    </row>
    <row r="4" spans="1:6" s="44" customFormat="1" ht="51" outlineLevel="1" x14ac:dyDescent="0.2">
      <c r="A4" s="25" t="s">
        <v>29</v>
      </c>
      <c r="B4" s="36" t="s">
        <v>28</v>
      </c>
      <c r="C4" s="39"/>
      <c r="D4" s="27"/>
      <c r="E4" s="47"/>
      <c r="F4" s="46"/>
    </row>
    <row r="5" spans="1:6" s="44" customFormat="1" ht="63.75" outlineLevel="1" x14ac:dyDescent="0.2">
      <c r="A5" s="25" t="s">
        <v>27</v>
      </c>
      <c r="B5" s="36" t="s">
        <v>59</v>
      </c>
      <c r="C5" s="39"/>
      <c r="D5" s="27"/>
      <c r="E5" s="47"/>
      <c r="F5" s="46"/>
    </row>
    <row r="6" spans="1:6" s="50" customFormat="1" ht="25.5" outlineLevel="1" x14ac:dyDescent="0.2">
      <c r="A6" s="25" t="s">
        <v>40</v>
      </c>
      <c r="B6" s="36" t="s">
        <v>25</v>
      </c>
      <c r="C6" s="15"/>
      <c r="D6" s="16"/>
      <c r="E6" s="17"/>
      <c r="F6" s="18"/>
    </row>
    <row r="7" spans="1:6" s="50" customFormat="1" ht="12.75" outlineLevel="1" x14ac:dyDescent="0.2">
      <c r="A7" s="19"/>
      <c r="B7" s="165"/>
      <c r="C7" s="166"/>
      <c r="D7" s="167"/>
      <c r="E7" s="168"/>
      <c r="F7" s="169"/>
    </row>
    <row r="8" spans="1:6" s="49" customFormat="1" ht="12.75" x14ac:dyDescent="0.2">
      <c r="A8" s="176">
        <v>6.1</v>
      </c>
      <c r="B8" s="250" t="s">
        <v>63</v>
      </c>
      <c r="C8" s="251"/>
      <c r="D8" s="251"/>
      <c r="E8" s="251"/>
      <c r="F8" s="32">
        <f>SUM(F9:F12)</f>
        <v>0</v>
      </c>
    </row>
    <row r="9" spans="1:6" x14ac:dyDescent="0.25">
      <c r="A9" s="204"/>
      <c r="B9" s="173" t="s">
        <v>274</v>
      </c>
      <c r="C9" s="205">
        <v>1</v>
      </c>
      <c r="D9" s="173" t="s">
        <v>9</v>
      </c>
      <c r="E9" s="174"/>
      <c r="F9" s="34">
        <f t="shared" ref="F9:F20" si="0">IF(E9="",IF(C9="","",C9*E9),C9*E9)</f>
        <v>0</v>
      </c>
    </row>
    <row r="10" spans="1:6" x14ac:dyDescent="0.25">
      <c r="A10" s="160"/>
      <c r="B10" s="173" t="s">
        <v>275</v>
      </c>
      <c r="C10" s="37">
        <v>2</v>
      </c>
      <c r="D10" s="173" t="s">
        <v>9</v>
      </c>
      <c r="E10" s="28"/>
      <c r="F10" s="34">
        <f t="shared" si="0"/>
        <v>0</v>
      </c>
    </row>
    <row r="11" spans="1:6" x14ac:dyDescent="0.25">
      <c r="A11" s="160"/>
      <c r="B11" s="27" t="s">
        <v>218</v>
      </c>
      <c r="C11" s="37">
        <v>2</v>
      </c>
      <c r="D11" s="173" t="s">
        <v>9</v>
      </c>
      <c r="E11" s="28"/>
      <c r="F11" s="34">
        <f t="shared" si="0"/>
        <v>0</v>
      </c>
    </row>
    <row r="12" spans="1:6" s="50" customFormat="1" ht="12.75" outlineLevel="1" x14ac:dyDescent="0.2">
      <c r="A12" s="19"/>
      <c r="B12" s="165"/>
      <c r="C12" s="166"/>
      <c r="D12" s="167"/>
      <c r="E12" s="168"/>
      <c r="F12" s="169"/>
    </row>
    <row r="13" spans="1:6" s="49" customFormat="1" ht="12.75" x14ac:dyDescent="0.2">
      <c r="A13" s="176">
        <v>6.2</v>
      </c>
      <c r="B13" s="250" t="s">
        <v>256</v>
      </c>
      <c r="C13" s="251"/>
      <c r="D13" s="251"/>
      <c r="E13" s="251"/>
      <c r="F13" s="32">
        <f>SUM(F14:F20)</f>
        <v>0</v>
      </c>
    </row>
    <row r="14" spans="1:6" x14ac:dyDescent="0.25">
      <c r="A14" s="204"/>
      <c r="B14" s="173" t="s">
        <v>116</v>
      </c>
      <c r="C14" s="205">
        <v>1</v>
      </c>
      <c r="D14" s="173" t="s">
        <v>9</v>
      </c>
      <c r="E14" s="174"/>
      <c r="F14" s="34">
        <f t="shared" ref="F14:F19" si="1">IF(E14="",IF(C14="","",C14*E14),C14*E14)</f>
        <v>0</v>
      </c>
    </row>
    <row r="15" spans="1:6" x14ac:dyDescent="0.25">
      <c r="A15" s="160"/>
      <c r="B15" s="173" t="s">
        <v>117</v>
      </c>
      <c r="C15" s="37">
        <v>2</v>
      </c>
      <c r="D15" s="173" t="s">
        <v>9</v>
      </c>
      <c r="E15" s="28"/>
      <c r="F15" s="34">
        <f t="shared" si="1"/>
        <v>0</v>
      </c>
    </row>
    <row r="16" spans="1:6" x14ac:dyDescent="0.25">
      <c r="A16" s="160"/>
      <c r="B16" s="27" t="s">
        <v>274</v>
      </c>
      <c r="C16" s="37">
        <v>1</v>
      </c>
      <c r="D16" s="173" t="s">
        <v>9</v>
      </c>
      <c r="E16" s="28"/>
      <c r="F16" s="34">
        <f t="shared" si="1"/>
        <v>0</v>
      </c>
    </row>
    <row r="17" spans="1:8" x14ac:dyDescent="0.25">
      <c r="A17" s="204"/>
      <c r="B17" s="173" t="s">
        <v>275</v>
      </c>
      <c r="C17" s="205">
        <v>2</v>
      </c>
      <c r="D17" s="173" t="s">
        <v>9</v>
      </c>
      <c r="E17" s="174"/>
      <c r="F17" s="34">
        <f t="shared" si="1"/>
        <v>0</v>
      </c>
    </row>
    <row r="18" spans="1:8" x14ac:dyDescent="0.25">
      <c r="A18" s="160"/>
      <c r="B18" s="173" t="s">
        <v>118</v>
      </c>
      <c r="C18" s="37">
        <v>7</v>
      </c>
      <c r="D18" s="173" t="s">
        <v>9</v>
      </c>
      <c r="E18" s="28"/>
      <c r="F18" s="34">
        <f t="shared" si="1"/>
        <v>0</v>
      </c>
    </row>
    <row r="19" spans="1:8" x14ac:dyDescent="0.25">
      <c r="A19" s="160"/>
      <c r="B19" s="27" t="s">
        <v>218</v>
      </c>
      <c r="C19" s="37">
        <v>2</v>
      </c>
      <c r="D19" s="173" t="s">
        <v>9</v>
      </c>
      <c r="E19" s="28"/>
      <c r="F19" s="34">
        <f t="shared" si="1"/>
        <v>0</v>
      </c>
    </row>
    <row r="20" spans="1:8" s="53" customFormat="1" x14ac:dyDescent="0.25">
      <c r="A20" s="160"/>
      <c r="B20" s="221"/>
      <c r="C20" s="222"/>
      <c r="D20" s="221"/>
      <c r="E20" s="28"/>
      <c r="F20" s="34" t="str">
        <f t="shared" si="0"/>
        <v/>
      </c>
      <c r="G20" s="54"/>
      <c r="H20" s="54"/>
    </row>
    <row r="21" spans="1:8" x14ac:dyDescent="0.25">
      <c r="A21" s="145"/>
      <c r="B21" s="146"/>
      <c r="C21" s="146"/>
      <c r="D21" s="146"/>
      <c r="E21" s="146"/>
      <c r="F21" s="147" t="s">
        <v>185</v>
      </c>
    </row>
    <row r="25" spans="1:8" s="40" customFormat="1" ht="11.25" x14ac:dyDescent="0.2">
      <c r="A25" s="42"/>
      <c r="B25" s="43"/>
      <c r="G25" s="41"/>
    </row>
  </sheetData>
  <mergeCells count="3">
    <mergeCell ref="B2:E2"/>
    <mergeCell ref="B8:E8"/>
    <mergeCell ref="B13:E13"/>
  </mergeCells>
  <pageMargins left="0.7" right="0.7" top="0.75" bottom="0.75" header="0.3" footer="0.3"/>
  <pageSetup paperSize="9" scale="85"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Normal="85" zoomScaleSheetLayoutView="100" workbookViewId="0">
      <selection activeCell="F13" sqref="F13"/>
    </sheetView>
  </sheetViews>
  <sheetFormatPr defaultRowHeight="15" outlineLevelRow="1" x14ac:dyDescent="0.25"/>
  <cols>
    <col min="1" max="1" width="4.5703125" bestFit="1" customWidth="1"/>
    <col min="2" max="2" width="42.85546875" customWidth="1"/>
    <col min="3" max="3" width="11" bestFit="1" customWidth="1"/>
    <col min="4" max="4" width="5.7109375" customWidth="1"/>
    <col min="5" max="5" width="13.140625" customWidth="1"/>
    <col min="6" max="6" width="13.42578125" customWidth="1"/>
  </cols>
  <sheetData>
    <row r="1" spans="1:6" x14ac:dyDescent="0.25">
      <c r="A1" s="5" t="s">
        <v>10</v>
      </c>
      <c r="B1" s="6" t="s">
        <v>11</v>
      </c>
      <c r="C1" s="7" t="s">
        <v>12</v>
      </c>
      <c r="D1" s="8" t="s">
        <v>13</v>
      </c>
      <c r="E1" s="6" t="s">
        <v>139</v>
      </c>
      <c r="F1" s="9" t="s">
        <v>14</v>
      </c>
    </row>
    <row r="2" spans="1:6" s="52" customFormat="1" thickBot="1" x14ac:dyDescent="0.25">
      <c r="A2" s="10">
        <v>7</v>
      </c>
      <c r="B2" s="246" t="s">
        <v>134</v>
      </c>
      <c r="C2" s="247"/>
      <c r="D2" s="247"/>
      <c r="E2" s="247"/>
      <c r="F2" s="11"/>
    </row>
    <row r="3" spans="1:6" s="44" customFormat="1" ht="13.5" outlineLevel="1" thickTop="1" x14ac:dyDescent="0.2">
      <c r="A3" s="48"/>
      <c r="B3" s="14" t="s">
        <v>16</v>
      </c>
      <c r="C3" s="106"/>
      <c r="D3" s="27"/>
      <c r="E3" s="28"/>
      <c r="F3" s="29"/>
    </row>
    <row r="4" spans="1:6" s="44" customFormat="1" ht="76.5" outlineLevel="1" x14ac:dyDescent="0.2">
      <c r="A4" s="25" t="s">
        <v>29</v>
      </c>
      <c r="B4" s="36" t="s">
        <v>135</v>
      </c>
      <c r="C4" s="106"/>
      <c r="D4" s="27"/>
      <c r="E4" s="28"/>
      <c r="F4" s="29"/>
    </row>
    <row r="5" spans="1:6" s="44" customFormat="1" ht="25.5" outlineLevel="1" x14ac:dyDescent="0.2">
      <c r="A5" s="25" t="s">
        <v>27</v>
      </c>
      <c r="B5" s="36" t="s">
        <v>136</v>
      </c>
      <c r="C5" s="106"/>
      <c r="D5" s="27"/>
      <c r="E5" s="28"/>
      <c r="F5" s="29"/>
    </row>
    <row r="6" spans="1:6" s="50" customFormat="1" ht="25.5" outlineLevel="1" x14ac:dyDescent="0.2">
      <c r="A6" s="25" t="s">
        <v>40</v>
      </c>
      <c r="B6" s="36" t="s">
        <v>137</v>
      </c>
      <c r="C6" s="106"/>
      <c r="D6" s="27"/>
      <c r="E6" s="28"/>
      <c r="F6" s="29"/>
    </row>
    <row r="7" spans="1:6" s="50" customFormat="1" ht="12.75" outlineLevel="1" x14ac:dyDescent="0.2">
      <c r="A7" s="199"/>
      <c r="B7" s="200"/>
      <c r="C7" s="201"/>
      <c r="D7" s="22"/>
      <c r="E7" s="168"/>
      <c r="F7" s="169"/>
    </row>
    <row r="8" spans="1:6" s="49" customFormat="1" ht="12.75" x14ac:dyDescent="0.2">
      <c r="A8" s="176">
        <v>7.1</v>
      </c>
      <c r="B8" s="253" t="s">
        <v>63</v>
      </c>
      <c r="C8" s="254"/>
      <c r="D8" s="254"/>
      <c r="E8" s="254"/>
      <c r="F8" s="32">
        <f>+SUM(F10:F12)</f>
        <v>0</v>
      </c>
    </row>
    <row r="9" spans="1:6" x14ac:dyDescent="0.25">
      <c r="A9" s="202"/>
      <c r="B9" s="84"/>
      <c r="C9" s="203"/>
      <c r="D9" s="173"/>
      <c r="E9" s="80"/>
      <c r="F9" s="34" t="str">
        <f>IF(E9="","",C9*E9)</f>
        <v/>
      </c>
    </row>
    <row r="10" spans="1:6" s="49" customFormat="1" ht="12.75" x14ac:dyDescent="0.2">
      <c r="A10" s="103"/>
      <c r="B10" s="36" t="s">
        <v>224</v>
      </c>
      <c r="C10" s="104">
        <f>'BILL 5 MASONRY AND PLASTERING'!C17+'BILL 5 MASONRY AND PLASTERING'!C18</f>
        <v>560.8288</v>
      </c>
      <c r="D10" s="27" t="s">
        <v>115</v>
      </c>
      <c r="E10" s="28"/>
      <c r="F10" s="34">
        <f>IF(E10="",IF(C10="","",C10*E10),C10*E10)</f>
        <v>0</v>
      </c>
    </row>
    <row r="11" spans="1:6" x14ac:dyDescent="0.25">
      <c r="A11" s="103"/>
      <c r="B11" s="36" t="s">
        <v>138</v>
      </c>
      <c r="C11" s="104">
        <f>'BILL 5 MASONRY AND PLASTERING'!C19</f>
        <v>294.77</v>
      </c>
      <c r="D11" s="27" t="s">
        <v>115</v>
      </c>
      <c r="E11" s="28"/>
      <c r="F11" s="34">
        <f>IF(E11="",IF(C11="","",C11*E11),C11*E11)</f>
        <v>0</v>
      </c>
    </row>
    <row r="12" spans="1:6" x14ac:dyDescent="0.25">
      <c r="A12" s="103"/>
      <c r="B12" s="36"/>
      <c r="C12" s="45"/>
      <c r="D12" s="27"/>
      <c r="E12" s="55"/>
      <c r="F12" s="34" t="str">
        <f>IF(E12="",IF(C12="","",C12*E12),C12*E12)</f>
        <v/>
      </c>
    </row>
    <row r="13" spans="1:6" s="49" customFormat="1" ht="12.75" x14ac:dyDescent="0.2">
      <c r="A13" s="176">
        <v>7.1</v>
      </c>
      <c r="B13" s="253" t="s">
        <v>256</v>
      </c>
      <c r="C13" s="254"/>
      <c r="D13" s="254"/>
      <c r="E13" s="254"/>
      <c r="F13" s="32">
        <f>+SUM(F15:F17)</f>
        <v>0</v>
      </c>
    </row>
    <row r="14" spans="1:6" x14ac:dyDescent="0.25">
      <c r="A14" s="202"/>
      <c r="B14" s="84"/>
      <c r="C14" s="203"/>
      <c r="D14" s="173"/>
      <c r="E14" s="80"/>
      <c r="F14" s="34" t="str">
        <f>IF(E14="","",C14*E14)</f>
        <v/>
      </c>
    </row>
    <row r="15" spans="1:6" s="49" customFormat="1" ht="12.75" x14ac:dyDescent="0.2">
      <c r="A15" s="103"/>
      <c r="B15" s="36" t="s">
        <v>224</v>
      </c>
      <c r="C15" s="104">
        <f>'BILL 5 MASONRY AND PLASTERING'!C28+'BILL 5 MASONRY AND PLASTERING'!C29</f>
        <v>679.904</v>
      </c>
      <c r="D15" s="27" t="s">
        <v>115</v>
      </c>
      <c r="E15" s="28"/>
      <c r="F15" s="34">
        <f>IF(E15="",IF(C15="","",C15*E15),C15*E15)</f>
        <v>0</v>
      </c>
    </row>
    <row r="16" spans="1:6" x14ac:dyDescent="0.25">
      <c r="A16" s="103"/>
      <c r="B16" s="36" t="s">
        <v>138</v>
      </c>
      <c r="C16" s="104">
        <f>'BILL 5 MASONRY AND PLASTERING'!C30</f>
        <v>319.40499999999997</v>
      </c>
      <c r="D16" s="27" t="s">
        <v>115</v>
      </c>
      <c r="E16" s="28"/>
      <c r="F16" s="34">
        <f>IF(E16="",IF(C16="","",C16*E16),C16*E16)</f>
        <v>0</v>
      </c>
    </row>
    <row r="17" spans="1:6" x14ac:dyDescent="0.25">
      <c r="A17" s="103"/>
      <c r="B17" s="36"/>
      <c r="C17" s="45"/>
      <c r="D17" s="27"/>
      <c r="E17" s="55"/>
      <c r="F17" s="34" t="str">
        <f>IF(E17="",IF(C17="","",C17*E17),C17*E17)</f>
        <v/>
      </c>
    </row>
    <row r="18" spans="1:6" x14ac:dyDescent="0.25">
      <c r="A18" s="145"/>
      <c r="B18" s="146"/>
      <c r="C18" s="146"/>
      <c r="D18" s="146"/>
      <c r="E18" s="146"/>
      <c r="F18" s="147" t="s">
        <v>186</v>
      </c>
    </row>
    <row r="22" spans="1:6" s="40" customFormat="1" ht="11.25" x14ac:dyDescent="0.2">
      <c r="A22" s="42"/>
      <c r="B22" s="43"/>
      <c r="F22" s="41"/>
    </row>
  </sheetData>
  <mergeCells count="3">
    <mergeCell ref="B2:E2"/>
    <mergeCell ref="B13:E13"/>
    <mergeCell ref="B8:E8"/>
  </mergeCells>
  <pageMargins left="0.7" right="0.7" top="0.75" bottom="0.75" header="0.3" footer="0.3"/>
  <pageSetup paperSize="9" scale="85" orientation="portrait" r:id="rId1"/>
  <headerFooter>
    <oddHeader>&amp;L&amp;A</oddHeader>
    <oddFooter>&amp;R&amp;P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21</vt:i4>
      </vt:variant>
    </vt:vector>
  </HeadingPairs>
  <TitlesOfParts>
    <vt:vector size="36" baseType="lpstr">
      <vt:lpstr>GRAND SUMMARY</vt:lpstr>
      <vt:lpstr>GENERAL SUMMARY </vt:lpstr>
      <vt:lpstr>BILL 1 PRELIMINARIES</vt:lpstr>
      <vt:lpstr>BILL 2 WORKS BELOW GROUND</vt:lpstr>
      <vt:lpstr>BILL 3 CONCRETE WORKS</vt:lpstr>
      <vt:lpstr>BILL4 METAL AND CARPENTRY WORKS</vt:lpstr>
      <vt:lpstr>BILL 5 MASONRY AND PLASTERING</vt:lpstr>
      <vt:lpstr>Bill 6 DOORS AND WINDOWS</vt:lpstr>
      <vt:lpstr>Bill 7 PAINTING WORKS</vt:lpstr>
      <vt:lpstr>Bill 08 FLOOR FINISHES</vt:lpstr>
      <vt:lpstr>BILL 09 HYDRAULICS AND DRAINAGE</vt:lpstr>
      <vt:lpstr>BILL 10 ELECTRICAL INSTALLATION</vt:lpstr>
      <vt:lpstr>BILL 11 MECHANICAL SYSTEMS</vt:lpstr>
      <vt:lpstr>BILL 12 Additions</vt:lpstr>
      <vt:lpstr>BILL 13 Omissions</vt:lpstr>
      <vt:lpstr>'Bill 08 FLOOR FINISHES'!Print_Area</vt:lpstr>
      <vt:lpstr>'BILL 09 HYDRAULICS AND DRAINAGE'!Print_Area</vt:lpstr>
      <vt:lpstr>'BILL 1 PRELIMINARIES'!Print_Area</vt:lpstr>
      <vt:lpstr>'BILL 10 ELECTRICAL INSTALLATION'!Print_Area</vt:lpstr>
      <vt:lpstr>'BILL 11 MECHANICAL SYSTEMS'!Print_Area</vt:lpstr>
      <vt:lpstr>'BILL 12 Additions'!Print_Area</vt:lpstr>
      <vt:lpstr>'BILL 13 Omissions'!Print_Area</vt:lpstr>
      <vt:lpstr>'BILL 2 WORKS BELOW GROUND'!Print_Area</vt:lpstr>
      <vt:lpstr>'BILL 3 CONCRETE WORKS'!Print_Area</vt:lpstr>
      <vt:lpstr>'BILL 5 MASONRY AND PLASTERING'!Print_Area</vt:lpstr>
      <vt:lpstr>'Bill 6 DOORS AND WINDOWS'!Print_Area</vt:lpstr>
      <vt:lpstr>'Bill 7 PAINTING WORKS'!Print_Area</vt:lpstr>
      <vt:lpstr>'BILL4 METAL AND CARPENTRY WORKS'!Print_Area</vt:lpstr>
      <vt:lpstr>'BILL 09 HYDRAULICS AND DRAINAGE'!Print_Titles</vt:lpstr>
      <vt:lpstr>'BILL 10 ELECTRICAL INSTALLATION'!Print_Titles</vt:lpstr>
      <vt:lpstr>'BILL 11 MECHANICAL SYSTEMS'!Print_Titles</vt:lpstr>
      <vt:lpstr>'BILL 2 WORKS BELOW GROUND'!Print_Titles</vt:lpstr>
      <vt:lpstr>'BILL 3 CONCRETE WORKS'!Print_Titles</vt:lpstr>
      <vt:lpstr>'BILL4 METAL AND CARPENTRY WORKS'!Print_Titles</vt:lpstr>
      <vt:lpstr>'GENERAL SUMMARY '!Print_Titles</vt:lpstr>
      <vt:lpstr>'GRAND SUMMARY'!Print_Titles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Shifaza Aminath</dc:creator>
  <cp:lastModifiedBy>Dhonbe</cp:lastModifiedBy>
  <cp:lastPrinted>2020-01-05T11:50:55Z</cp:lastPrinted>
  <dcterms:created xsi:type="dcterms:W3CDTF">2013-12-06T11:25:47Z</dcterms:created>
  <dcterms:modified xsi:type="dcterms:W3CDTF">2020-01-05T13:51:23Z</dcterms:modified>
</cp:coreProperties>
</file>