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printerSettings/printerSettings1.bin" ContentType="application/vnd.openxmlformats-officedocument.spreadsheetml.printerSettings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Budget Circular\Budget Circular 2 - Baseline\"/>
    </mc:Choice>
  </mc:AlternateContent>
  <xr:revisionPtr revIDLastSave="0" documentId="13_ncr:1_{C8A682D3-9724-4A90-9006-6D3F6F2B7D26}" xr6:coauthVersionLast="36" xr6:coauthVersionMax="36" xr10:uidLastSave="{00000000-0000-0000-0000-000000000000}"/>
  <bookViews>
    <workbookView xWindow="0" yWindow="0" windowWidth="28800" windowHeight="10395" firstSheet="1" activeTab="1" xr2:uid="{00000000-000D-0000-FFFF-FFFF00000000}"/>
  </bookViews>
  <sheets>
    <sheet name="Program" sheetId="2" state="veryHidden" r:id="rId1"/>
    <sheet name="221" sheetId="1" r:id="rId2"/>
    <sheet name="222" sheetId="3" r:id="rId3"/>
    <sheet name="223" sheetId="4" r:id="rId4"/>
    <sheet name="224" sheetId="5" r:id="rId5"/>
    <sheet name="225" sheetId="6" r:id="rId6"/>
    <sheet name="226" sheetId="7" r:id="rId7"/>
    <sheet name="228" sheetId="8" r:id="rId8"/>
    <sheet name="423" sheetId="9" r:id="rId9"/>
  </sheet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9" l="1"/>
  <c r="I8" i="9"/>
  <c r="I134" i="9" l="1"/>
  <c r="D134" i="9"/>
  <c r="I133" i="9"/>
  <c r="D133" i="9"/>
  <c r="I132" i="9"/>
  <c r="D132" i="9"/>
  <c r="I131" i="9"/>
  <c r="D131" i="9"/>
  <c r="I130" i="9"/>
  <c r="D130" i="9"/>
  <c r="I129" i="9"/>
  <c r="D129" i="9"/>
  <c r="I128" i="9"/>
  <c r="D128" i="9"/>
  <c r="I123" i="9"/>
  <c r="D123" i="9"/>
  <c r="I122" i="9"/>
  <c r="D122" i="9"/>
  <c r="I121" i="9"/>
  <c r="D121" i="9"/>
  <c r="I120" i="9"/>
  <c r="D120" i="9"/>
  <c r="I119" i="9"/>
  <c r="D119" i="9"/>
  <c r="I118" i="9"/>
  <c r="D118" i="9"/>
  <c r="I117" i="9"/>
  <c r="D117" i="9"/>
  <c r="I112" i="9"/>
  <c r="D112" i="9"/>
  <c r="I111" i="9"/>
  <c r="D111" i="9"/>
  <c r="I110" i="9"/>
  <c r="D110" i="9"/>
  <c r="I109" i="9"/>
  <c r="D109" i="9"/>
  <c r="I108" i="9"/>
  <c r="D108" i="9"/>
  <c r="I107" i="9"/>
  <c r="D107" i="9"/>
  <c r="I106" i="9"/>
  <c r="D106" i="9"/>
  <c r="J287" i="4"/>
  <c r="D287" i="4"/>
  <c r="J286" i="4"/>
  <c r="D286" i="4"/>
  <c r="J285" i="4"/>
  <c r="D285" i="4"/>
  <c r="J284" i="4"/>
  <c r="D284" i="4"/>
  <c r="J283" i="4"/>
  <c r="D283" i="4"/>
  <c r="J282" i="4"/>
  <c r="D282" i="4"/>
  <c r="J281" i="4"/>
  <c r="J288" i="4" s="1"/>
  <c r="D281" i="4"/>
  <c r="J12" i="6"/>
  <c r="J11" i="6"/>
  <c r="J10" i="6"/>
  <c r="J9" i="6"/>
  <c r="J8" i="6"/>
  <c r="J7" i="6"/>
  <c r="J6" i="6"/>
  <c r="J39" i="4"/>
  <c r="J40" i="4"/>
  <c r="J41" i="4"/>
  <c r="J42" i="4"/>
  <c r="J43" i="4"/>
  <c r="J44" i="4"/>
  <c r="J45" i="4"/>
  <c r="J28" i="4"/>
  <c r="J29" i="4"/>
  <c r="J30" i="4"/>
  <c r="J31" i="4"/>
  <c r="J32" i="4"/>
  <c r="J33" i="4"/>
  <c r="J34" i="4"/>
  <c r="J17" i="4"/>
  <c r="J18" i="4"/>
  <c r="J19" i="4"/>
  <c r="J20" i="4"/>
  <c r="J21" i="4"/>
  <c r="J22" i="4"/>
  <c r="J23" i="4"/>
  <c r="J6" i="4"/>
  <c r="J7" i="4"/>
  <c r="J8" i="4"/>
  <c r="J9" i="4"/>
  <c r="J10" i="4"/>
  <c r="J11" i="4"/>
  <c r="J12" i="4"/>
  <c r="I78" i="8"/>
  <c r="D78" i="8"/>
  <c r="I77" i="8"/>
  <c r="D77" i="8"/>
  <c r="I76" i="8"/>
  <c r="D76" i="8"/>
  <c r="I75" i="8"/>
  <c r="D75" i="8"/>
  <c r="I74" i="8"/>
  <c r="D74" i="8"/>
  <c r="I73" i="8"/>
  <c r="D73" i="8"/>
  <c r="I72" i="8"/>
  <c r="D72" i="8"/>
  <c r="I45" i="8"/>
  <c r="D45" i="8"/>
  <c r="I44" i="8"/>
  <c r="D44" i="8"/>
  <c r="I43" i="8"/>
  <c r="D43" i="8"/>
  <c r="I42" i="8"/>
  <c r="D42" i="8"/>
  <c r="I41" i="8"/>
  <c r="D41" i="8"/>
  <c r="I40" i="8"/>
  <c r="D40" i="8"/>
  <c r="I39" i="8"/>
  <c r="D39" i="8"/>
  <c r="I34" i="8"/>
  <c r="D34" i="8"/>
  <c r="I33" i="8"/>
  <c r="D33" i="8"/>
  <c r="I32" i="8"/>
  <c r="D32" i="8"/>
  <c r="I31" i="8"/>
  <c r="D31" i="8"/>
  <c r="I30" i="8"/>
  <c r="D30" i="8"/>
  <c r="I29" i="8"/>
  <c r="D29" i="8"/>
  <c r="I28" i="8"/>
  <c r="D28" i="8"/>
  <c r="I113" i="9" l="1"/>
  <c r="I124" i="9"/>
  <c r="I135" i="9"/>
  <c r="I46" i="8"/>
  <c r="I35" i="8"/>
  <c r="I79" i="8"/>
  <c r="I101" i="9"/>
  <c r="D101" i="9"/>
  <c r="I100" i="9"/>
  <c r="D100" i="9"/>
  <c r="I99" i="9"/>
  <c r="D99" i="9"/>
  <c r="I98" i="9"/>
  <c r="D98" i="9"/>
  <c r="I97" i="9"/>
  <c r="D97" i="9"/>
  <c r="I96" i="9"/>
  <c r="D96" i="9"/>
  <c r="I95" i="9"/>
  <c r="D95" i="9"/>
  <c r="I90" i="9"/>
  <c r="D90" i="9"/>
  <c r="I89" i="9"/>
  <c r="D89" i="9"/>
  <c r="I88" i="9"/>
  <c r="D88" i="9"/>
  <c r="I87" i="9"/>
  <c r="D87" i="9"/>
  <c r="I86" i="9"/>
  <c r="D86" i="9"/>
  <c r="I85" i="9"/>
  <c r="D85" i="9"/>
  <c r="I84" i="9"/>
  <c r="D84" i="9"/>
  <c r="I79" i="9"/>
  <c r="D79" i="9"/>
  <c r="I78" i="9"/>
  <c r="D78" i="9"/>
  <c r="I77" i="9"/>
  <c r="D77" i="9"/>
  <c r="I76" i="9"/>
  <c r="D76" i="9"/>
  <c r="I75" i="9"/>
  <c r="D75" i="9"/>
  <c r="I74" i="9"/>
  <c r="D74" i="9"/>
  <c r="I73" i="9"/>
  <c r="D73" i="9"/>
  <c r="I68" i="9"/>
  <c r="D68" i="9"/>
  <c r="I67" i="9"/>
  <c r="D67" i="9"/>
  <c r="I66" i="9"/>
  <c r="D66" i="9"/>
  <c r="I65" i="9"/>
  <c r="D65" i="9"/>
  <c r="I64" i="9"/>
  <c r="D64" i="9"/>
  <c r="I63" i="9"/>
  <c r="D63" i="9"/>
  <c r="I62" i="9"/>
  <c r="D62" i="9"/>
  <c r="I57" i="9"/>
  <c r="D57" i="9"/>
  <c r="I56" i="9"/>
  <c r="D56" i="9"/>
  <c r="I55" i="9"/>
  <c r="D55" i="9"/>
  <c r="I54" i="9"/>
  <c r="D54" i="9"/>
  <c r="I53" i="9"/>
  <c r="D53" i="9"/>
  <c r="I52" i="9"/>
  <c r="D52" i="9"/>
  <c r="I51" i="9"/>
  <c r="D51" i="9"/>
  <c r="I46" i="9"/>
  <c r="D46" i="9"/>
  <c r="I45" i="9"/>
  <c r="D45" i="9"/>
  <c r="I44" i="9"/>
  <c r="D44" i="9"/>
  <c r="I43" i="9"/>
  <c r="D43" i="9"/>
  <c r="I42" i="9"/>
  <c r="D42" i="9"/>
  <c r="I41" i="9"/>
  <c r="D41" i="9"/>
  <c r="I40" i="9"/>
  <c r="D40" i="9"/>
  <c r="I35" i="9"/>
  <c r="D35" i="9"/>
  <c r="I34" i="9"/>
  <c r="D34" i="9"/>
  <c r="I33" i="9"/>
  <c r="D33" i="9"/>
  <c r="I32" i="9"/>
  <c r="D32" i="9"/>
  <c r="I31" i="9"/>
  <c r="D31" i="9"/>
  <c r="I30" i="9"/>
  <c r="D30" i="9"/>
  <c r="I29" i="9"/>
  <c r="D29" i="9"/>
  <c r="I24" i="9"/>
  <c r="D24" i="9"/>
  <c r="I23" i="9"/>
  <c r="D23" i="9"/>
  <c r="I22" i="9"/>
  <c r="D22" i="9"/>
  <c r="I21" i="9"/>
  <c r="D21" i="9"/>
  <c r="I20" i="9"/>
  <c r="D20" i="9"/>
  <c r="I19" i="9"/>
  <c r="D19" i="9"/>
  <c r="I18" i="9"/>
  <c r="D18" i="9"/>
  <c r="I13" i="9"/>
  <c r="D13" i="9"/>
  <c r="I12" i="9"/>
  <c r="D12" i="9"/>
  <c r="I11" i="9"/>
  <c r="D11" i="9"/>
  <c r="I10" i="9"/>
  <c r="D10" i="9"/>
  <c r="I9" i="9"/>
  <c r="D9" i="9"/>
  <c r="I7" i="9"/>
  <c r="D7" i="9"/>
  <c r="I6" i="9"/>
  <c r="D6" i="9"/>
  <c r="I67" i="8"/>
  <c r="D67" i="8"/>
  <c r="I66" i="8"/>
  <c r="D66" i="8"/>
  <c r="I65" i="8"/>
  <c r="D65" i="8"/>
  <c r="I64" i="8"/>
  <c r="D64" i="8"/>
  <c r="I63" i="8"/>
  <c r="D63" i="8"/>
  <c r="I62" i="8"/>
  <c r="D62" i="8"/>
  <c r="I61" i="8"/>
  <c r="D61" i="8"/>
  <c r="I56" i="8"/>
  <c r="D56" i="8"/>
  <c r="I55" i="8"/>
  <c r="D55" i="8"/>
  <c r="I54" i="8"/>
  <c r="D54" i="8"/>
  <c r="I53" i="8"/>
  <c r="D53" i="8"/>
  <c r="I52" i="8"/>
  <c r="D52" i="8"/>
  <c r="I51" i="8"/>
  <c r="D51" i="8"/>
  <c r="I50" i="8"/>
  <c r="D50" i="8"/>
  <c r="I23" i="8"/>
  <c r="D23" i="8"/>
  <c r="I22" i="8"/>
  <c r="D22" i="8"/>
  <c r="I21" i="8"/>
  <c r="D21" i="8"/>
  <c r="I20" i="8"/>
  <c r="D20" i="8"/>
  <c r="I19" i="8"/>
  <c r="D19" i="8"/>
  <c r="I18" i="8"/>
  <c r="D18" i="8"/>
  <c r="I17" i="8"/>
  <c r="D17" i="8"/>
  <c r="I12" i="8"/>
  <c r="D12" i="8"/>
  <c r="I11" i="8"/>
  <c r="D11" i="8"/>
  <c r="I10" i="8"/>
  <c r="D10" i="8"/>
  <c r="I9" i="8"/>
  <c r="D9" i="8"/>
  <c r="I8" i="8"/>
  <c r="D8" i="8"/>
  <c r="I7" i="8"/>
  <c r="D7" i="8"/>
  <c r="I6" i="8"/>
  <c r="D6" i="8"/>
  <c r="I199" i="7"/>
  <c r="D199" i="7"/>
  <c r="I198" i="7"/>
  <c r="D198" i="7"/>
  <c r="I197" i="7"/>
  <c r="D197" i="7"/>
  <c r="I196" i="7"/>
  <c r="D196" i="7"/>
  <c r="I195" i="7"/>
  <c r="D195" i="7"/>
  <c r="I194" i="7"/>
  <c r="D194" i="7"/>
  <c r="I193" i="7"/>
  <c r="D193" i="7"/>
  <c r="I188" i="7"/>
  <c r="D188" i="7"/>
  <c r="I187" i="7"/>
  <c r="D187" i="7"/>
  <c r="I186" i="7"/>
  <c r="D186" i="7"/>
  <c r="I185" i="7"/>
  <c r="D185" i="7"/>
  <c r="I184" i="7"/>
  <c r="D184" i="7"/>
  <c r="I183" i="7"/>
  <c r="D183" i="7"/>
  <c r="I182" i="7"/>
  <c r="D182" i="7"/>
  <c r="I177" i="7"/>
  <c r="D177" i="7"/>
  <c r="I176" i="7"/>
  <c r="D176" i="7"/>
  <c r="I175" i="7"/>
  <c r="D175" i="7"/>
  <c r="I174" i="7"/>
  <c r="D174" i="7"/>
  <c r="I173" i="7"/>
  <c r="D173" i="7"/>
  <c r="I172" i="7"/>
  <c r="D172" i="7"/>
  <c r="I171" i="7"/>
  <c r="D171" i="7"/>
  <c r="I166" i="7"/>
  <c r="D166" i="7"/>
  <c r="I165" i="7"/>
  <c r="D165" i="7"/>
  <c r="I164" i="7"/>
  <c r="D164" i="7"/>
  <c r="I163" i="7"/>
  <c r="D163" i="7"/>
  <c r="I162" i="7"/>
  <c r="D162" i="7"/>
  <c r="I161" i="7"/>
  <c r="D161" i="7"/>
  <c r="I160" i="7"/>
  <c r="D160" i="7"/>
  <c r="I155" i="7"/>
  <c r="D155" i="7"/>
  <c r="I154" i="7"/>
  <c r="D154" i="7"/>
  <c r="I153" i="7"/>
  <c r="D153" i="7"/>
  <c r="I152" i="7"/>
  <c r="D152" i="7"/>
  <c r="I151" i="7"/>
  <c r="D151" i="7"/>
  <c r="I150" i="7"/>
  <c r="D150" i="7"/>
  <c r="I149" i="7"/>
  <c r="D149" i="7"/>
  <c r="I144" i="7"/>
  <c r="D144" i="7"/>
  <c r="I143" i="7"/>
  <c r="D143" i="7"/>
  <c r="I142" i="7"/>
  <c r="D142" i="7"/>
  <c r="I141" i="7"/>
  <c r="D141" i="7"/>
  <c r="I140" i="7"/>
  <c r="D140" i="7"/>
  <c r="I139" i="7"/>
  <c r="D139" i="7"/>
  <c r="I138" i="7"/>
  <c r="D138" i="7"/>
  <c r="I133" i="7"/>
  <c r="D133" i="7"/>
  <c r="I132" i="7"/>
  <c r="D132" i="7"/>
  <c r="I131" i="7"/>
  <c r="D131" i="7"/>
  <c r="I130" i="7"/>
  <c r="D130" i="7"/>
  <c r="I129" i="7"/>
  <c r="D129" i="7"/>
  <c r="I128" i="7"/>
  <c r="D128" i="7"/>
  <c r="I127" i="7"/>
  <c r="D127" i="7"/>
  <c r="I122" i="7"/>
  <c r="D122" i="7"/>
  <c r="I121" i="7"/>
  <c r="D121" i="7"/>
  <c r="I120" i="7"/>
  <c r="D120" i="7"/>
  <c r="I119" i="7"/>
  <c r="D119" i="7"/>
  <c r="I118" i="7"/>
  <c r="D118" i="7"/>
  <c r="I117" i="7"/>
  <c r="D117" i="7"/>
  <c r="I116" i="7"/>
  <c r="D116" i="7"/>
  <c r="I111" i="7"/>
  <c r="D111" i="7"/>
  <c r="I110" i="7"/>
  <c r="D110" i="7"/>
  <c r="I109" i="7"/>
  <c r="D109" i="7"/>
  <c r="I108" i="7"/>
  <c r="D108" i="7"/>
  <c r="I107" i="7"/>
  <c r="D107" i="7"/>
  <c r="I106" i="7"/>
  <c r="D106" i="7"/>
  <c r="I105" i="7"/>
  <c r="D105" i="7"/>
  <c r="I100" i="7"/>
  <c r="D100" i="7"/>
  <c r="I99" i="7"/>
  <c r="D99" i="7"/>
  <c r="I98" i="7"/>
  <c r="D98" i="7"/>
  <c r="I97" i="7"/>
  <c r="D97" i="7"/>
  <c r="I96" i="7"/>
  <c r="D96" i="7"/>
  <c r="I95" i="7"/>
  <c r="D95" i="7"/>
  <c r="I94" i="7"/>
  <c r="D94" i="7"/>
  <c r="I89" i="7"/>
  <c r="D89" i="7"/>
  <c r="I88" i="7"/>
  <c r="D88" i="7"/>
  <c r="I87" i="7"/>
  <c r="D87" i="7"/>
  <c r="I86" i="7"/>
  <c r="D86" i="7"/>
  <c r="I85" i="7"/>
  <c r="D85" i="7"/>
  <c r="I84" i="7"/>
  <c r="D84" i="7"/>
  <c r="I83" i="7"/>
  <c r="D83" i="7"/>
  <c r="I78" i="7"/>
  <c r="D78" i="7"/>
  <c r="I77" i="7"/>
  <c r="D77" i="7"/>
  <c r="I76" i="7"/>
  <c r="D76" i="7"/>
  <c r="I75" i="7"/>
  <c r="D75" i="7"/>
  <c r="I74" i="7"/>
  <c r="D74" i="7"/>
  <c r="I73" i="7"/>
  <c r="D73" i="7"/>
  <c r="I72" i="7"/>
  <c r="D72" i="7"/>
  <c r="I67" i="7"/>
  <c r="D67" i="7"/>
  <c r="I66" i="7"/>
  <c r="D66" i="7"/>
  <c r="I65" i="7"/>
  <c r="D65" i="7"/>
  <c r="I64" i="7"/>
  <c r="D64" i="7"/>
  <c r="I63" i="7"/>
  <c r="D63" i="7"/>
  <c r="I62" i="7"/>
  <c r="D62" i="7"/>
  <c r="I61" i="7"/>
  <c r="D61" i="7"/>
  <c r="I56" i="7"/>
  <c r="D56" i="7"/>
  <c r="I55" i="7"/>
  <c r="D55" i="7"/>
  <c r="I54" i="7"/>
  <c r="D54" i="7"/>
  <c r="I53" i="7"/>
  <c r="D53" i="7"/>
  <c r="I52" i="7"/>
  <c r="D52" i="7"/>
  <c r="I51" i="7"/>
  <c r="D51" i="7"/>
  <c r="I50" i="7"/>
  <c r="D50" i="7"/>
  <c r="I45" i="7"/>
  <c r="D45" i="7"/>
  <c r="I44" i="7"/>
  <c r="D44" i="7"/>
  <c r="I43" i="7"/>
  <c r="D43" i="7"/>
  <c r="I42" i="7"/>
  <c r="D42" i="7"/>
  <c r="I41" i="7"/>
  <c r="D41" i="7"/>
  <c r="I40" i="7"/>
  <c r="D40" i="7"/>
  <c r="I39" i="7"/>
  <c r="D39" i="7"/>
  <c r="I34" i="7"/>
  <c r="D34" i="7"/>
  <c r="I33" i="7"/>
  <c r="D33" i="7"/>
  <c r="I32" i="7"/>
  <c r="D32" i="7"/>
  <c r="I31" i="7"/>
  <c r="D31" i="7"/>
  <c r="I30" i="7"/>
  <c r="D30" i="7"/>
  <c r="I29" i="7"/>
  <c r="D29" i="7"/>
  <c r="I28" i="7"/>
  <c r="D28" i="7"/>
  <c r="I23" i="7"/>
  <c r="D23" i="7"/>
  <c r="I22" i="7"/>
  <c r="D22" i="7"/>
  <c r="I21" i="7"/>
  <c r="D21" i="7"/>
  <c r="I20" i="7"/>
  <c r="D20" i="7"/>
  <c r="I19" i="7"/>
  <c r="D19" i="7"/>
  <c r="I18" i="7"/>
  <c r="D18" i="7"/>
  <c r="I17" i="7"/>
  <c r="D17" i="7"/>
  <c r="I12" i="7"/>
  <c r="D12" i="7"/>
  <c r="I11" i="7"/>
  <c r="D11" i="7"/>
  <c r="I10" i="7"/>
  <c r="D10" i="7"/>
  <c r="I9" i="7"/>
  <c r="D9" i="7"/>
  <c r="I8" i="7"/>
  <c r="D8" i="7"/>
  <c r="I7" i="7"/>
  <c r="D7" i="7"/>
  <c r="I6" i="7"/>
  <c r="D6" i="7"/>
  <c r="J67" i="6"/>
  <c r="D67" i="6"/>
  <c r="J66" i="6"/>
  <c r="D66" i="6"/>
  <c r="J65" i="6"/>
  <c r="D65" i="6"/>
  <c r="J64" i="6"/>
  <c r="D64" i="6"/>
  <c r="J63" i="6"/>
  <c r="D63" i="6"/>
  <c r="J62" i="6"/>
  <c r="D62" i="6"/>
  <c r="J61" i="6"/>
  <c r="D61" i="6"/>
  <c r="J56" i="6"/>
  <c r="D56" i="6"/>
  <c r="J55" i="6"/>
  <c r="D55" i="6"/>
  <c r="J54" i="6"/>
  <c r="D54" i="6"/>
  <c r="J53" i="6"/>
  <c r="D53" i="6"/>
  <c r="J52" i="6"/>
  <c r="D52" i="6"/>
  <c r="J51" i="6"/>
  <c r="D51" i="6"/>
  <c r="J50" i="6"/>
  <c r="D50" i="6"/>
  <c r="J45" i="6"/>
  <c r="D45" i="6"/>
  <c r="J44" i="6"/>
  <c r="D44" i="6"/>
  <c r="J43" i="6"/>
  <c r="D43" i="6"/>
  <c r="J42" i="6"/>
  <c r="D42" i="6"/>
  <c r="J41" i="6"/>
  <c r="D41" i="6"/>
  <c r="J40" i="6"/>
  <c r="D40" i="6"/>
  <c r="J39" i="6"/>
  <c r="D39" i="6"/>
  <c r="J34" i="6"/>
  <c r="D34" i="6"/>
  <c r="J33" i="6"/>
  <c r="D33" i="6"/>
  <c r="J32" i="6"/>
  <c r="D32" i="6"/>
  <c r="J31" i="6"/>
  <c r="D31" i="6"/>
  <c r="J30" i="6"/>
  <c r="D30" i="6"/>
  <c r="J29" i="6"/>
  <c r="D29" i="6"/>
  <c r="J28" i="6"/>
  <c r="D28" i="6"/>
  <c r="J23" i="6"/>
  <c r="D23" i="6"/>
  <c r="J22" i="6"/>
  <c r="D22" i="6"/>
  <c r="J21" i="6"/>
  <c r="D21" i="6"/>
  <c r="J20" i="6"/>
  <c r="D20" i="6"/>
  <c r="J19" i="6"/>
  <c r="D19" i="6"/>
  <c r="J18" i="6"/>
  <c r="D18" i="6"/>
  <c r="J17" i="6"/>
  <c r="D17" i="6"/>
  <c r="D12" i="6"/>
  <c r="D11" i="6"/>
  <c r="D10" i="6"/>
  <c r="D9" i="6"/>
  <c r="D8" i="6"/>
  <c r="D7" i="6"/>
  <c r="D6" i="6"/>
  <c r="J56" i="5"/>
  <c r="D56" i="5"/>
  <c r="J55" i="5"/>
  <c r="D55" i="5"/>
  <c r="J54" i="5"/>
  <c r="D54" i="5"/>
  <c r="J53" i="5"/>
  <c r="D53" i="5"/>
  <c r="J52" i="5"/>
  <c r="D52" i="5"/>
  <c r="J51" i="5"/>
  <c r="D51" i="5"/>
  <c r="J50" i="5"/>
  <c r="D50" i="5"/>
  <c r="J45" i="5"/>
  <c r="D45" i="5"/>
  <c r="J44" i="5"/>
  <c r="D44" i="5"/>
  <c r="J43" i="5"/>
  <c r="D43" i="5"/>
  <c r="J42" i="5"/>
  <c r="D42" i="5"/>
  <c r="J41" i="5"/>
  <c r="D41" i="5"/>
  <c r="J40" i="5"/>
  <c r="D40" i="5"/>
  <c r="J39" i="5"/>
  <c r="D39" i="5"/>
  <c r="J34" i="5"/>
  <c r="D34" i="5"/>
  <c r="J33" i="5"/>
  <c r="D33" i="5"/>
  <c r="J32" i="5"/>
  <c r="D32" i="5"/>
  <c r="J31" i="5"/>
  <c r="D31" i="5"/>
  <c r="J30" i="5"/>
  <c r="D30" i="5"/>
  <c r="J29" i="5"/>
  <c r="D29" i="5"/>
  <c r="J28" i="5"/>
  <c r="D28" i="5"/>
  <c r="J23" i="5"/>
  <c r="D23" i="5"/>
  <c r="J22" i="5"/>
  <c r="D22" i="5"/>
  <c r="J21" i="5"/>
  <c r="D21" i="5"/>
  <c r="J20" i="5"/>
  <c r="D20" i="5"/>
  <c r="J19" i="5"/>
  <c r="D19" i="5"/>
  <c r="J18" i="5"/>
  <c r="D18" i="5"/>
  <c r="J17" i="5"/>
  <c r="D17" i="5"/>
  <c r="J12" i="5"/>
  <c r="D12" i="5"/>
  <c r="J11" i="5"/>
  <c r="D11" i="5"/>
  <c r="J10" i="5"/>
  <c r="D10" i="5"/>
  <c r="J9" i="5"/>
  <c r="D9" i="5"/>
  <c r="J8" i="5"/>
  <c r="D8" i="5"/>
  <c r="J7" i="5"/>
  <c r="D7" i="5"/>
  <c r="J6" i="5"/>
  <c r="D6" i="5"/>
  <c r="J298" i="4"/>
  <c r="D298" i="4"/>
  <c r="J297" i="4"/>
  <c r="D297" i="4"/>
  <c r="J296" i="4"/>
  <c r="D296" i="4"/>
  <c r="J295" i="4"/>
  <c r="D295" i="4"/>
  <c r="J294" i="4"/>
  <c r="D294" i="4"/>
  <c r="J293" i="4"/>
  <c r="D293" i="4"/>
  <c r="J292" i="4"/>
  <c r="D292" i="4"/>
  <c r="J276" i="4"/>
  <c r="D276" i="4"/>
  <c r="J275" i="4"/>
  <c r="D275" i="4"/>
  <c r="J274" i="4"/>
  <c r="D274" i="4"/>
  <c r="J273" i="4"/>
  <c r="D273" i="4"/>
  <c r="J272" i="4"/>
  <c r="D272" i="4"/>
  <c r="J271" i="4"/>
  <c r="D271" i="4"/>
  <c r="J270" i="4"/>
  <c r="D270" i="4"/>
  <c r="J265" i="4"/>
  <c r="D265" i="4"/>
  <c r="J264" i="4"/>
  <c r="D264" i="4"/>
  <c r="J263" i="4"/>
  <c r="D263" i="4"/>
  <c r="J262" i="4"/>
  <c r="D262" i="4"/>
  <c r="J261" i="4"/>
  <c r="D261" i="4"/>
  <c r="J260" i="4"/>
  <c r="D260" i="4"/>
  <c r="J259" i="4"/>
  <c r="D259" i="4"/>
  <c r="J254" i="4"/>
  <c r="D254" i="4"/>
  <c r="J253" i="4"/>
  <c r="D253" i="4"/>
  <c r="J252" i="4"/>
  <c r="D252" i="4"/>
  <c r="J251" i="4"/>
  <c r="D251" i="4"/>
  <c r="J250" i="4"/>
  <c r="D250" i="4"/>
  <c r="J249" i="4"/>
  <c r="D249" i="4"/>
  <c r="J248" i="4"/>
  <c r="D248" i="4"/>
  <c r="J243" i="4"/>
  <c r="D243" i="4"/>
  <c r="J242" i="4"/>
  <c r="D242" i="4"/>
  <c r="J241" i="4"/>
  <c r="D241" i="4"/>
  <c r="J240" i="4"/>
  <c r="D240" i="4"/>
  <c r="J239" i="4"/>
  <c r="D239" i="4"/>
  <c r="J238" i="4"/>
  <c r="D238" i="4"/>
  <c r="J237" i="4"/>
  <c r="D237" i="4"/>
  <c r="J232" i="4"/>
  <c r="D232" i="4"/>
  <c r="J231" i="4"/>
  <c r="D231" i="4"/>
  <c r="J230" i="4"/>
  <c r="D230" i="4"/>
  <c r="J229" i="4"/>
  <c r="D229" i="4"/>
  <c r="J228" i="4"/>
  <c r="D228" i="4"/>
  <c r="J227" i="4"/>
  <c r="D227" i="4"/>
  <c r="J226" i="4"/>
  <c r="D226" i="4"/>
  <c r="J221" i="4"/>
  <c r="D221" i="4"/>
  <c r="J220" i="4"/>
  <c r="D220" i="4"/>
  <c r="J219" i="4"/>
  <c r="D219" i="4"/>
  <c r="J218" i="4"/>
  <c r="D218" i="4"/>
  <c r="J217" i="4"/>
  <c r="D217" i="4"/>
  <c r="J216" i="4"/>
  <c r="D216" i="4"/>
  <c r="J215" i="4"/>
  <c r="D215" i="4"/>
  <c r="J210" i="4"/>
  <c r="D210" i="4"/>
  <c r="J209" i="4"/>
  <c r="D209" i="4"/>
  <c r="J208" i="4"/>
  <c r="D208" i="4"/>
  <c r="J207" i="4"/>
  <c r="D207" i="4"/>
  <c r="J206" i="4"/>
  <c r="D206" i="4"/>
  <c r="J205" i="4"/>
  <c r="D205" i="4"/>
  <c r="J204" i="4"/>
  <c r="D204" i="4"/>
  <c r="J199" i="4"/>
  <c r="D199" i="4"/>
  <c r="J198" i="4"/>
  <c r="D198" i="4"/>
  <c r="J197" i="4"/>
  <c r="D197" i="4"/>
  <c r="J196" i="4"/>
  <c r="D196" i="4"/>
  <c r="J195" i="4"/>
  <c r="D195" i="4"/>
  <c r="J194" i="4"/>
  <c r="D194" i="4"/>
  <c r="J193" i="4"/>
  <c r="D193" i="4"/>
  <c r="J188" i="4"/>
  <c r="D188" i="4"/>
  <c r="J187" i="4"/>
  <c r="D187" i="4"/>
  <c r="J186" i="4"/>
  <c r="D186" i="4"/>
  <c r="J185" i="4"/>
  <c r="D185" i="4"/>
  <c r="J184" i="4"/>
  <c r="D184" i="4"/>
  <c r="J183" i="4"/>
  <c r="D183" i="4"/>
  <c r="J182" i="4"/>
  <c r="D182" i="4"/>
  <c r="J177" i="4"/>
  <c r="D177" i="4"/>
  <c r="J176" i="4"/>
  <c r="D176" i="4"/>
  <c r="J175" i="4"/>
  <c r="D175" i="4"/>
  <c r="J174" i="4"/>
  <c r="D174" i="4"/>
  <c r="J173" i="4"/>
  <c r="D173" i="4"/>
  <c r="J172" i="4"/>
  <c r="D172" i="4"/>
  <c r="J171" i="4"/>
  <c r="D171" i="4"/>
  <c r="J166" i="4"/>
  <c r="D166" i="4"/>
  <c r="J165" i="4"/>
  <c r="D165" i="4"/>
  <c r="J164" i="4"/>
  <c r="D164" i="4"/>
  <c r="J163" i="4"/>
  <c r="D163" i="4"/>
  <c r="J162" i="4"/>
  <c r="D162" i="4"/>
  <c r="J161" i="4"/>
  <c r="D161" i="4"/>
  <c r="J160" i="4"/>
  <c r="D160" i="4"/>
  <c r="J155" i="4"/>
  <c r="D155" i="4"/>
  <c r="J154" i="4"/>
  <c r="D154" i="4"/>
  <c r="J153" i="4"/>
  <c r="D153" i="4"/>
  <c r="J152" i="4"/>
  <c r="D152" i="4"/>
  <c r="J151" i="4"/>
  <c r="D151" i="4"/>
  <c r="J150" i="4"/>
  <c r="D150" i="4"/>
  <c r="J149" i="4"/>
  <c r="D149" i="4"/>
  <c r="J144" i="4"/>
  <c r="D144" i="4"/>
  <c r="J143" i="4"/>
  <c r="D143" i="4"/>
  <c r="J142" i="4"/>
  <c r="D142" i="4"/>
  <c r="J141" i="4"/>
  <c r="D141" i="4"/>
  <c r="J140" i="4"/>
  <c r="D140" i="4"/>
  <c r="J139" i="4"/>
  <c r="D139" i="4"/>
  <c r="J138" i="4"/>
  <c r="D138" i="4"/>
  <c r="J133" i="4"/>
  <c r="D133" i="4"/>
  <c r="J132" i="4"/>
  <c r="D132" i="4"/>
  <c r="J131" i="4"/>
  <c r="D131" i="4"/>
  <c r="J130" i="4"/>
  <c r="D130" i="4"/>
  <c r="J129" i="4"/>
  <c r="D129" i="4"/>
  <c r="J128" i="4"/>
  <c r="D128" i="4"/>
  <c r="J127" i="4"/>
  <c r="D127" i="4"/>
  <c r="J122" i="4"/>
  <c r="D122" i="4"/>
  <c r="J121" i="4"/>
  <c r="D121" i="4"/>
  <c r="J120" i="4"/>
  <c r="D120" i="4"/>
  <c r="J119" i="4"/>
  <c r="D119" i="4"/>
  <c r="J118" i="4"/>
  <c r="D118" i="4"/>
  <c r="J117" i="4"/>
  <c r="D117" i="4"/>
  <c r="J116" i="4"/>
  <c r="D116" i="4"/>
  <c r="J111" i="4"/>
  <c r="D111" i="4"/>
  <c r="J110" i="4"/>
  <c r="D110" i="4"/>
  <c r="J109" i="4"/>
  <c r="D109" i="4"/>
  <c r="J108" i="4"/>
  <c r="D108" i="4"/>
  <c r="J107" i="4"/>
  <c r="D107" i="4"/>
  <c r="J106" i="4"/>
  <c r="D106" i="4"/>
  <c r="J105" i="4"/>
  <c r="D105" i="4"/>
  <c r="J100" i="4"/>
  <c r="D100" i="4"/>
  <c r="J99" i="4"/>
  <c r="D99" i="4"/>
  <c r="J98" i="4"/>
  <c r="D98" i="4"/>
  <c r="J97" i="4"/>
  <c r="D97" i="4"/>
  <c r="J96" i="4"/>
  <c r="D96" i="4"/>
  <c r="J95" i="4"/>
  <c r="D95" i="4"/>
  <c r="J94" i="4"/>
  <c r="D94" i="4"/>
  <c r="J89" i="4"/>
  <c r="D89" i="4"/>
  <c r="J88" i="4"/>
  <c r="D88" i="4"/>
  <c r="J87" i="4"/>
  <c r="D87" i="4"/>
  <c r="J86" i="4"/>
  <c r="D86" i="4"/>
  <c r="J85" i="4"/>
  <c r="D85" i="4"/>
  <c r="J84" i="4"/>
  <c r="D84" i="4"/>
  <c r="J83" i="4"/>
  <c r="D83" i="4"/>
  <c r="J78" i="4"/>
  <c r="D78" i="4"/>
  <c r="J77" i="4"/>
  <c r="D77" i="4"/>
  <c r="J76" i="4"/>
  <c r="D76" i="4"/>
  <c r="J75" i="4"/>
  <c r="D75" i="4"/>
  <c r="J74" i="4"/>
  <c r="D74" i="4"/>
  <c r="J73" i="4"/>
  <c r="D73" i="4"/>
  <c r="J72" i="4"/>
  <c r="D72" i="4"/>
  <c r="J67" i="4"/>
  <c r="D67" i="4"/>
  <c r="J66" i="4"/>
  <c r="D66" i="4"/>
  <c r="J65" i="4"/>
  <c r="D65" i="4"/>
  <c r="J64" i="4"/>
  <c r="D64" i="4"/>
  <c r="J63" i="4"/>
  <c r="D63" i="4"/>
  <c r="J62" i="4"/>
  <c r="D62" i="4"/>
  <c r="J61" i="4"/>
  <c r="D61" i="4"/>
  <c r="J56" i="4"/>
  <c r="D56" i="4"/>
  <c r="J55" i="4"/>
  <c r="D55" i="4"/>
  <c r="J54" i="4"/>
  <c r="D54" i="4"/>
  <c r="J53" i="4"/>
  <c r="D53" i="4"/>
  <c r="J52" i="4"/>
  <c r="D52" i="4"/>
  <c r="J51" i="4"/>
  <c r="D51" i="4"/>
  <c r="J50" i="4"/>
  <c r="D50" i="4"/>
  <c r="D45" i="4"/>
  <c r="D44" i="4"/>
  <c r="D43" i="4"/>
  <c r="D42" i="4"/>
  <c r="D41" i="4"/>
  <c r="D40" i="4"/>
  <c r="D39" i="4"/>
  <c r="D34" i="4"/>
  <c r="D33" i="4"/>
  <c r="D32" i="4"/>
  <c r="D31" i="4"/>
  <c r="D30" i="4"/>
  <c r="D29" i="4"/>
  <c r="D28" i="4"/>
  <c r="D23" i="4"/>
  <c r="D22" i="4"/>
  <c r="D21" i="4"/>
  <c r="D20" i="4"/>
  <c r="D19" i="4"/>
  <c r="D18" i="4"/>
  <c r="D17" i="4"/>
  <c r="D12" i="4"/>
  <c r="D11" i="4"/>
  <c r="D10" i="4"/>
  <c r="D9" i="4"/>
  <c r="D8" i="4"/>
  <c r="D7" i="4"/>
  <c r="D6" i="4"/>
  <c r="J133" i="3"/>
  <c r="D133" i="3"/>
  <c r="J132" i="3"/>
  <c r="D132" i="3"/>
  <c r="J131" i="3"/>
  <c r="D131" i="3"/>
  <c r="J130" i="3"/>
  <c r="D130" i="3"/>
  <c r="J129" i="3"/>
  <c r="D129" i="3"/>
  <c r="J128" i="3"/>
  <c r="D128" i="3"/>
  <c r="J127" i="3"/>
  <c r="D127" i="3"/>
  <c r="J122" i="3"/>
  <c r="D122" i="3"/>
  <c r="J121" i="3"/>
  <c r="D121" i="3"/>
  <c r="J120" i="3"/>
  <c r="D120" i="3"/>
  <c r="J119" i="3"/>
  <c r="D119" i="3"/>
  <c r="J118" i="3"/>
  <c r="D118" i="3"/>
  <c r="J117" i="3"/>
  <c r="D117" i="3"/>
  <c r="J116" i="3"/>
  <c r="D116" i="3"/>
  <c r="J111" i="3"/>
  <c r="D111" i="3"/>
  <c r="J110" i="3"/>
  <c r="D110" i="3"/>
  <c r="J109" i="3"/>
  <c r="D109" i="3"/>
  <c r="J108" i="3"/>
  <c r="D108" i="3"/>
  <c r="J107" i="3"/>
  <c r="D107" i="3"/>
  <c r="J106" i="3"/>
  <c r="D106" i="3"/>
  <c r="J105" i="3"/>
  <c r="D105" i="3"/>
  <c r="J100" i="3"/>
  <c r="D100" i="3"/>
  <c r="J99" i="3"/>
  <c r="D99" i="3"/>
  <c r="J98" i="3"/>
  <c r="D98" i="3"/>
  <c r="J97" i="3"/>
  <c r="D97" i="3"/>
  <c r="J96" i="3"/>
  <c r="D96" i="3"/>
  <c r="J95" i="3"/>
  <c r="D95" i="3"/>
  <c r="J94" i="3"/>
  <c r="D94" i="3"/>
  <c r="J89" i="3"/>
  <c r="D89" i="3"/>
  <c r="J88" i="3"/>
  <c r="D88" i="3"/>
  <c r="J87" i="3"/>
  <c r="D87" i="3"/>
  <c r="J86" i="3"/>
  <c r="D86" i="3"/>
  <c r="J85" i="3"/>
  <c r="D85" i="3"/>
  <c r="J84" i="3"/>
  <c r="D84" i="3"/>
  <c r="J83" i="3"/>
  <c r="D83" i="3"/>
  <c r="J78" i="3"/>
  <c r="D78" i="3"/>
  <c r="J77" i="3"/>
  <c r="D77" i="3"/>
  <c r="J76" i="3"/>
  <c r="D76" i="3"/>
  <c r="J75" i="3"/>
  <c r="D75" i="3"/>
  <c r="J74" i="3"/>
  <c r="D74" i="3"/>
  <c r="J73" i="3"/>
  <c r="D73" i="3"/>
  <c r="J72" i="3"/>
  <c r="D72" i="3"/>
  <c r="J67" i="3"/>
  <c r="D67" i="3"/>
  <c r="J66" i="3"/>
  <c r="D66" i="3"/>
  <c r="J65" i="3"/>
  <c r="D65" i="3"/>
  <c r="J64" i="3"/>
  <c r="D64" i="3"/>
  <c r="J63" i="3"/>
  <c r="D63" i="3"/>
  <c r="J62" i="3"/>
  <c r="D62" i="3"/>
  <c r="J61" i="3"/>
  <c r="J68" i="3" s="1"/>
  <c r="D61" i="3"/>
  <c r="J56" i="3"/>
  <c r="D56" i="3"/>
  <c r="J55" i="3"/>
  <c r="D55" i="3"/>
  <c r="J54" i="3"/>
  <c r="D54" i="3"/>
  <c r="J53" i="3"/>
  <c r="D53" i="3"/>
  <c r="J52" i="3"/>
  <c r="D52" i="3"/>
  <c r="J51" i="3"/>
  <c r="D51" i="3"/>
  <c r="J50" i="3"/>
  <c r="J57" i="3" s="1"/>
  <c r="D50" i="3"/>
  <c r="J45" i="3"/>
  <c r="D45" i="3"/>
  <c r="J44" i="3"/>
  <c r="D44" i="3"/>
  <c r="J43" i="3"/>
  <c r="D43" i="3"/>
  <c r="J42" i="3"/>
  <c r="D42" i="3"/>
  <c r="J41" i="3"/>
  <c r="D41" i="3"/>
  <c r="J40" i="3"/>
  <c r="D40" i="3"/>
  <c r="J39" i="3"/>
  <c r="D39" i="3"/>
  <c r="J34" i="3"/>
  <c r="D34" i="3"/>
  <c r="J33" i="3"/>
  <c r="D33" i="3"/>
  <c r="J32" i="3"/>
  <c r="D32" i="3"/>
  <c r="J31" i="3"/>
  <c r="D31" i="3"/>
  <c r="J30" i="3"/>
  <c r="D30" i="3"/>
  <c r="J29" i="3"/>
  <c r="D29" i="3"/>
  <c r="J28" i="3"/>
  <c r="D28" i="3"/>
  <c r="J23" i="3"/>
  <c r="D23" i="3"/>
  <c r="J22" i="3"/>
  <c r="D22" i="3"/>
  <c r="J21" i="3"/>
  <c r="D21" i="3"/>
  <c r="J20" i="3"/>
  <c r="D20" i="3"/>
  <c r="J19" i="3"/>
  <c r="D19" i="3"/>
  <c r="J18" i="3"/>
  <c r="D18" i="3"/>
  <c r="J17" i="3"/>
  <c r="D17" i="3"/>
  <c r="J6" i="3"/>
  <c r="J7" i="3"/>
  <c r="J8" i="3"/>
  <c r="J9" i="3"/>
  <c r="J10" i="3"/>
  <c r="J11" i="3"/>
  <c r="J12" i="3"/>
  <c r="D12" i="3"/>
  <c r="D11" i="3"/>
  <c r="D10" i="3"/>
  <c r="D9" i="3"/>
  <c r="D8" i="3"/>
  <c r="D7" i="3"/>
  <c r="D6" i="3"/>
  <c r="J67" i="1"/>
  <c r="D67" i="1"/>
  <c r="J66" i="1"/>
  <c r="D66" i="1"/>
  <c r="J65" i="1"/>
  <c r="D65" i="1"/>
  <c r="J64" i="1"/>
  <c r="D64" i="1"/>
  <c r="J63" i="1"/>
  <c r="D63" i="1"/>
  <c r="J62" i="1"/>
  <c r="D62" i="1"/>
  <c r="J61" i="1"/>
  <c r="D61" i="1"/>
  <c r="J56" i="1"/>
  <c r="D56" i="1"/>
  <c r="J55" i="1"/>
  <c r="D55" i="1"/>
  <c r="J54" i="1"/>
  <c r="D54" i="1"/>
  <c r="J53" i="1"/>
  <c r="D53" i="1"/>
  <c r="J52" i="1"/>
  <c r="D52" i="1"/>
  <c r="J51" i="1"/>
  <c r="D51" i="1"/>
  <c r="J50" i="1"/>
  <c r="D50" i="1"/>
  <c r="J45" i="1"/>
  <c r="D45" i="1"/>
  <c r="J44" i="1"/>
  <c r="D44" i="1"/>
  <c r="J43" i="1"/>
  <c r="D43" i="1"/>
  <c r="J42" i="1"/>
  <c r="D42" i="1"/>
  <c r="J41" i="1"/>
  <c r="D41" i="1"/>
  <c r="J40" i="1"/>
  <c r="D40" i="1"/>
  <c r="J39" i="1"/>
  <c r="D39" i="1"/>
  <c r="J34" i="1"/>
  <c r="D34" i="1"/>
  <c r="J33" i="1"/>
  <c r="D33" i="1"/>
  <c r="J32" i="1"/>
  <c r="D32" i="1"/>
  <c r="J31" i="1"/>
  <c r="D31" i="1"/>
  <c r="J30" i="1"/>
  <c r="D30" i="1"/>
  <c r="J29" i="1"/>
  <c r="D29" i="1"/>
  <c r="J28" i="1"/>
  <c r="D28" i="1"/>
  <c r="J23" i="1"/>
  <c r="D23" i="1"/>
  <c r="J22" i="1"/>
  <c r="D22" i="1"/>
  <c r="J21" i="1"/>
  <c r="D21" i="1"/>
  <c r="J20" i="1"/>
  <c r="D20" i="1"/>
  <c r="J19" i="1"/>
  <c r="D19" i="1"/>
  <c r="J18" i="1"/>
  <c r="D18" i="1"/>
  <c r="J17" i="1"/>
  <c r="D17" i="1"/>
  <c r="D11" i="1"/>
  <c r="D12" i="1"/>
  <c r="J11" i="1"/>
  <c r="J12" i="1"/>
  <c r="D7" i="1"/>
  <c r="D8" i="1"/>
  <c r="D9" i="1"/>
  <c r="D10" i="1"/>
  <c r="D6" i="1"/>
  <c r="J6" i="1"/>
  <c r="J7" i="1"/>
  <c r="J8" i="1"/>
  <c r="J9" i="1"/>
  <c r="J10" i="1"/>
  <c r="J57" i="1" l="1"/>
  <c r="J189" i="4"/>
  <c r="I102" i="9"/>
  <c r="J24" i="1"/>
  <c r="J101" i="3"/>
  <c r="J24" i="4"/>
  <c r="J35" i="4"/>
  <c r="J90" i="4"/>
  <c r="J101" i="4"/>
  <c r="J167" i="4"/>
  <c r="J46" i="3"/>
  <c r="J244" i="4"/>
  <c r="J24" i="5"/>
  <c r="J35" i="6"/>
  <c r="I57" i="8"/>
  <c r="J57" i="4"/>
  <c r="J178" i="4"/>
  <c r="J255" i="4"/>
  <c r="J35" i="5"/>
  <c r="J46" i="6"/>
  <c r="I68" i="8"/>
  <c r="I58" i="9"/>
  <c r="I69" i="9"/>
  <c r="J112" i="3"/>
  <c r="J112" i="4"/>
  <c r="J134" i="3"/>
  <c r="J134" i="4"/>
  <c r="J123" i="3"/>
  <c r="J46" i="4"/>
  <c r="J123" i="4"/>
  <c r="J266" i="4"/>
  <c r="J46" i="5"/>
  <c r="I14" i="9"/>
  <c r="J24" i="3"/>
  <c r="J79" i="3"/>
  <c r="J68" i="4"/>
  <c r="J35" i="1"/>
  <c r="J200" i="4"/>
  <c r="J211" i="4"/>
  <c r="J57" i="5"/>
  <c r="J57" i="6"/>
  <c r="J68" i="6"/>
  <c r="I80" i="9"/>
  <c r="I91" i="9"/>
  <c r="J90" i="3"/>
  <c r="J79" i="4"/>
  <c r="J145" i="4"/>
  <c r="J156" i="4"/>
  <c r="J35" i="3"/>
  <c r="J46" i="1"/>
  <c r="J222" i="4"/>
  <c r="J277" i="4"/>
  <c r="J299" i="4"/>
  <c r="I13" i="8"/>
  <c r="I25" i="9"/>
  <c r="I36" i="9"/>
  <c r="J233" i="4"/>
  <c r="J24" i="6"/>
  <c r="I24" i="8"/>
  <c r="I47" i="9"/>
  <c r="J68" i="1"/>
  <c r="I13" i="7"/>
  <c r="I68" i="7"/>
  <c r="I79" i="7"/>
  <c r="I134" i="7"/>
  <c r="I145" i="7"/>
  <c r="I90" i="7"/>
  <c r="I35" i="7"/>
  <c r="I101" i="7"/>
  <c r="I156" i="7"/>
  <c r="I112" i="7"/>
  <c r="I57" i="7"/>
  <c r="I123" i="7"/>
  <c r="I178" i="7"/>
  <c r="I189" i="7"/>
  <c r="I24" i="7"/>
  <c r="I167" i="7"/>
  <c r="I46" i="7"/>
  <c r="I200" i="7"/>
  <c r="J13" i="6"/>
  <c r="J13" i="5"/>
  <c r="J13" i="4"/>
  <c r="J13" i="3"/>
  <c r="J13" i="1"/>
</calcChain>
</file>

<file path=xl/sharedStrings.xml><?xml version="1.0" encoding="utf-8"?>
<sst xmlns="http://schemas.openxmlformats.org/spreadsheetml/2006/main" count="5975" uniqueCount="4473">
  <si>
    <t>Travelling Expenses - Local Sea Travel</t>
  </si>
  <si>
    <t>#</t>
  </si>
  <si>
    <t>Program Description</t>
  </si>
  <si>
    <t>Total Expenditure</t>
  </si>
  <si>
    <t>Justification</t>
  </si>
  <si>
    <t>Total</t>
  </si>
  <si>
    <t>Description</t>
  </si>
  <si>
    <t>H1</t>
  </si>
  <si>
    <t>Chief of Staff &amp; Executive</t>
  </si>
  <si>
    <t>S001-001-001-001-001</t>
  </si>
  <si>
    <t>HR &amp; Performance Management</t>
  </si>
  <si>
    <t>S001-001-002-001-001</t>
  </si>
  <si>
    <t>Finance &amp; Maintenance</t>
  </si>
  <si>
    <t>S001-001-002-002-001</t>
  </si>
  <si>
    <t>Administration</t>
  </si>
  <si>
    <t>S001-001-002-003-001</t>
  </si>
  <si>
    <t>IT</t>
  </si>
  <si>
    <t>S001-001-002-004-001</t>
  </si>
  <si>
    <t>National Honors &amp; Prestigious Awards</t>
  </si>
  <si>
    <t>S001-001-002-005-001</t>
  </si>
  <si>
    <t>Chief of Staff &amp; Administration</t>
  </si>
  <si>
    <t>S001-002-001-001-001</t>
  </si>
  <si>
    <t>VP Residence</t>
  </si>
  <si>
    <t>S001-002-002-002-001</t>
  </si>
  <si>
    <t>Secretariat of the President</t>
  </si>
  <si>
    <t>S001-003-001-001-001</t>
  </si>
  <si>
    <t>Dhivehi Speeches</t>
  </si>
  <si>
    <t>S001-003-001-002-001</t>
  </si>
  <si>
    <t>Secretariat of the Vice President</t>
  </si>
  <si>
    <t>S001-003-002-001-001</t>
  </si>
  <si>
    <t>Political &amp; Parliamentary Office</t>
  </si>
  <si>
    <t>S001-004-001-001-001</t>
  </si>
  <si>
    <t>Legal Affairs Office</t>
  </si>
  <si>
    <t>S001-004-002-001-001</t>
  </si>
  <si>
    <t>Cabinet Secretariat</t>
  </si>
  <si>
    <t>S001-005-001-001-001</t>
  </si>
  <si>
    <t>Economic Council</t>
  </si>
  <si>
    <t>S001-005-002-001-001</t>
  </si>
  <si>
    <t>Social Council</t>
  </si>
  <si>
    <t>S001-005-002-002-001</t>
  </si>
  <si>
    <t>Special Tasks</t>
  </si>
  <si>
    <t>S001-005-002-003-001</t>
  </si>
  <si>
    <t>Mediation</t>
  </si>
  <si>
    <t>S001-005-002-003-002</t>
  </si>
  <si>
    <t>CDD</t>
  </si>
  <si>
    <t>S001-005-002-004-001</t>
  </si>
  <si>
    <t>Action Committee</t>
  </si>
  <si>
    <t>S001-005-002-005-001</t>
  </si>
  <si>
    <t>Public Administration Reform</t>
  </si>
  <si>
    <t>S001-005-003-001-001</t>
  </si>
  <si>
    <t>Special Program</t>
  </si>
  <si>
    <t>S001-005-004-001-001</t>
  </si>
  <si>
    <t>Chief Communications Strategist</t>
  </si>
  <si>
    <t>S001-006-001-001-001</t>
  </si>
  <si>
    <t>Spokesperson</t>
  </si>
  <si>
    <t>S001-006-001-002-001</t>
  </si>
  <si>
    <t>Communications Office</t>
  </si>
  <si>
    <t>S001-006-001-003-001</t>
  </si>
  <si>
    <t>Policy Coordination, Monitoring &amp; Evaluation</t>
  </si>
  <si>
    <t>S001-007-001-001-001</t>
  </si>
  <si>
    <t>Rapid Action</t>
  </si>
  <si>
    <t>S001-007-001-002-001</t>
  </si>
  <si>
    <t>Policy Research &amp; Alignment</t>
  </si>
  <si>
    <t>S001-007-001-003-001</t>
  </si>
  <si>
    <t>Foreign Relations Office</t>
  </si>
  <si>
    <t>S001-007-002-001-001</t>
  </si>
  <si>
    <t>National Security Advisors Office</t>
  </si>
  <si>
    <t>S001-007-003-002-001</t>
  </si>
  <si>
    <t>Office of the Chief Technology Officer</t>
  </si>
  <si>
    <t>S001-007-004-003-001</t>
  </si>
  <si>
    <t>Special Envoy for Climate Change Office</t>
  </si>
  <si>
    <t>S001-008-001-001-001</t>
  </si>
  <si>
    <t>Secretary General And Office Of Secretary General</t>
  </si>
  <si>
    <t>S002-001-001-001-001</t>
  </si>
  <si>
    <t>Chief Of Bureau And Office Of Chief Of Bureau</t>
  </si>
  <si>
    <t>S002-001-001-002-001</t>
  </si>
  <si>
    <t>Budget</t>
  </si>
  <si>
    <t>S002-001-002-001-001</t>
  </si>
  <si>
    <t>Supply &amp; Procurement</t>
  </si>
  <si>
    <t>S002-001-002-002-001</t>
  </si>
  <si>
    <t>Maintenance</t>
  </si>
  <si>
    <t>S002-001-002-003-001</t>
  </si>
  <si>
    <t>Catering</t>
  </si>
  <si>
    <t>S002-001-002-003-002</t>
  </si>
  <si>
    <t>Printing</t>
  </si>
  <si>
    <t>S002-001-002-003-003</t>
  </si>
  <si>
    <t>Gardening</t>
  </si>
  <si>
    <t>S002-001-002-003-004</t>
  </si>
  <si>
    <t>General Admin</t>
  </si>
  <si>
    <t>S002-001-002-004-001</t>
  </si>
  <si>
    <t>Human Resources</t>
  </si>
  <si>
    <t>S002-001-002-004-002</t>
  </si>
  <si>
    <t>Information Technology</t>
  </si>
  <si>
    <t>S002-001-002-005-001</t>
  </si>
  <si>
    <t>Technical &amp; Audio Visual</t>
  </si>
  <si>
    <t>S002-001-002-005-002</t>
  </si>
  <si>
    <t>Sergeant At Arms</t>
  </si>
  <si>
    <t>S002-002-001-001-001</t>
  </si>
  <si>
    <t>Internal Security &amp; Escort Services</t>
  </si>
  <si>
    <t>S002-002-001-002-001</t>
  </si>
  <si>
    <t>Speaker And Office Of Speaker</t>
  </si>
  <si>
    <t>S002-003-001-001-001</t>
  </si>
  <si>
    <t>Deputy Speaker And Office Of Deputy</t>
  </si>
  <si>
    <t>S002-003-001-002-001</t>
  </si>
  <si>
    <t>Majority Leaders And Office Of Majority Leader</t>
  </si>
  <si>
    <t>S002-003-001-003-001</t>
  </si>
  <si>
    <t>Minority Leaders And Office Of Minority Leader</t>
  </si>
  <si>
    <t>S002-003-001-004-001</t>
  </si>
  <si>
    <t>Members Of Parliament And Their Offices</t>
  </si>
  <si>
    <t>S002-003-001-005-001</t>
  </si>
  <si>
    <t>Members Services Protocol</t>
  </si>
  <si>
    <t>S002-004-001-001-001</t>
  </si>
  <si>
    <t>Foreign Relations</t>
  </si>
  <si>
    <t>S002-004-002-001-001</t>
  </si>
  <si>
    <t>Counsel General</t>
  </si>
  <si>
    <t>S002-005-001-001-001</t>
  </si>
  <si>
    <t>Committees And Research</t>
  </si>
  <si>
    <t>S002-005-002-001-001</t>
  </si>
  <si>
    <t>Table Office</t>
  </si>
  <si>
    <t>S002-005-003-001-001</t>
  </si>
  <si>
    <t>Hansard</t>
  </si>
  <si>
    <t>S002-005-004-001-001</t>
  </si>
  <si>
    <t>Library &amp; Archives</t>
  </si>
  <si>
    <t>S002-005-005-001-001</t>
  </si>
  <si>
    <t>Media &amp; Communication</t>
  </si>
  <si>
    <t>S002-006-001-001-001</t>
  </si>
  <si>
    <t>Parliamentary Education</t>
  </si>
  <si>
    <t>S002-006-002-001-001</t>
  </si>
  <si>
    <t>S002-007-003-001-001</t>
  </si>
  <si>
    <t>Public Relation</t>
  </si>
  <si>
    <t>S003-001-001-001-001</t>
  </si>
  <si>
    <t>Commisons Secratariate</t>
  </si>
  <si>
    <t>S003-001-001-001-002</t>
  </si>
  <si>
    <t>International Relations</t>
  </si>
  <si>
    <t>S003-001-001-001-003</t>
  </si>
  <si>
    <t>General Admin And Procurement</t>
  </si>
  <si>
    <t>S003-001-001-002-001</t>
  </si>
  <si>
    <t>Information Communication Technology</t>
  </si>
  <si>
    <t>S003-001-001-003-001</t>
  </si>
  <si>
    <t>Finance and Budget</t>
  </si>
  <si>
    <t>S003-001-001-004-001</t>
  </si>
  <si>
    <t>Human Resources Development</t>
  </si>
  <si>
    <t>S003-001-001-005-001</t>
  </si>
  <si>
    <t>Recruitment &amp; Training</t>
  </si>
  <si>
    <t>S003-002-001-001-001</t>
  </si>
  <si>
    <t>Performance Management</t>
  </si>
  <si>
    <t>S003-002-001-002-001</t>
  </si>
  <si>
    <t>Judicial Personal Management</t>
  </si>
  <si>
    <t>S003-002-001-003-001</t>
  </si>
  <si>
    <t>Judicial Service</t>
  </si>
  <si>
    <t>S003-002-001-004-001</t>
  </si>
  <si>
    <t>Legal</t>
  </si>
  <si>
    <t>S003-003-001-001-001</t>
  </si>
  <si>
    <t>Conplaints Management</t>
  </si>
  <si>
    <t>S003-003-001-002-001</t>
  </si>
  <si>
    <t>Investigations</t>
  </si>
  <si>
    <t>S003-003-001-003-001</t>
  </si>
  <si>
    <t>CJA Bureau</t>
  </si>
  <si>
    <t>S004-001-001-001-001</t>
  </si>
  <si>
    <t>Policy Planning &amp; Statistics</t>
  </si>
  <si>
    <t>S004-001-001-001-002</t>
  </si>
  <si>
    <t>Legal Support</t>
  </si>
  <si>
    <t>S004-001-001-001-003</t>
  </si>
  <si>
    <t>Internal Audit</t>
  </si>
  <si>
    <t>S004-001-001-001-004</t>
  </si>
  <si>
    <t>Infrastructure Management</t>
  </si>
  <si>
    <t>S004-001-001-002-001</t>
  </si>
  <si>
    <t>ICT</t>
  </si>
  <si>
    <t>S004-001-001-004-001</t>
  </si>
  <si>
    <t>S004-001-001-005-001</t>
  </si>
  <si>
    <t>Court &amp; Judge Security</t>
  </si>
  <si>
    <t>S004-001-001-009-001</t>
  </si>
  <si>
    <t>Corporate Support Services</t>
  </si>
  <si>
    <t>S004-001-001-010-001</t>
  </si>
  <si>
    <t>Court Administration &amp; Support Services</t>
  </si>
  <si>
    <t>S004-002-001-001-001</t>
  </si>
  <si>
    <t>Registration and judicial support services</t>
  </si>
  <si>
    <t>S004-002-002-001-001</t>
  </si>
  <si>
    <t>Judicial Functions</t>
  </si>
  <si>
    <t>S004-002-002-001-002</t>
  </si>
  <si>
    <t>S004-003-001-001-001</t>
  </si>
  <si>
    <t>Registration and Judicial Support Services</t>
  </si>
  <si>
    <t>S004-003-002-001-001</t>
  </si>
  <si>
    <t>S004-003-002-001-002</t>
  </si>
  <si>
    <t>Court Administration</t>
  </si>
  <si>
    <t>S004-004-001-001-001</t>
  </si>
  <si>
    <t>S004-004-002-001-001</t>
  </si>
  <si>
    <t>Judicial Function</t>
  </si>
  <si>
    <t>S004-004-002-001-002</t>
  </si>
  <si>
    <t>S004-005-001-001-001</t>
  </si>
  <si>
    <t>S004-005-002-001-001</t>
  </si>
  <si>
    <t>S004-005-002-001-002</t>
  </si>
  <si>
    <t>S004-006-001-001-001</t>
  </si>
  <si>
    <t>S004-006-002-001-001</t>
  </si>
  <si>
    <t>S004-006-002-001-002</t>
  </si>
  <si>
    <t>S004-007-001-001-001</t>
  </si>
  <si>
    <t>S004-007-002-001-001</t>
  </si>
  <si>
    <t>Judicial function</t>
  </si>
  <si>
    <t>S004-007-002-001-002</t>
  </si>
  <si>
    <t>S004-008-001-001-001</t>
  </si>
  <si>
    <t>S004-008-002-001-001</t>
  </si>
  <si>
    <t>Marriage Functions</t>
  </si>
  <si>
    <t>S004-008-002-001-002</t>
  </si>
  <si>
    <t>S004-008-002-001-003</t>
  </si>
  <si>
    <t>HA. Courts</t>
  </si>
  <si>
    <t>S004-009-001-001-001</t>
  </si>
  <si>
    <t>HDh. Courts</t>
  </si>
  <si>
    <t>S004-009-001-001-002</t>
  </si>
  <si>
    <t>Sh. Courts</t>
  </si>
  <si>
    <t>S004-009-001-001-003</t>
  </si>
  <si>
    <t>N. Courts</t>
  </si>
  <si>
    <t>S004-009-001-001-004</t>
  </si>
  <si>
    <t>R. Courts</t>
  </si>
  <si>
    <t>S004-009-001-001-005</t>
  </si>
  <si>
    <t>B. Courts</t>
  </si>
  <si>
    <t>S004-009-001-001-006</t>
  </si>
  <si>
    <t>Lh. Courts</t>
  </si>
  <si>
    <t>S004-009-001-001-007</t>
  </si>
  <si>
    <t>K. Courts</t>
  </si>
  <si>
    <t>S004-009-001-001-008</t>
  </si>
  <si>
    <t>AA. Courts</t>
  </si>
  <si>
    <t>S004-009-001-001-009</t>
  </si>
  <si>
    <t>ADh. Courts</t>
  </si>
  <si>
    <t>S004-009-001-001-010</t>
  </si>
  <si>
    <t>V. Courts</t>
  </si>
  <si>
    <t>S004-009-001-001-011</t>
  </si>
  <si>
    <t>M. Courts</t>
  </si>
  <si>
    <t>S004-009-001-001-012</t>
  </si>
  <si>
    <t>F. Courts</t>
  </si>
  <si>
    <t>S004-009-001-001-013</t>
  </si>
  <si>
    <t>Dh. Courts</t>
  </si>
  <si>
    <t>S004-009-001-001-014</t>
  </si>
  <si>
    <t>Th. Courts</t>
  </si>
  <si>
    <t>S004-009-001-001-015</t>
  </si>
  <si>
    <t>L. Courts</t>
  </si>
  <si>
    <t>S004-009-001-001-016</t>
  </si>
  <si>
    <t>GA. Courts</t>
  </si>
  <si>
    <t>S004-009-001-001-017</t>
  </si>
  <si>
    <t>GDh. Courts</t>
  </si>
  <si>
    <t>S004-009-001-001-018</t>
  </si>
  <si>
    <t>GN. Courts</t>
  </si>
  <si>
    <t>S004-009-001-001-019</t>
  </si>
  <si>
    <t>S. Courts</t>
  </si>
  <si>
    <t>S004-009-001-001-020</t>
  </si>
  <si>
    <t>Hulhumale Magistrate Court</t>
  </si>
  <si>
    <t>S004-009-001-001-021</t>
  </si>
  <si>
    <t>Programs and Research</t>
  </si>
  <si>
    <t>S004-010-002-003-001</t>
  </si>
  <si>
    <t>Bureau</t>
  </si>
  <si>
    <t>S004-011-001-001-001</t>
  </si>
  <si>
    <t>Admin and HR</t>
  </si>
  <si>
    <t>S004-011-002-001-001</t>
  </si>
  <si>
    <t>S004-011-002-001-002</t>
  </si>
  <si>
    <t>Procurement</t>
  </si>
  <si>
    <t>S004-011-002-001-003</t>
  </si>
  <si>
    <t>S004-011-002-001-004</t>
  </si>
  <si>
    <t>F &amp; B</t>
  </si>
  <si>
    <t>S004-011-003-001-001</t>
  </si>
  <si>
    <t>Housekeeping</t>
  </si>
  <si>
    <t>S004-011-003-001-002</t>
  </si>
  <si>
    <t>General service</t>
  </si>
  <si>
    <t>S004-011-003-001-003</t>
  </si>
  <si>
    <t>Administration &amp; Support Service</t>
  </si>
  <si>
    <t>S005-001-001-001-001</t>
  </si>
  <si>
    <t>Finance</t>
  </si>
  <si>
    <t>S005-001-001-002-001</t>
  </si>
  <si>
    <t>Human Resource Management</t>
  </si>
  <si>
    <t>S005-001-001-003-001</t>
  </si>
  <si>
    <t>Planning &amp; Policy Development</t>
  </si>
  <si>
    <t>S005-001-001-004-001</t>
  </si>
  <si>
    <t>Commissions Bureau</t>
  </si>
  <si>
    <t>S005-001-001-005-001</t>
  </si>
  <si>
    <t>S005-001-001-006-001</t>
  </si>
  <si>
    <t>S005-001-001-007-001</t>
  </si>
  <si>
    <t>Public Relations</t>
  </si>
  <si>
    <t>S005-001-001-008-001</t>
  </si>
  <si>
    <t>Civic Education, Training &amp; Research</t>
  </si>
  <si>
    <t>S005-002-001-001-001</t>
  </si>
  <si>
    <t>Legal &amp; Political Party Regulations</t>
  </si>
  <si>
    <t>S005-002-002-001-001</t>
  </si>
  <si>
    <t>Electoral Management and Coordination</t>
  </si>
  <si>
    <t>S005-002-003-001-001</t>
  </si>
  <si>
    <t>Information System</t>
  </si>
  <si>
    <t>S005-003-001-001-001</t>
  </si>
  <si>
    <t>System Administration</t>
  </si>
  <si>
    <t>S005-003-002-001-001</t>
  </si>
  <si>
    <t>Registration</t>
  </si>
  <si>
    <t>S005-003-003-001-001</t>
  </si>
  <si>
    <t>Senior Executive</t>
  </si>
  <si>
    <t>S006-001-001-001-001</t>
  </si>
  <si>
    <t>Admin and Support Services</t>
  </si>
  <si>
    <t>S006-001-001-002-001</t>
  </si>
  <si>
    <t>Human Resource Development</t>
  </si>
  <si>
    <t>S006-001-001-003-001</t>
  </si>
  <si>
    <t>Financial Management</t>
  </si>
  <si>
    <t>S006-001-001-003-002</t>
  </si>
  <si>
    <t>Media Relations</t>
  </si>
  <si>
    <t>S006-001-001-004-001</t>
  </si>
  <si>
    <t>Secretarial Support</t>
  </si>
  <si>
    <t>S006-001-001-004-002</t>
  </si>
  <si>
    <t>Information Technology (ICT)</t>
  </si>
  <si>
    <t>S006-001-001-005-001</t>
  </si>
  <si>
    <t>Executive</t>
  </si>
  <si>
    <t>S006-002-001-001-001</t>
  </si>
  <si>
    <t>Recruitment Management</t>
  </si>
  <si>
    <t>S006-002-001-002-001</t>
  </si>
  <si>
    <t>Performance management</t>
  </si>
  <si>
    <t>S006-002-001-003-001</t>
  </si>
  <si>
    <t>Audit &amp; Compliance</t>
  </si>
  <si>
    <t>S006-002-001-004-001</t>
  </si>
  <si>
    <t>Employment audit</t>
  </si>
  <si>
    <t>S006-002-001-005-001</t>
  </si>
  <si>
    <t>S006-003-001-001-001</t>
  </si>
  <si>
    <t>Policy and Strategic Management</t>
  </si>
  <si>
    <t>S006-003-001-002-001</t>
  </si>
  <si>
    <t>Organizational Development</t>
  </si>
  <si>
    <t>S006-003-001-003-001</t>
  </si>
  <si>
    <t>International Relations and R&amp;D</t>
  </si>
  <si>
    <t>S006-003-001-004-001</t>
  </si>
  <si>
    <t>Professional Development Executive</t>
  </si>
  <si>
    <t>S006-004-001-001-001</t>
  </si>
  <si>
    <t>Academic Development</t>
  </si>
  <si>
    <t>S006-004-001-002-001</t>
  </si>
  <si>
    <t>S006-004-001-003-001</t>
  </si>
  <si>
    <t>Administrative Secretariat</t>
  </si>
  <si>
    <t>S006-005-001-001-001</t>
  </si>
  <si>
    <t>Mediation and Grievance</t>
  </si>
  <si>
    <t>S006-005-001-002-001</t>
  </si>
  <si>
    <t>Litigation and Regulations</t>
  </si>
  <si>
    <t>S006-005-001-003-001</t>
  </si>
  <si>
    <t>Executives</t>
  </si>
  <si>
    <t>S007-001-001-001-001</t>
  </si>
  <si>
    <t>Executive Secretariat/ bureau</t>
  </si>
  <si>
    <t>S007-001-001-002-001</t>
  </si>
  <si>
    <t>Media</t>
  </si>
  <si>
    <t>S007-001-001-003-001</t>
  </si>
  <si>
    <t>Public relations</t>
  </si>
  <si>
    <t>S007-001-001-004-001</t>
  </si>
  <si>
    <t>International relations</t>
  </si>
  <si>
    <t>S007-001-001-005-001</t>
  </si>
  <si>
    <t>Planning</t>
  </si>
  <si>
    <t>S007-001-002-001-001</t>
  </si>
  <si>
    <t>S007-001-002-002-001</t>
  </si>
  <si>
    <t>Administration and Procurement</t>
  </si>
  <si>
    <t>S007-001-002-003-001</t>
  </si>
  <si>
    <t>S007-001-002-004-001</t>
  </si>
  <si>
    <t>S007-001-002-005-001</t>
  </si>
  <si>
    <t>Advocacy</t>
  </si>
  <si>
    <t>S007-002-001-001-001</t>
  </si>
  <si>
    <t>Education</t>
  </si>
  <si>
    <t>S007-002-001-002-001</t>
  </si>
  <si>
    <t>Investigation</t>
  </si>
  <si>
    <t>S007-002-002-001-001</t>
  </si>
  <si>
    <t>Anti-Torture Unit</t>
  </si>
  <si>
    <t>S007-002-002-002-001</t>
  </si>
  <si>
    <t>Policy</t>
  </si>
  <si>
    <t>S007-002-003-001-001</t>
  </si>
  <si>
    <t>S007-002-003-002-001</t>
  </si>
  <si>
    <t>Inspection</t>
  </si>
  <si>
    <t>S007-002-004-001-001</t>
  </si>
  <si>
    <t>Monitoring</t>
  </si>
  <si>
    <t>S007-002-005-001-001</t>
  </si>
  <si>
    <t>Research</t>
  </si>
  <si>
    <t>S007-002-005-002-001</t>
  </si>
  <si>
    <t>S007-002-006-001-001</t>
  </si>
  <si>
    <t>S007-002-006-002-001</t>
  </si>
  <si>
    <t>S007-002-007-001-001</t>
  </si>
  <si>
    <t>S007-002-007-002-001</t>
  </si>
  <si>
    <t>Members Bureau</t>
  </si>
  <si>
    <t>S008-001-001-001-001</t>
  </si>
  <si>
    <t>S008-001-001-002-001</t>
  </si>
  <si>
    <t>Admin &amp; Procurement</t>
  </si>
  <si>
    <t>S008-001-001-003-001</t>
  </si>
  <si>
    <t>S008-001-001-004-001</t>
  </si>
  <si>
    <t>S008-001-001-005-001</t>
  </si>
  <si>
    <t>S008-002-001-001-001</t>
  </si>
  <si>
    <t>Education &amp; Advocacy</t>
  </si>
  <si>
    <t>S008-002-002-001-001</t>
  </si>
  <si>
    <t>Creative Service</t>
  </si>
  <si>
    <t>S008-002-003-001-001</t>
  </si>
  <si>
    <t>Policy &amp; Planning</t>
  </si>
  <si>
    <t>S008-002-004-001-001</t>
  </si>
  <si>
    <t>Investigation Support Service</t>
  </si>
  <si>
    <t>S008-003-001-001-001</t>
  </si>
  <si>
    <t>Investigation Unit</t>
  </si>
  <si>
    <t>S008-003-002-001-001</t>
  </si>
  <si>
    <t>Southern Regional Office</t>
  </si>
  <si>
    <t>S008-003-003-001-001</t>
  </si>
  <si>
    <t>Intelligence Unit</t>
  </si>
  <si>
    <t>S008-003-004-001-001</t>
  </si>
  <si>
    <t>Forensics Unit</t>
  </si>
  <si>
    <t>S008-003-004-002-001</t>
  </si>
  <si>
    <t>S008-003-006-001-001</t>
  </si>
  <si>
    <t>Evaluation Section</t>
  </si>
  <si>
    <t>S008-003-007-001-001</t>
  </si>
  <si>
    <t>Legal Section</t>
  </si>
  <si>
    <t>S008-004-001-001-001</t>
  </si>
  <si>
    <t>Monitoring &amp; Evaluation</t>
  </si>
  <si>
    <t>S008-004-004-001-001</t>
  </si>
  <si>
    <t>S008-004-005-001-001</t>
  </si>
  <si>
    <t>Auditor Generals Bureau</t>
  </si>
  <si>
    <t>S009-001-001-001-001</t>
  </si>
  <si>
    <t>Accounts &amp; Finance</t>
  </si>
  <si>
    <t>S009-001-001-002-001</t>
  </si>
  <si>
    <t>ICT (+Audit System Administration -TEAMMATE)</t>
  </si>
  <si>
    <t>S009-001-001-003-001</t>
  </si>
  <si>
    <t>Admin, &amp; Procurement</t>
  </si>
  <si>
    <t>S009-001-001-004-001</t>
  </si>
  <si>
    <t>S009-001-001-005-001</t>
  </si>
  <si>
    <t>Training &amp; Stakeholder Relations</t>
  </si>
  <si>
    <t>S009-001-001-006-001</t>
  </si>
  <si>
    <t>Financial Audit Services</t>
  </si>
  <si>
    <t>S009-002-001-001-001</t>
  </si>
  <si>
    <t>Northern Regional office</t>
  </si>
  <si>
    <t>S009-002-002-001-001</t>
  </si>
  <si>
    <t>Southern Regional office</t>
  </si>
  <si>
    <t>S009-002-002-002-001</t>
  </si>
  <si>
    <t>Special Audit</t>
  </si>
  <si>
    <t>S009-002-003-001-001</t>
  </si>
  <si>
    <t>Performance Audit</t>
  </si>
  <si>
    <t>S009-002-003-002-001</t>
  </si>
  <si>
    <t>Information System Audit</t>
  </si>
  <si>
    <t>S009-002-004-001-001</t>
  </si>
  <si>
    <t>Legal Affairs</t>
  </si>
  <si>
    <t>S009-003-001-001-001</t>
  </si>
  <si>
    <t>Reporting &amp; Portfolio Management</t>
  </si>
  <si>
    <t>S009-003-001-002-001</t>
  </si>
  <si>
    <t>Quality Assurance , Methodology &amp; Internal Audit Unit</t>
  </si>
  <si>
    <t>S009-003-001-003-001</t>
  </si>
  <si>
    <t>Public Finance and Management Unit</t>
  </si>
  <si>
    <t>S009-003-001-004-001</t>
  </si>
  <si>
    <t>PGO Bureau</t>
  </si>
  <si>
    <t>S010-001-001-001-001</t>
  </si>
  <si>
    <t>S010-001-001-002-001</t>
  </si>
  <si>
    <t>Human Resource</t>
  </si>
  <si>
    <t>S010-001-001-003-001</t>
  </si>
  <si>
    <t>Budget &amp; Finance</t>
  </si>
  <si>
    <t>S010-001-001-004-001</t>
  </si>
  <si>
    <t>S010-001-001-005-001</t>
  </si>
  <si>
    <t>Records &amp; Statistics</t>
  </si>
  <si>
    <t>S010-001-001-006-001</t>
  </si>
  <si>
    <t>General Administration</t>
  </si>
  <si>
    <t>S010-001-001-007-001</t>
  </si>
  <si>
    <t>Hdh.Atoll Branch</t>
  </si>
  <si>
    <t>S010-002-001-001-001</t>
  </si>
  <si>
    <t>N.Atoll Branch</t>
  </si>
  <si>
    <t>S010-002-001-002-001</t>
  </si>
  <si>
    <t>R.Atoll Branch</t>
  </si>
  <si>
    <t>S010-002-001-003-001</t>
  </si>
  <si>
    <t>B.Atoll Branch</t>
  </si>
  <si>
    <t>S010-002-001-004-001</t>
  </si>
  <si>
    <t>Lh.Atoll Branch</t>
  </si>
  <si>
    <t>S010-002-001-005-001</t>
  </si>
  <si>
    <t>Th.Atoll Branch</t>
  </si>
  <si>
    <t>S010-002-001-006-001</t>
  </si>
  <si>
    <t>L.Atoll Branch</t>
  </si>
  <si>
    <t>S010-002-001-007-001</t>
  </si>
  <si>
    <t>Ga.Atoll Branch</t>
  </si>
  <si>
    <t>S010-002-001-008-001</t>
  </si>
  <si>
    <t>G.dh..Atoll Branch</t>
  </si>
  <si>
    <t>S010-002-001-009-001</t>
  </si>
  <si>
    <t>S. Atoll Branch</t>
  </si>
  <si>
    <t>S010-002-001-010-001</t>
  </si>
  <si>
    <t>Prosecution</t>
  </si>
  <si>
    <t>S010-002-002-001-001</t>
  </si>
  <si>
    <t>Witness &amp; Victim Support</t>
  </si>
  <si>
    <t>S010-002-003-001-001</t>
  </si>
  <si>
    <t>Prosecution Support</t>
  </si>
  <si>
    <t>S010-002-004-001-001</t>
  </si>
  <si>
    <t>Executives &amp; Secretariate</t>
  </si>
  <si>
    <t>S011-001-001-001-001</t>
  </si>
  <si>
    <t>S011-001-001-002-001</t>
  </si>
  <si>
    <t>S011-001-001-003-001</t>
  </si>
  <si>
    <t>Operational Risk Management Section</t>
  </si>
  <si>
    <t>S011-001-001-004-001</t>
  </si>
  <si>
    <t>HR Management</t>
  </si>
  <si>
    <t>S011-001-002-001-001</t>
  </si>
  <si>
    <t>HR Development</t>
  </si>
  <si>
    <t>S011-001-002-002-001</t>
  </si>
  <si>
    <t>Enterprise Data Section</t>
  </si>
  <si>
    <t>S011-002-001-001-001</t>
  </si>
  <si>
    <t>Enterprise Application</t>
  </si>
  <si>
    <t>S011-002-001-002-001</t>
  </si>
  <si>
    <t>Enterprise Support Section</t>
  </si>
  <si>
    <t>S011-002-001-003-001</t>
  </si>
  <si>
    <t>Security Operations Section</t>
  </si>
  <si>
    <t>S011-002-002-001-001</t>
  </si>
  <si>
    <t>Security Monitoring &amp; Assessment</t>
  </si>
  <si>
    <t>S011-002-002-001-002</t>
  </si>
  <si>
    <t>Enterprise Hardware and Operations</t>
  </si>
  <si>
    <t>S011-002-002-002-001</t>
  </si>
  <si>
    <t>International Relations Section</t>
  </si>
  <si>
    <t>S011-003-001-001-001</t>
  </si>
  <si>
    <t>Planning &amp; Statistics</t>
  </si>
  <si>
    <t>S011-003-003-001-001</t>
  </si>
  <si>
    <t>Policy Implementation</t>
  </si>
  <si>
    <t>S011-003-003-002-001</t>
  </si>
  <si>
    <t>Marketing &amp; Advertising</t>
  </si>
  <si>
    <t>S011-003-004-001-001</t>
  </si>
  <si>
    <t>Media &amp; public relations</t>
  </si>
  <si>
    <t>S011-003-004-001-002</t>
  </si>
  <si>
    <t>Tax Academy</t>
  </si>
  <si>
    <t>S011-004-001-001-001</t>
  </si>
  <si>
    <t>Contact Centre</t>
  </si>
  <si>
    <t>S011-004-001-001-002</t>
  </si>
  <si>
    <t>Facilitation</t>
  </si>
  <si>
    <t>S011-004-002-001-001</t>
  </si>
  <si>
    <t>Engagement</t>
  </si>
  <si>
    <t>S011-004-002-001-002</t>
  </si>
  <si>
    <t>Technical Division</t>
  </si>
  <si>
    <t>S011-004-004-001-001</t>
  </si>
  <si>
    <t>Registration Section</t>
  </si>
  <si>
    <t>S011-005-001-001-001</t>
  </si>
  <si>
    <t>Return Processing</t>
  </si>
  <si>
    <t>S011-005-002-001-001</t>
  </si>
  <si>
    <t>Collection</t>
  </si>
  <si>
    <t>S011-005-003-001-001</t>
  </si>
  <si>
    <t>Revenue Reconciliation</t>
  </si>
  <si>
    <t>S011-005-003-001-002</t>
  </si>
  <si>
    <t>Regional Offices</t>
  </si>
  <si>
    <t>S011-005-004-001-001</t>
  </si>
  <si>
    <t>Debt Management</t>
  </si>
  <si>
    <t>S011-006-001-001-001</t>
  </si>
  <si>
    <t>Refund and Installment</t>
  </si>
  <si>
    <t>S011-006-001-001-002</t>
  </si>
  <si>
    <t>Due Clearance</t>
  </si>
  <si>
    <t>S011-006-002-001-001</t>
  </si>
  <si>
    <t>Fine Relief</t>
  </si>
  <si>
    <t>S011-006-002-001-002</t>
  </si>
  <si>
    <t>Non-tax Revenue</t>
  </si>
  <si>
    <t>S011-006-002-001-003</t>
  </si>
  <si>
    <t>Legal Services</t>
  </si>
  <si>
    <t>S011-006-003-001-001</t>
  </si>
  <si>
    <t>Objection</t>
  </si>
  <si>
    <t>S011-006-003-002-001</t>
  </si>
  <si>
    <t>Large Tax Payer Audit</t>
  </si>
  <si>
    <t>S011-006-004-001-001</t>
  </si>
  <si>
    <t>Medium Tax Payer Audit</t>
  </si>
  <si>
    <t>S011-006-004-002-001</t>
  </si>
  <si>
    <t>Small Tax Payer Audit</t>
  </si>
  <si>
    <t>S011-006-004-003-001</t>
  </si>
  <si>
    <t>International Tax Audit</t>
  </si>
  <si>
    <t>S011-006-004-004-001</t>
  </si>
  <si>
    <t>Criminal Investigation</t>
  </si>
  <si>
    <t>S011-006-005-001-001</t>
  </si>
  <si>
    <t>Extensive Audit</t>
  </si>
  <si>
    <t>S011-006-005-001-002</t>
  </si>
  <si>
    <t>Risk Assessment</t>
  </si>
  <si>
    <t>S011-006-005-002-001</t>
  </si>
  <si>
    <t>Intelligence and Review</t>
  </si>
  <si>
    <t>S011-006-005-002-002</t>
  </si>
  <si>
    <t>Support Services Dept</t>
  </si>
  <si>
    <t>S012-001-001-002-001</t>
  </si>
  <si>
    <t>Legal Dept</t>
  </si>
  <si>
    <t>S012-002-001-001-001</t>
  </si>
  <si>
    <t>Case Management Dept</t>
  </si>
  <si>
    <t>S012-002-002-002-001</t>
  </si>
  <si>
    <t>S013-001-001-001-001</t>
  </si>
  <si>
    <t>Human Resources &amp; Administration</t>
  </si>
  <si>
    <t>S013-001-001-002-001</t>
  </si>
  <si>
    <t>Events &amp; Registration</t>
  </si>
  <si>
    <t>S013-002-001-001-001</t>
  </si>
  <si>
    <t>Planning &amp; Development</t>
  </si>
  <si>
    <t>S013-002-002-001-001</t>
  </si>
  <si>
    <t>S013-003-001-001-001</t>
  </si>
  <si>
    <t>Complaints</t>
  </si>
  <si>
    <t>S013-003-002-001-001</t>
  </si>
  <si>
    <t>Implementation</t>
  </si>
  <si>
    <t>S013-003-003-001-001</t>
  </si>
  <si>
    <t>S014-001-001-001-001</t>
  </si>
  <si>
    <t>Human Resources and Administration</t>
  </si>
  <si>
    <t>S014-001-001-002-001</t>
  </si>
  <si>
    <t>S014-001-002-001-001</t>
  </si>
  <si>
    <t>S014-001-002-002-001</t>
  </si>
  <si>
    <t>S014-002-001-001-001</t>
  </si>
  <si>
    <t>Policy, Planning, and Projects</t>
  </si>
  <si>
    <t>S014-002-001-002-001</t>
  </si>
  <si>
    <t>Strategic Development, and Research</t>
  </si>
  <si>
    <t>S014-002-001-003-001</t>
  </si>
  <si>
    <t>Monitoring &amp; Engineering</t>
  </si>
  <si>
    <t>S014-003-001-001-001</t>
  </si>
  <si>
    <t>Legal and Licensing</t>
  </si>
  <si>
    <t>S014-003-001-002-001</t>
  </si>
  <si>
    <t>Exectives</t>
  </si>
  <si>
    <t>S015-001-001-001-001</t>
  </si>
  <si>
    <t>Human Resource Unit</t>
  </si>
  <si>
    <t>S015-001-001-002-001</t>
  </si>
  <si>
    <t>Finance Unit</t>
  </si>
  <si>
    <t>S015-001-001-003-001</t>
  </si>
  <si>
    <t>Information Technology Unit</t>
  </si>
  <si>
    <t>S015-001-001-004-001</t>
  </si>
  <si>
    <t>General Admin Unit</t>
  </si>
  <si>
    <t>S015-001-001-005-001</t>
  </si>
  <si>
    <t>Procurement Unit</t>
  </si>
  <si>
    <t>S015-001-001-006-001</t>
  </si>
  <si>
    <t>Tribunal Members</t>
  </si>
  <si>
    <t>S015-002-001-001-001</t>
  </si>
  <si>
    <t>Legal,Reporting &amp; Case Management</t>
  </si>
  <si>
    <t>S015-002-001-002-001</t>
  </si>
  <si>
    <t>Evaluation &amp; Assessment</t>
  </si>
  <si>
    <t>S015-002-002-001-001</t>
  </si>
  <si>
    <t>S015-002-003-001-001</t>
  </si>
  <si>
    <t>Board, CEO &amp; Secretariate</t>
  </si>
  <si>
    <t>S016-001-001-001-001</t>
  </si>
  <si>
    <t>Front Office</t>
  </si>
  <si>
    <t>S016-001-001-002-001</t>
  </si>
  <si>
    <t>S016-001-001-002-002</t>
  </si>
  <si>
    <t>Public Relations/Media</t>
  </si>
  <si>
    <t>S016-001-001-002-003</t>
  </si>
  <si>
    <t>Admin &amp; Procurement Projects</t>
  </si>
  <si>
    <t>S016-001-001-002-004</t>
  </si>
  <si>
    <t>S016-001-001-003-001</t>
  </si>
  <si>
    <t>Staff Development</t>
  </si>
  <si>
    <t>S016-001-001-003-002</t>
  </si>
  <si>
    <t>S016-001-001-004-001</t>
  </si>
  <si>
    <t>Policy Planning &amp; Research</t>
  </si>
  <si>
    <t>S016-002-001-001-001</t>
  </si>
  <si>
    <t>S016-002-001-001-002</t>
  </si>
  <si>
    <t>S016-002-002-001-001</t>
  </si>
  <si>
    <t>Capacity Building</t>
  </si>
  <si>
    <t>S016-002-002-001-002</t>
  </si>
  <si>
    <t>Training &amp; Development</t>
  </si>
  <si>
    <t>S016-002-002-001-003</t>
  </si>
  <si>
    <t>Council Digitalization</t>
  </si>
  <si>
    <t>S016-003-001-001-001</t>
  </si>
  <si>
    <t>Council IT Infrastructure</t>
  </si>
  <si>
    <t>S016-003-001-001-002</t>
  </si>
  <si>
    <t>Monitorimg</t>
  </si>
  <si>
    <t>S016-003-002-002-001</t>
  </si>
  <si>
    <t>Performance Evaluation</t>
  </si>
  <si>
    <t>S016-003-002-002-002</t>
  </si>
  <si>
    <t>Council Internal Audit</t>
  </si>
  <si>
    <t>S016-003-002-002-003</t>
  </si>
  <si>
    <t>Legal Investigation</t>
  </si>
  <si>
    <t>S016-003-002-002-004</t>
  </si>
  <si>
    <t>Fromation of Council</t>
  </si>
  <si>
    <t>S016-003-003-003-001</t>
  </si>
  <si>
    <t>Electing &amp; Swearing of Councils</t>
  </si>
  <si>
    <t>S016-003-003-003-002</t>
  </si>
  <si>
    <t>Womens Development</t>
  </si>
  <si>
    <t>S016-003-003-003-003</t>
  </si>
  <si>
    <t>Senior Executive &amp; Secretariat</t>
  </si>
  <si>
    <t>S017-001-001-001-001</t>
  </si>
  <si>
    <t>S017-001-001-001-002</t>
  </si>
  <si>
    <t>S017-001-001-001-003</t>
  </si>
  <si>
    <t>Administration &amp; HR</t>
  </si>
  <si>
    <t>S017-001-001-001-004</t>
  </si>
  <si>
    <t>S017-001-001-001-005</t>
  </si>
  <si>
    <t>Commissioners Bureau</t>
  </si>
  <si>
    <t>S017-001-002-001-001</t>
  </si>
  <si>
    <t>Legal &amp; Research</t>
  </si>
  <si>
    <t>S017-002-001-001-001</t>
  </si>
  <si>
    <t>Case Management</t>
  </si>
  <si>
    <t>S017-002-002-001-001</t>
  </si>
  <si>
    <t>Training and awareness</t>
  </si>
  <si>
    <t>S017-003-001-001-001</t>
  </si>
  <si>
    <t>Monitoring and Media</t>
  </si>
  <si>
    <t>S017-003-002-001-001</t>
  </si>
  <si>
    <t>Commission Secretariat</t>
  </si>
  <si>
    <t>S018-001-001-001-001</t>
  </si>
  <si>
    <t>S018-001-001-001-002</t>
  </si>
  <si>
    <t>S018-001-001-001-003</t>
  </si>
  <si>
    <t>Budget and Finance</t>
  </si>
  <si>
    <t>S018-001-001-001-004</t>
  </si>
  <si>
    <t>S018-001-001-001-005</t>
  </si>
  <si>
    <t>S018-002-001-001-001</t>
  </si>
  <si>
    <t>Registration and Operational Support</t>
  </si>
  <si>
    <t>S018-002-001-001-002</t>
  </si>
  <si>
    <t>Post Investigation and Monitoring</t>
  </si>
  <si>
    <t>S018-002-001-001-003</t>
  </si>
  <si>
    <t>S018-002-001-001-004</t>
  </si>
  <si>
    <t>Inspection and Compliance</t>
  </si>
  <si>
    <t>S018-003-001-001-001</t>
  </si>
  <si>
    <t>Research and Development</t>
  </si>
  <si>
    <t>S018-003-001-001-002</t>
  </si>
  <si>
    <t>Awareness</t>
  </si>
  <si>
    <t>S018-003-001-001-003</t>
  </si>
  <si>
    <t>Media and Public Relations</t>
  </si>
  <si>
    <t>S018-003-001-001-004</t>
  </si>
  <si>
    <t>Ministers Office and Senior Executive</t>
  </si>
  <si>
    <t>S020-001-001-001-001</t>
  </si>
  <si>
    <t>Executive Support Section</t>
  </si>
  <si>
    <t>S020-001-001-002-001</t>
  </si>
  <si>
    <t>General Administration Unit</t>
  </si>
  <si>
    <t>S020-001-001-003-001</t>
  </si>
  <si>
    <t>Call Cente &amp; Support Service Unit</t>
  </si>
  <si>
    <t>S020-001-001-003-002</t>
  </si>
  <si>
    <t>Human Resources Section</t>
  </si>
  <si>
    <t>S020-001-001-004-001</t>
  </si>
  <si>
    <t>Legislative Drafting and Compliance Section</t>
  </si>
  <si>
    <t>S020-001-001-005-001</t>
  </si>
  <si>
    <t>Legal Advisory Section</t>
  </si>
  <si>
    <t>S020-001-001-005-002</t>
  </si>
  <si>
    <t>Finance and Accounts Unit</t>
  </si>
  <si>
    <t>S020-001-001-006-001</t>
  </si>
  <si>
    <t>Information Systems Management Section</t>
  </si>
  <si>
    <t>S020-001-001-007-001</t>
  </si>
  <si>
    <t>Cyber Ops and Data Center Management Section</t>
  </si>
  <si>
    <t>S020-001-001-007-002</t>
  </si>
  <si>
    <t>Application Support and Development Section</t>
  </si>
  <si>
    <t>S020-001-001-007-003</t>
  </si>
  <si>
    <t>Public Finance Management Section</t>
  </si>
  <si>
    <t>S020-001-001-008-001</t>
  </si>
  <si>
    <t>Assets and Treasury and Management Section</t>
  </si>
  <si>
    <t>S020-002-001-001-001</t>
  </si>
  <si>
    <t>Local Council Coordination Unit</t>
  </si>
  <si>
    <t>S020-002-002-001-001</t>
  </si>
  <si>
    <t>Funds Management Unit</t>
  </si>
  <si>
    <t>S020-002-002-001-002</t>
  </si>
  <si>
    <t>Financial and Management Reporting Section</t>
  </si>
  <si>
    <t>S020-002-003-001-001</t>
  </si>
  <si>
    <t>Public Assets Management Section</t>
  </si>
  <si>
    <t>S020-002-004-001-001</t>
  </si>
  <si>
    <t>National Budget Section</t>
  </si>
  <si>
    <t>S020-003-001-001-001</t>
  </si>
  <si>
    <t>Revenue Policy Section</t>
  </si>
  <si>
    <t>S020-003-001-002-001</t>
  </si>
  <si>
    <t>Spending Policies and Programs Section</t>
  </si>
  <si>
    <t>S020-003-001-003-001</t>
  </si>
  <si>
    <t>Economic Research and Fiscal Reporting Section</t>
  </si>
  <si>
    <t>S020-003-001-004-001</t>
  </si>
  <si>
    <t>Public Private Partnership Section</t>
  </si>
  <si>
    <t>S020-003-001-005-001</t>
  </si>
  <si>
    <t>Financial Institution Section</t>
  </si>
  <si>
    <t>S020-003-002-001-001</t>
  </si>
  <si>
    <t>Aid Coordination Section</t>
  </si>
  <si>
    <t>S020-003-002-001-002</t>
  </si>
  <si>
    <t>Financing Section</t>
  </si>
  <si>
    <t>S020-003-002-002-001</t>
  </si>
  <si>
    <t>Strategy and Analysis Section</t>
  </si>
  <si>
    <t>S020-003-002-002-002</t>
  </si>
  <si>
    <t>Recording and Reporting Section</t>
  </si>
  <si>
    <t>S020-003-002-002-003</t>
  </si>
  <si>
    <t>Airport Development</t>
  </si>
  <si>
    <t>S020-003-003-001-001</t>
  </si>
  <si>
    <t>Hulhumale Infrastructure Development</t>
  </si>
  <si>
    <t>S020-003-003-002-001</t>
  </si>
  <si>
    <t>Digital Terresterial Network Development Project</t>
  </si>
  <si>
    <t>S020-003-003-003-001</t>
  </si>
  <si>
    <t>Tender Board</t>
  </si>
  <si>
    <t>S020-004-001-001-001</t>
  </si>
  <si>
    <t>Tender Review and Coordination Section</t>
  </si>
  <si>
    <t>S020-004-001-002-001</t>
  </si>
  <si>
    <t>Tender Evaluation Section</t>
  </si>
  <si>
    <t>S020-004-001-002-002</t>
  </si>
  <si>
    <t>State Internal Audit Committee</t>
  </si>
  <si>
    <t>S020-004-002-001-001</t>
  </si>
  <si>
    <t>Internal Audit Section</t>
  </si>
  <si>
    <t>S020-004-002-002-001</t>
  </si>
  <si>
    <t>Investigations Section</t>
  </si>
  <si>
    <t>S020-004-002-002-002</t>
  </si>
  <si>
    <t>National Pay Commission Secretariat</t>
  </si>
  <si>
    <t>S020-004-003-001-001</t>
  </si>
  <si>
    <t>Privatization and Corporatization Board Secretariat</t>
  </si>
  <si>
    <t>S020-004-004-001-001</t>
  </si>
  <si>
    <t>SOE's Financial Management Section</t>
  </si>
  <si>
    <t>S020-004-004-002-001</t>
  </si>
  <si>
    <t>SOE's Policy and Research Section</t>
  </si>
  <si>
    <t>S020-004-004-002-002</t>
  </si>
  <si>
    <t>Procurement Policy Board</t>
  </si>
  <si>
    <t>S020-004-005-001-001</t>
  </si>
  <si>
    <t>Policy Formulation Section</t>
  </si>
  <si>
    <t>S020-004-005-002-001</t>
  </si>
  <si>
    <t>Procurement Monitoring and Reporting Section</t>
  </si>
  <si>
    <t>S020-004-005-002-002</t>
  </si>
  <si>
    <t>S021-001-001-001-001</t>
  </si>
  <si>
    <t>Executive Secretariat</t>
  </si>
  <si>
    <t>S021-001-001-002-001</t>
  </si>
  <si>
    <t>S021-001-002-001-001</t>
  </si>
  <si>
    <t>Records Management</t>
  </si>
  <si>
    <t>S021-001-002-001-002</t>
  </si>
  <si>
    <t>Logistics, Maintenance &amp; Asset Management</t>
  </si>
  <si>
    <t>S021-001-002-001-003</t>
  </si>
  <si>
    <t>S021-001-002-002-001</t>
  </si>
  <si>
    <t>Accounts</t>
  </si>
  <si>
    <t>S021-001-002-002-002</t>
  </si>
  <si>
    <t>S021-001-002-003-001</t>
  </si>
  <si>
    <t>S021-001-002-004-001</t>
  </si>
  <si>
    <t>MNDF unit</t>
  </si>
  <si>
    <t>S021-001-002-004-002</t>
  </si>
  <si>
    <t>S021-001-002-005-001</t>
  </si>
  <si>
    <t>Legal unit</t>
  </si>
  <si>
    <t>S021-001-002-006-001</t>
  </si>
  <si>
    <t>S021-001-002-007-001</t>
  </si>
  <si>
    <t>S021-001-003-001-001</t>
  </si>
  <si>
    <t>Department of International Defence Coorporation &amp; Policy</t>
  </si>
  <si>
    <t>S021-002-001-001-001</t>
  </si>
  <si>
    <t>Chemical Management</t>
  </si>
  <si>
    <t>S021-003-001-001-001</t>
  </si>
  <si>
    <t>Oversight, Inspection, &amp; Implementation Support</t>
  </si>
  <si>
    <t>S021-004-001-001-001</t>
  </si>
  <si>
    <t>Policy, Regulation &amp; Planning</t>
  </si>
  <si>
    <t>S021-004-002-001-001</t>
  </si>
  <si>
    <t>International Relations &amp; New Technology Development</t>
  </si>
  <si>
    <t>S021-004-003-001-001</t>
  </si>
  <si>
    <t>Intelligence &amp; Threat Assessment</t>
  </si>
  <si>
    <t>S021-004-004-001-001</t>
  </si>
  <si>
    <t>Anti-TIP office</t>
  </si>
  <si>
    <t>S021-005-001-001-001</t>
  </si>
  <si>
    <t>S021-006-001-001-001</t>
  </si>
  <si>
    <t>S021-006-001-001-002</t>
  </si>
  <si>
    <t>S021-006-001-001-003</t>
  </si>
  <si>
    <t>HR</t>
  </si>
  <si>
    <t>S021-006-001-001-004</t>
  </si>
  <si>
    <t>S021-006-001-001-005</t>
  </si>
  <si>
    <t>International Partnerships</t>
  </si>
  <si>
    <t>S021-006-001-002-001</t>
  </si>
  <si>
    <t>S021-006-001-002-002</t>
  </si>
  <si>
    <t>CT Steering Committee</t>
  </si>
  <si>
    <t>S021-006-002-001-001</t>
  </si>
  <si>
    <t>Counter Radicalization Committee</t>
  </si>
  <si>
    <t>S021-006-002-002-001</t>
  </si>
  <si>
    <t>National Action Plan</t>
  </si>
  <si>
    <t>S021-006-002-002-002</t>
  </si>
  <si>
    <t>S021-006-002-002-003</t>
  </si>
  <si>
    <t>S021-006-003-001-001</t>
  </si>
  <si>
    <t>Counter/alternate messaging</t>
  </si>
  <si>
    <t>S021-006-003-002-001</t>
  </si>
  <si>
    <t>Media cell</t>
  </si>
  <si>
    <t>S021-006-003-002-002</t>
  </si>
  <si>
    <t>Intelligence Database</t>
  </si>
  <si>
    <t>S021-006-004-001-001</t>
  </si>
  <si>
    <t>S021-006-004-001-002</t>
  </si>
  <si>
    <t>Strategic Security Assessments</t>
  </si>
  <si>
    <t>S021-007-001-001-001</t>
  </si>
  <si>
    <t>Defence and Security Coordination and Systems Review</t>
  </si>
  <si>
    <t>S021-007-002-001-001</t>
  </si>
  <si>
    <t>Civil Defence and Emergency Response Systems</t>
  </si>
  <si>
    <t>S021-007-003-001-001</t>
  </si>
  <si>
    <t>Department of Administration, Finance &amp; HR</t>
  </si>
  <si>
    <t>S021-008-001-001-001</t>
  </si>
  <si>
    <t>Department of International Cooperation</t>
  </si>
  <si>
    <t>S021-008-002-001-001</t>
  </si>
  <si>
    <t>Department of Operations (MNDF)</t>
  </si>
  <si>
    <t>S021-008-003-001-001</t>
  </si>
  <si>
    <t>Minister &amp; Senior Executives</t>
  </si>
  <si>
    <t>S022-001-001-001-001</t>
  </si>
  <si>
    <t>S022-001-001-002-001</t>
  </si>
  <si>
    <t>S022-001-001-003-001</t>
  </si>
  <si>
    <t>S022-001-001-004-001</t>
  </si>
  <si>
    <t>S022-001-001-005-001</t>
  </si>
  <si>
    <t>S022-001-001-006-001</t>
  </si>
  <si>
    <t>Administration &amp; Logistics</t>
  </si>
  <si>
    <t>S022-001-001-007-001</t>
  </si>
  <si>
    <t>S022-001-001-008-001</t>
  </si>
  <si>
    <t>S022-001-002-001-001</t>
  </si>
  <si>
    <t>Policy Planning</t>
  </si>
  <si>
    <t>S022-001-002-002-001</t>
  </si>
  <si>
    <t>S022-002-001-001-001</t>
  </si>
  <si>
    <t>Rehabilitation</t>
  </si>
  <si>
    <t>S022-002-002-001-001</t>
  </si>
  <si>
    <t>Peace &amp; Security</t>
  </si>
  <si>
    <t>S022-002-003-001-001</t>
  </si>
  <si>
    <t>Police Board Secretariat</t>
  </si>
  <si>
    <t>S022-002-004-001-001</t>
  </si>
  <si>
    <t>ICSS</t>
  </si>
  <si>
    <t>S022-002-005-001-001</t>
  </si>
  <si>
    <t>National Event</t>
  </si>
  <si>
    <t>S022-003-001-001-001</t>
  </si>
  <si>
    <t>Patriotic &amp; Civic</t>
  </si>
  <si>
    <t>S022-003-001-002-001</t>
  </si>
  <si>
    <t>Public Discos</t>
  </si>
  <si>
    <t>S022-003-001-003-001</t>
  </si>
  <si>
    <t>Press &amp; publication</t>
  </si>
  <si>
    <t>S022-004-001-001-001</t>
  </si>
  <si>
    <t>Media registration &amp; development</t>
  </si>
  <si>
    <t>S022-004-002-001-001</t>
  </si>
  <si>
    <t>Local Governance Support</t>
  </si>
  <si>
    <t>S022-005-001-001-001</t>
  </si>
  <si>
    <t>Project &amp; Resources Development</t>
  </si>
  <si>
    <t>S022-005-002-001-001</t>
  </si>
  <si>
    <t>Administration &amp; Support</t>
  </si>
  <si>
    <t>S022-006-001-001-001</t>
  </si>
  <si>
    <t>Transport, repair &amp; maintenance</t>
  </si>
  <si>
    <t>S022-006-001-002-001</t>
  </si>
  <si>
    <t>Psycho Social Support</t>
  </si>
  <si>
    <t>S022-006-002-001-001</t>
  </si>
  <si>
    <t>Education Center</t>
  </si>
  <si>
    <t>S022-006-002-002-001</t>
  </si>
  <si>
    <t>Vocational &amp; Support</t>
  </si>
  <si>
    <t>S022-006-002-003-001</t>
  </si>
  <si>
    <t>Religious</t>
  </si>
  <si>
    <t>S022-006-002-004-001</t>
  </si>
  <si>
    <t>Assessment &amp; Development</t>
  </si>
  <si>
    <t>S022-006-003-001-001</t>
  </si>
  <si>
    <t>Medical Services</t>
  </si>
  <si>
    <t>S022-006-004-001-001</t>
  </si>
  <si>
    <t>Security (Shift A, B, C, D)</t>
  </si>
  <si>
    <t>S022-006-005-001-001</t>
  </si>
  <si>
    <t>S022-007-001-001-001</t>
  </si>
  <si>
    <t>S022-007-001-002-001</t>
  </si>
  <si>
    <t>S022-007-001-003-001</t>
  </si>
  <si>
    <t>S022-007-001-004-001</t>
  </si>
  <si>
    <t>Assessment &amp; Case Management</t>
  </si>
  <si>
    <t>S022-007-002-001-001</t>
  </si>
  <si>
    <t>Diversion &amp; Reintegration</t>
  </si>
  <si>
    <t>S022-007-002-002-001</t>
  </si>
  <si>
    <t>Early Intervention</t>
  </si>
  <si>
    <t>S022-007-002-003-001</t>
  </si>
  <si>
    <t>S022-007-002-004-001</t>
  </si>
  <si>
    <t>S022-007-003-001-001</t>
  </si>
  <si>
    <t>Programs</t>
  </si>
  <si>
    <t>S022-007-003-002-001</t>
  </si>
  <si>
    <t>S022-007-004-001-001</t>
  </si>
  <si>
    <t>S022-007-004-002-001</t>
  </si>
  <si>
    <t>Training, Reserach &amp; Advocacy</t>
  </si>
  <si>
    <t>S022-007-005-001-001</t>
  </si>
  <si>
    <t>S023-001-001-001-001</t>
  </si>
  <si>
    <t>S023-001-001-002-001</t>
  </si>
  <si>
    <t>Corporate Affairs</t>
  </si>
  <si>
    <t>S023-001-001-003-001</t>
  </si>
  <si>
    <t>S023-001-001-004-001</t>
  </si>
  <si>
    <t>S023-001-001-005-001</t>
  </si>
  <si>
    <t>S023-001-001-006-001</t>
  </si>
  <si>
    <t>Audit &amp; Legal Services</t>
  </si>
  <si>
    <t>S023-001-001-007-001</t>
  </si>
  <si>
    <t>S023-001-001-008-001</t>
  </si>
  <si>
    <t>S023-001-001-010-001</t>
  </si>
  <si>
    <t>School Admin Services</t>
  </si>
  <si>
    <t>S023-002-007-001-001</t>
  </si>
  <si>
    <t>Breakfast</t>
  </si>
  <si>
    <t>S023-002-007-001-002</t>
  </si>
  <si>
    <t>Pre-school Operations</t>
  </si>
  <si>
    <t>S023-002-007-001-003</t>
  </si>
  <si>
    <t>Primary School Operations</t>
  </si>
  <si>
    <t>S023-002-007-001-004</t>
  </si>
  <si>
    <t>Secondary School Operations</t>
  </si>
  <si>
    <t>S023-002-007-001-005</t>
  </si>
  <si>
    <t>Higher Secondary School operations</t>
  </si>
  <si>
    <t>S023-002-007-001-006</t>
  </si>
  <si>
    <t>Stationery Voucher</t>
  </si>
  <si>
    <t>S023-002-008-001-001</t>
  </si>
  <si>
    <t>Text Books</t>
  </si>
  <si>
    <t>S023-002-008-002-001</t>
  </si>
  <si>
    <t>Secondary and Higher Examination Completion Fees</t>
  </si>
  <si>
    <t>S023-002-008-003-001</t>
  </si>
  <si>
    <t>A level tuition Fees</t>
  </si>
  <si>
    <t>S023-002-008-004-001</t>
  </si>
  <si>
    <t>Preschool Grants</t>
  </si>
  <si>
    <t>S023-002-008-005-001</t>
  </si>
  <si>
    <t>Schooling away from home</t>
  </si>
  <si>
    <t>S023-002-008-006-001</t>
  </si>
  <si>
    <t>Uniform Grant</t>
  </si>
  <si>
    <t>S023-002-008-007-001</t>
  </si>
  <si>
    <t>Repair &amp; Maintenance</t>
  </si>
  <si>
    <t>S023-002-009-001-001</t>
  </si>
  <si>
    <t>Infrastructure Development</t>
  </si>
  <si>
    <t>S023-002-009-001-002</t>
  </si>
  <si>
    <t>Project Monitoring</t>
  </si>
  <si>
    <t>S023-002-009-001-003</t>
  </si>
  <si>
    <t>School Supervision and Assessment</t>
  </si>
  <si>
    <t>S023-003-001-001-001</t>
  </si>
  <si>
    <t>S023-003-001-002-001</t>
  </si>
  <si>
    <t>Higher Education Review</t>
  </si>
  <si>
    <t>S023-003-001-003-001</t>
  </si>
  <si>
    <t>Examination</t>
  </si>
  <si>
    <t>S023-003-002-001-001</t>
  </si>
  <si>
    <t>S023-003-002-002-001</t>
  </si>
  <si>
    <t>S023-004-001-001-001</t>
  </si>
  <si>
    <t>Research, Training &amp; Programs</t>
  </si>
  <si>
    <t>S023-004-001-002-001</t>
  </si>
  <si>
    <t>Case management &amp; intervention</t>
  </si>
  <si>
    <t>S023-004-001-003-001</t>
  </si>
  <si>
    <t>School Health &amp; Safety</t>
  </si>
  <si>
    <t>S023-004-002-001-001</t>
  </si>
  <si>
    <t>Child Protection &amp; Mental Health</t>
  </si>
  <si>
    <t>S023-004-002-002-001</t>
  </si>
  <si>
    <t>S023-005-001-001-001</t>
  </si>
  <si>
    <t>Curriculum Development</t>
  </si>
  <si>
    <t>S023-005-002-001-001</t>
  </si>
  <si>
    <t>Research &amp; Development</t>
  </si>
  <si>
    <t>S023-005-003-001-001</t>
  </si>
  <si>
    <t>Teacher Development</t>
  </si>
  <si>
    <t>S023-005-004-001-001</t>
  </si>
  <si>
    <t>Continuing Education</t>
  </si>
  <si>
    <t>S023-005-005-001-001</t>
  </si>
  <si>
    <t>Early Childhood Development</t>
  </si>
  <si>
    <t>S023-005-006-001-001</t>
  </si>
  <si>
    <t>Chancellery</t>
  </si>
  <si>
    <t>S024-001-001-001-001</t>
  </si>
  <si>
    <t>Front Office &amp; Janitorial Service</t>
  </si>
  <si>
    <t>S024-001-001-002-001</t>
  </si>
  <si>
    <t>Asset &amp; Stock Management</t>
  </si>
  <si>
    <t>S024-001-001-002-002</t>
  </si>
  <si>
    <t>Training &amp; Perfromance Management</t>
  </si>
  <si>
    <t>S024-001-001-003-001</t>
  </si>
  <si>
    <t>Recruitment, Payrol, Expatriate &amp; Administration</t>
  </si>
  <si>
    <t>S024-001-001-003-002</t>
  </si>
  <si>
    <t>Revenue</t>
  </si>
  <si>
    <t>S024-001-001-004-001</t>
  </si>
  <si>
    <t>S024-001-001-004-002</t>
  </si>
  <si>
    <t>Networking Service &amp; Administration</t>
  </si>
  <si>
    <t>S024-001-001-005-001</t>
  </si>
  <si>
    <t>Information Security &amp; IT Support</t>
  </si>
  <si>
    <t>S024-001-001-005-002</t>
  </si>
  <si>
    <t>Purchasing &amp; Payment</t>
  </si>
  <si>
    <t>S024-001-001-006-001</t>
  </si>
  <si>
    <t>Tender</t>
  </si>
  <si>
    <t>S024-001-001-006-002</t>
  </si>
  <si>
    <t>S024-001-001-007-001</t>
  </si>
  <si>
    <t>S024-001-001-007-002</t>
  </si>
  <si>
    <t>Business Development</t>
  </si>
  <si>
    <t>S024-001-001-008-001</t>
  </si>
  <si>
    <t>Marketing</t>
  </si>
  <si>
    <t>S024-001-001-008-002</t>
  </si>
  <si>
    <t>S024-001-001-009-001</t>
  </si>
  <si>
    <t>S024-001-001-009-002</t>
  </si>
  <si>
    <t>Quality Control</t>
  </si>
  <si>
    <t>S024-001-001-010-001</t>
  </si>
  <si>
    <t>Continious Improvement and Accreditation</t>
  </si>
  <si>
    <t>S024-001-001-010-002</t>
  </si>
  <si>
    <t>Research Development</t>
  </si>
  <si>
    <t>S024-002-001-001-001</t>
  </si>
  <si>
    <t>Publications</t>
  </si>
  <si>
    <t>S024-002-001-002-001</t>
  </si>
  <si>
    <t>S024-002-002-001-001</t>
  </si>
  <si>
    <t>Corporate Training</t>
  </si>
  <si>
    <t>S024-002-003-001-001</t>
  </si>
  <si>
    <t>Community Engagement</t>
  </si>
  <si>
    <t>S024-002-003-002-001</t>
  </si>
  <si>
    <t>International Relation</t>
  </si>
  <si>
    <t>S024-002-003-003-001</t>
  </si>
  <si>
    <t>Scholarship &amp; Assistance</t>
  </si>
  <si>
    <t>S024-002-003-004-001</t>
  </si>
  <si>
    <t>Technology Transfer</t>
  </si>
  <si>
    <t>S024-002-004-001-001</t>
  </si>
  <si>
    <t>Innovation</t>
  </si>
  <si>
    <t>S024-002-004-001-002</t>
  </si>
  <si>
    <t>Center for Postgraduate Studies</t>
  </si>
  <si>
    <t>S024-002-005-001-001</t>
  </si>
  <si>
    <t>Admission</t>
  </si>
  <si>
    <t>S024-003-001-001-001</t>
  </si>
  <si>
    <t>Registeration &amp; Progression</t>
  </si>
  <si>
    <t>S024-003-001-002-001</t>
  </si>
  <si>
    <t>Graduation</t>
  </si>
  <si>
    <t>S024-003-001-003-001</t>
  </si>
  <si>
    <t>Student Support Services</t>
  </si>
  <si>
    <t>S024-003-001-004-001</t>
  </si>
  <si>
    <t>Almuni</t>
  </si>
  <si>
    <t>S024-003-001-005-001</t>
  </si>
  <si>
    <t>Student Club &amp; Societies</t>
  </si>
  <si>
    <t>S024-003-001-006-001</t>
  </si>
  <si>
    <t>Counselling Centre</t>
  </si>
  <si>
    <t>S024-003-001-007-001</t>
  </si>
  <si>
    <t>Program Management</t>
  </si>
  <si>
    <t>S024-003-002-001-001</t>
  </si>
  <si>
    <t>Training &amp; Learning Development</t>
  </si>
  <si>
    <t>S024-003-002-002-001</t>
  </si>
  <si>
    <t>Assesment &amp; Examination</t>
  </si>
  <si>
    <t>S024-003-003-001-001</t>
  </si>
  <si>
    <t>Quran</t>
  </si>
  <si>
    <t>S024-003-004-001-001</t>
  </si>
  <si>
    <t>Sunnah</t>
  </si>
  <si>
    <t>S024-003-004-002-001</t>
  </si>
  <si>
    <t>Islamic Sceince</t>
  </si>
  <si>
    <t>S024-003-005-001-001</t>
  </si>
  <si>
    <t>Human Sceince</t>
  </si>
  <si>
    <t>S024-003-005-002-001</t>
  </si>
  <si>
    <t>Legal Clinic</t>
  </si>
  <si>
    <t>S024-003-006-001-001</t>
  </si>
  <si>
    <t>Law</t>
  </si>
  <si>
    <t>S024-003-006-002-002</t>
  </si>
  <si>
    <t>Shariah</t>
  </si>
  <si>
    <t>S024-003-006-003-003</t>
  </si>
  <si>
    <t>Linguistic</t>
  </si>
  <si>
    <t>S024-003-007-001-001</t>
  </si>
  <si>
    <t>Language</t>
  </si>
  <si>
    <t>S024-003-007-002-002</t>
  </si>
  <si>
    <t>Education Studies</t>
  </si>
  <si>
    <t>S024-003-008-001-001</t>
  </si>
  <si>
    <t>Arts &amp; Humanities</t>
  </si>
  <si>
    <t>S024-003-008-002-002</t>
  </si>
  <si>
    <t>Economic &amp; Finance</t>
  </si>
  <si>
    <t>S024-003-009-001-001</t>
  </si>
  <si>
    <t>Management</t>
  </si>
  <si>
    <t>S024-003-009-002-002</t>
  </si>
  <si>
    <t>University Preperation</t>
  </si>
  <si>
    <t>S024-003-010-001-001</t>
  </si>
  <si>
    <t>S024-003-010-002-002</t>
  </si>
  <si>
    <t>Climate &amp; Ecosystem Science</t>
  </si>
  <si>
    <t>S024-003-011-001-001</t>
  </si>
  <si>
    <t>S024-003-011-002-002</t>
  </si>
  <si>
    <t>Chancellor, VC &amp; Secretariate</t>
  </si>
  <si>
    <t>S025-001-001-001-001</t>
  </si>
  <si>
    <t>Operations and administrative services</t>
  </si>
  <si>
    <t>S025-001-001-002-001</t>
  </si>
  <si>
    <t>S025-001-001-003-001</t>
  </si>
  <si>
    <t>S025-001-001-004-001</t>
  </si>
  <si>
    <t>External Relation</t>
  </si>
  <si>
    <t>S025-001-001-005-001</t>
  </si>
  <si>
    <t>S025-001-001-006-001</t>
  </si>
  <si>
    <t>Information Technology Services</t>
  </si>
  <si>
    <t>S025-001-001-007-001</t>
  </si>
  <si>
    <t>Project Development &amp; Execution</t>
  </si>
  <si>
    <t>S025-001-001-008-001</t>
  </si>
  <si>
    <t>Benefit Monitoring &amp; Evaluation</t>
  </si>
  <si>
    <t>S025-001-001-008-002</t>
  </si>
  <si>
    <t>Corporate Planning</t>
  </si>
  <si>
    <t>S025-001-001-009-001</t>
  </si>
  <si>
    <t>Enterprises/Companies</t>
  </si>
  <si>
    <t>S025-001-001-009-002</t>
  </si>
  <si>
    <t>Endowment &amp; Investments</t>
  </si>
  <si>
    <t>S025-001-001-009-003</t>
  </si>
  <si>
    <t>Applic., Regis., Progression, Graduation, Admin. &amp; Records</t>
  </si>
  <si>
    <t>S025-002-001-001-001</t>
  </si>
  <si>
    <t>Std. Welfare, Grad. Placemnt, Clubs &amp; Societ., Recr. &amp; Sprts</t>
  </si>
  <si>
    <t>S025-002-002-001-001</t>
  </si>
  <si>
    <t>Learning &amp; Financial Support</t>
  </si>
  <si>
    <t>S025-002-002-002-001</t>
  </si>
  <si>
    <t>Alumnus Tracers &amp; Alumni Association</t>
  </si>
  <si>
    <t>S025-002-002-003-001</t>
  </si>
  <si>
    <t>Curriculum Coordination, Academic Outreach/Extension</t>
  </si>
  <si>
    <t>S025-002-003-001-001</t>
  </si>
  <si>
    <t>Academic Policy &amp; Planning</t>
  </si>
  <si>
    <t>S025-002-004-001-001</t>
  </si>
  <si>
    <t>Research &amp; Publications</t>
  </si>
  <si>
    <t>S025-002-005-001-001</t>
  </si>
  <si>
    <t>Teaching &amp; Learning Development</t>
  </si>
  <si>
    <t>S025-002-006-001-001</t>
  </si>
  <si>
    <t>S025-003-001-001-001</t>
  </si>
  <si>
    <t>S025-003-002-001-001</t>
  </si>
  <si>
    <t>S025-003-003-001-001</t>
  </si>
  <si>
    <t>S025-003-004-001-001</t>
  </si>
  <si>
    <t>S025-003-005-001-001</t>
  </si>
  <si>
    <t>S025-003-006-001-001</t>
  </si>
  <si>
    <t>S025-003-007-001-001</t>
  </si>
  <si>
    <t>S025-003-008-001-001</t>
  </si>
  <si>
    <t>S025-003-009-001-001</t>
  </si>
  <si>
    <t>S025-003-010-001-001</t>
  </si>
  <si>
    <t>S025-003-011-001-001</t>
  </si>
  <si>
    <t>S025-003-012-001-001</t>
  </si>
  <si>
    <t>S025-003-013-001-001</t>
  </si>
  <si>
    <t>S026-001-001-001-001</t>
  </si>
  <si>
    <t>S026-001-001-002-001</t>
  </si>
  <si>
    <t>Procurement &amp; Maintenance</t>
  </si>
  <si>
    <t>S026-001-001-003-001</t>
  </si>
  <si>
    <t>S026-001-001-004-001</t>
  </si>
  <si>
    <t>HR &amp; Training Admin</t>
  </si>
  <si>
    <t>S026-001-001-005-001</t>
  </si>
  <si>
    <t>S026-001-001-006-001</t>
  </si>
  <si>
    <t>Policy &amp; planning</t>
  </si>
  <si>
    <t>S026-001-002-001-001</t>
  </si>
  <si>
    <t>S026-001-002-002-001</t>
  </si>
  <si>
    <t>Public Information Unit</t>
  </si>
  <si>
    <t>S026-001-002-003-001</t>
  </si>
  <si>
    <t>Japan</t>
  </si>
  <si>
    <t>S026-002-001-001-001</t>
  </si>
  <si>
    <t>China</t>
  </si>
  <si>
    <t>S026-002-001-002-001</t>
  </si>
  <si>
    <t>East and Central</t>
  </si>
  <si>
    <t>S026-002-001-003-001</t>
  </si>
  <si>
    <t>Middle East &amp; Africa</t>
  </si>
  <si>
    <t>S026-002-001-004-001</t>
  </si>
  <si>
    <t>Europe</t>
  </si>
  <si>
    <t>S026-002-002-001-001</t>
  </si>
  <si>
    <t>Americas &amp; Oceania</t>
  </si>
  <si>
    <t>S026-002-002-002-001</t>
  </si>
  <si>
    <t>UN</t>
  </si>
  <si>
    <t>S026-002-003-001-001</t>
  </si>
  <si>
    <t>Small states, Climate Change, &amp; sustainable development</t>
  </si>
  <si>
    <t>S026-002-003-002-001</t>
  </si>
  <si>
    <t>Human Rights</t>
  </si>
  <si>
    <t>S026-002-003-003-001</t>
  </si>
  <si>
    <t>International Organization</t>
  </si>
  <si>
    <t>S026-002-003-004-001</t>
  </si>
  <si>
    <t>India</t>
  </si>
  <si>
    <t>S026-003-001-001-001</t>
  </si>
  <si>
    <t>South Asia</t>
  </si>
  <si>
    <t>S026-003-001-002-001</t>
  </si>
  <si>
    <t>SAARC</t>
  </si>
  <si>
    <t>S026-003-001-003-001</t>
  </si>
  <si>
    <t>Other IOR</t>
  </si>
  <si>
    <t>S026-003-001-004-001</t>
  </si>
  <si>
    <t>Multilateral Assistance</t>
  </si>
  <si>
    <t>S026-004-001-001-001</t>
  </si>
  <si>
    <t>Bilateral Assistance</t>
  </si>
  <si>
    <t>S026-004-001-002-001</t>
  </si>
  <si>
    <t>S026-004-001-003-001</t>
  </si>
  <si>
    <t>Privileges &amp; Immunities</t>
  </si>
  <si>
    <t>S026-004-002-001-001</t>
  </si>
  <si>
    <t>Visits &amp; Ceremonies</t>
  </si>
  <si>
    <t>S026-004-002-002-001</t>
  </si>
  <si>
    <t>Consular Issues</t>
  </si>
  <si>
    <t>S026-005-001-001-001</t>
  </si>
  <si>
    <t>Training &amp; Professional Development</t>
  </si>
  <si>
    <t>S026-005-002-001-001</t>
  </si>
  <si>
    <t>Outreach &amp; Advocacy</t>
  </si>
  <si>
    <t>S026-005-002-002-001</t>
  </si>
  <si>
    <t>Library &amp; Publication</t>
  </si>
  <si>
    <t>S026-005-002-003-001</t>
  </si>
  <si>
    <t>S027-001-001-001-001</t>
  </si>
  <si>
    <t>Public Relations, Media &amp; Coordination</t>
  </si>
  <si>
    <t>S027-001-001-008-001</t>
  </si>
  <si>
    <t>Administration &amp; Support Services</t>
  </si>
  <si>
    <t>S027-001-002-001-001</t>
  </si>
  <si>
    <t>Infrastructure Development &amp; Maintenance</t>
  </si>
  <si>
    <t>S027-001-002-002-001</t>
  </si>
  <si>
    <t>Accounting &amp; Finance</t>
  </si>
  <si>
    <t>S027-001-003-001-001</t>
  </si>
  <si>
    <t>Foreign Recruitment</t>
  </si>
  <si>
    <t>S027-001-004-001-001</t>
  </si>
  <si>
    <t>HR Planning, Personnel Management &amp; Local recruitment</t>
  </si>
  <si>
    <t>S027-001-004-002-001</t>
  </si>
  <si>
    <t>S027-001-005-001-001</t>
  </si>
  <si>
    <t>Legal Affairs (Drafting/Case Handling)</t>
  </si>
  <si>
    <t>S027-001-006-001-001</t>
  </si>
  <si>
    <t>Procurement Management</t>
  </si>
  <si>
    <t>S027-001-007-001-001</t>
  </si>
  <si>
    <t>Stock Management</t>
  </si>
  <si>
    <t>S027-001-007-002-001</t>
  </si>
  <si>
    <t>Information Technology Division</t>
  </si>
  <si>
    <t>S027-001-008-001-001</t>
  </si>
  <si>
    <t>Policy Implementation, Monitoring &amp; International Relations</t>
  </si>
  <si>
    <t>S027-002-001-001-001</t>
  </si>
  <si>
    <t>Emergency Medical Services Management</t>
  </si>
  <si>
    <t>S027-003-001-002-001</t>
  </si>
  <si>
    <t>Health Services Management &amp; Development</t>
  </si>
  <si>
    <t>S027-004-001-001-001</t>
  </si>
  <si>
    <t>Biomedical Engineering</t>
  </si>
  <si>
    <t>S027-004-001-002-001</t>
  </si>
  <si>
    <t>HA Atoll Hospital</t>
  </si>
  <si>
    <t>S027-004-003-001-001</t>
  </si>
  <si>
    <t>HA Hoarafushi HC</t>
  </si>
  <si>
    <t>S027-004-003-002-001</t>
  </si>
  <si>
    <t>HA Aaminaadhiyoo HC</t>
  </si>
  <si>
    <t>S027-004-003-003-001</t>
  </si>
  <si>
    <t>HA Kela HC</t>
  </si>
  <si>
    <t>S027-004-003-004-001</t>
  </si>
  <si>
    <t>HA Baarashu HC</t>
  </si>
  <si>
    <t>S027-004-003-005-001</t>
  </si>
  <si>
    <t>HA Thuraakunu HC</t>
  </si>
  <si>
    <t>S027-004-003-006-001</t>
  </si>
  <si>
    <t>HA Uligamu HC</t>
  </si>
  <si>
    <t>S027-004-003-007-001</t>
  </si>
  <si>
    <t>HA Molhadhoo HC</t>
  </si>
  <si>
    <t>S027-004-003-008-001</t>
  </si>
  <si>
    <t>HA Vashafaru HC</t>
  </si>
  <si>
    <t>S027-004-003-009-001</t>
  </si>
  <si>
    <t>HA Filladhoo HC</t>
  </si>
  <si>
    <t>S027-004-003-010-001</t>
  </si>
  <si>
    <t>HA Maarandhoo HC</t>
  </si>
  <si>
    <t>S027-004-003-011-001</t>
  </si>
  <si>
    <t>HA Thakandhoo HC</t>
  </si>
  <si>
    <t>S027-004-003-012-001</t>
  </si>
  <si>
    <t>HA Muraidhoo HC</t>
  </si>
  <si>
    <t>S027-004-003-013-001</t>
  </si>
  <si>
    <t>HA Utheem HC</t>
  </si>
  <si>
    <t>S027-004-003-014-001</t>
  </si>
  <si>
    <t>Sh Atoll Hospital</t>
  </si>
  <si>
    <t>S027-004-004-001-001</t>
  </si>
  <si>
    <t>Sh Komandoo HC</t>
  </si>
  <si>
    <t>S027-004-004-002-001</t>
  </si>
  <si>
    <t>Sh Milandhoo HC</t>
  </si>
  <si>
    <t>S027-004-004-003-001</t>
  </si>
  <si>
    <t>Sh Feydhoo HC</t>
  </si>
  <si>
    <t>S027-004-004-004-001</t>
  </si>
  <si>
    <t>Sh Kanditheem HC</t>
  </si>
  <si>
    <t>S027-004-004-005-001</t>
  </si>
  <si>
    <t>Sh Foakaidhoo HC</t>
  </si>
  <si>
    <t>S027-004-004-006-001</t>
  </si>
  <si>
    <t>Sh Noomaraa HC</t>
  </si>
  <si>
    <t>S027-004-004-007-001</t>
  </si>
  <si>
    <t>Sh Goidhoo HC</t>
  </si>
  <si>
    <t>S027-004-004-008-001</t>
  </si>
  <si>
    <t>Sh Feevah HC</t>
  </si>
  <si>
    <t>S027-004-004-009-001</t>
  </si>
  <si>
    <t>Sh Bilehfahi HC</t>
  </si>
  <si>
    <t>S027-004-004-010-001</t>
  </si>
  <si>
    <t>Sh Narudhoo HC</t>
  </si>
  <si>
    <t>S027-004-004-011-001</t>
  </si>
  <si>
    <t>Sh Maroshi HC</t>
  </si>
  <si>
    <t>S027-004-004-012-001</t>
  </si>
  <si>
    <t>Sh Lhaimagu HC</t>
  </si>
  <si>
    <t>S027-004-004-013-001</t>
  </si>
  <si>
    <t>Sh Maaugoodhoo HC</t>
  </si>
  <si>
    <t>S027-004-004-014-001</t>
  </si>
  <si>
    <t>N Atoll Hospital</t>
  </si>
  <si>
    <t>S027-004-005-001-001</t>
  </si>
  <si>
    <t>N Kendhikulhudhoo HC</t>
  </si>
  <si>
    <t>S027-004-005-002-001</t>
  </si>
  <si>
    <t>N Holhudhoo HC</t>
  </si>
  <si>
    <t>S027-004-005-003-001</t>
  </si>
  <si>
    <t>N Velidhoo HC</t>
  </si>
  <si>
    <t>S027-004-005-004-001</t>
  </si>
  <si>
    <t>N Landhoo HC</t>
  </si>
  <si>
    <t>S027-004-005-005-001</t>
  </si>
  <si>
    <t>N Maafaru HC</t>
  </si>
  <si>
    <t>S027-004-005-006-001</t>
  </si>
  <si>
    <t>N Lhohi HC</t>
  </si>
  <si>
    <t>S027-004-005-007-001</t>
  </si>
  <si>
    <t>N Miladhoo HC</t>
  </si>
  <si>
    <t>S027-004-005-008-001</t>
  </si>
  <si>
    <t>N Magoodhoo HC</t>
  </si>
  <si>
    <t>S027-004-005-009-001</t>
  </si>
  <si>
    <t>N Henbadhoo HC</t>
  </si>
  <si>
    <t>S027-004-005-010-001</t>
  </si>
  <si>
    <t>N Kudafari HC</t>
  </si>
  <si>
    <t>S027-004-005-011-001</t>
  </si>
  <si>
    <t>N Maalhendhoo HC</t>
  </si>
  <si>
    <t>S027-004-005-012-001</t>
  </si>
  <si>
    <t>N Fohdhoo HC</t>
  </si>
  <si>
    <t>S027-004-005-013-001</t>
  </si>
  <si>
    <t>B Atoll Hospital</t>
  </si>
  <si>
    <t>S027-004-006-001-001</t>
  </si>
  <si>
    <t>B Dharavandhoo HC</t>
  </si>
  <si>
    <t>S027-004-006-002-001</t>
  </si>
  <si>
    <t>B Thulhaadhoo HC</t>
  </si>
  <si>
    <t>S027-004-006-003-001</t>
  </si>
  <si>
    <t>B Kendhoo HC</t>
  </si>
  <si>
    <t>S027-004-006-004-001</t>
  </si>
  <si>
    <t>B Hithadhoo HC</t>
  </si>
  <si>
    <t>S027-004-006-005-001</t>
  </si>
  <si>
    <t>B Goidhoo HC</t>
  </si>
  <si>
    <t>S027-004-006-006-001</t>
  </si>
  <si>
    <t>B Maalhohu HC</t>
  </si>
  <si>
    <t>S027-004-006-007-001</t>
  </si>
  <si>
    <t>B Kudalikilu HC</t>
  </si>
  <si>
    <t>S027-004-006-008-001</t>
  </si>
  <si>
    <t>B Kamadhoo HC</t>
  </si>
  <si>
    <t>S027-004-006-009-001</t>
  </si>
  <si>
    <t>B Dhonfanu HC</t>
  </si>
  <si>
    <t>S027-004-006-010-001</t>
  </si>
  <si>
    <t>B Kihaadhoo HC</t>
  </si>
  <si>
    <t>S027-004-006-011-001</t>
  </si>
  <si>
    <t>B Fehendhoo HC</t>
  </si>
  <si>
    <t>S027-004-006-012-001</t>
  </si>
  <si>
    <t>B Fulhadhoo HC</t>
  </si>
  <si>
    <t>S027-004-006-013-001</t>
  </si>
  <si>
    <t>Lh Atoll Hospital</t>
  </si>
  <si>
    <t>S027-004-007-001-001</t>
  </si>
  <si>
    <t>Lh Hinnavru HC</t>
  </si>
  <si>
    <t>S027-004-007-002-001</t>
  </si>
  <si>
    <t>Lh Kurendhoo</t>
  </si>
  <si>
    <t>S027-004-007-003-001</t>
  </si>
  <si>
    <t>Lh Olhuvelifushi</t>
  </si>
  <si>
    <t>S027-004-007-004-001</t>
  </si>
  <si>
    <t>K Thulusdhoo HC</t>
  </si>
  <si>
    <t>S027-004-008-001-001</t>
  </si>
  <si>
    <t>K Hinamafushi HC</t>
  </si>
  <si>
    <t>S027-004-008-002-001</t>
  </si>
  <si>
    <t>K Maafushi HC</t>
  </si>
  <si>
    <t>S027-004-008-003-001</t>
  </si>
  <si>
    <t>K Kaashidhoo HC</t>
  </si>
  <si>
    <t>S027-004-008-004-001</t>
  </si>
  <si>
    <t>K Guraidhoo HC</t>
  </si>
  <si>
    <t>S027-004-008-005-001</t>
  </si>
  <si>
    <t>K Gaafaru HC</t>
  </si>
  <si>
    <t>S027-004-008-006-001</t>
  </si>
  <si>
    <t>K Dhifushi HC</t>
  </si>
  <si>
    <t>S027-004-008-007-001</t>
  </si>
  <si>
    <t>K Huraa HC</t>
  </si>
  <si>
    <t>S027-004-008-008-001</t>
  </si>
  <si>
    <t>K Gulhee HC</t>
  </si>
  <si>
    <t>S027-004-008-009-001</t>
  </si>
  <si>
    <t>AA Atoll Hospital</t>
  </si>
  <si>
    <t>S027-004-009-001-001</t>
  </si>
  <si>
    <t>AA Thoddo HC</t>
  </si>
  <si>
    <t>S027-004-009-002-001</t>
  </si>
  <si>
    <t>AA Mathiveri HC</t>
  </si>
  <si>
    <t>S027-004-009-003-001</t>
  </si>
  <si>
    <t>AA Ukulhas HC</t>
  </si>
  <si>
    <t>S027-004-009-004-001</t>
  </si>
  <si>
    <t>AA Bodufulhadhoo HC</t>
  </si>
  <si>
    <t>S027-004-009-005-001</t>
  </si>
  <si>
    <t>AA Feridhoo HC</t>
  </si>
  <si>
    <t>S027-004-009-006-001</t>
  </si>
  <si>
    <t>AA Maalhos HC</t>
  </si>
  <si>
    <t>S027-004-009-007-001</t>
  </si>
  <si>
    <t>AA Himandhoo HC</t>
  </si>
  <si>
    <t>S027-004-009-008-001</t>
  </si>
  <si>
    <t>ADh Atoll Hospital</t>
  </si>
  <si>
    <t>S027-004-010-001-001</t>
  </si>
  <si>
    <t>ADh Maamigili HC</t>
  </si>
  <si>
    <t>S027-004-010-002-001</t>
  </si>
  <si>
    <t>ADh Hanyaameedhoo HC</t>
  </si>
  <si>
    <t>S027-004-010-003-001</t>
  </si>
  <si>
    <t>ADh Omadhoo HC</t>
  </si>
  <si>
    <t>S027-004-010-004-001</t>
  </si>
  <si>
    <t>ADh Kunburudhoo HC</t>
  </si>
  <si>
    <t>S027-004-010-005-001</t>
  </si>
  <si>
    <t>ADh Mandhoo HC</t>
  </si>
  <si>
    <t>S027-004-010-006-001</t>
  </si>
  <si>
    <t>ADh Dhagethi HC</t>
  </si>
  <si>
    <t>S027-004-010-007-001</t>
  </si>
  <si>
    <t>ADh Dhiguradhu HC</t>
  </si>
  <si>
    <t>S027-004-010-008-001</t>
  </si>
  <si>
    <t>ADh Dhidhoo HC</t>
  </si>
  <si>
    <t>S027-004-010-009-001</t>
  </si>
  <si>
    <t>ADh Fenfushi HC</t>
  </si>
  <si>
    <t>S027-004-010-010-001</t>
  </si>
  <si>
    <t>V Atoll Hospital</t>
  </si>
  <si>
    <t>S027-004-011-001-001</t>
  </si>
  <si>
    <t>V Keyodhoo HC</t>
  </si>
  <si>
    <t>S027-004-011-002-001</t>
  </si>
  <si>
    <t>V Fulidhoo HC</t>
  </si>
  <si>
    <t>S027-004-011-003-001</t>
  </si>
  <si>
    <t>V Rakeedhoo HC</t>
  </si>
  <si>
    <t>S027-004-011-004-001</t>
  </si>
  <si>
    <t>V Thinadhoo HC</t>
  </si>
  <si>
    <t>S027-004-011-005-001</t>
  </si>
  <si>
    <t>M Mulee Regional Hospital</t>
  </si>
  <si>
    <t>S027-004-012-001-001</t>
  </si>
  <si>
    <t>M Mulaku HC</t>
  </si>
  <si>
    <t>S027-004-012-002-001</t>
  </si>
  <si>
    <t>M Dhiggaru HC</t>
  </si>
  <si>
    <t>S027-004-012-003-001</t>
  </si>
  <si>
    <t>M Kolhufushi HC</t>
  </si>
  <si>
    <t>S027-004-012-004-001</t>
  </si>
  <si>
    <t>M Maduvari HC</t>
  </si>
  <si>
    <t>S027-004-012-005-001</t>
  </si>
  <si>
    <t>M Naalafushi HC</t>
  </si>
  <si>
    <t>S027-004-012-006-001</t>
  </si>
  <si>
    <t>M Raimandhoo HC</t>
  </si>
  <si>
    <t>S027-004-012-007-001</t>
  </si>
  <si>
    <t>M Veyvah HC</t>
  </si>
  <si>
    <t>S027-004-012-008-001</t>
  </si>
  <si>
    <t>F Atoll Hospital</t>
  </si>
  <si>
    <t>S027-004-013-001-001</t>
  </si>
  <si>
    <t>F Feeali HC</t>
  </si>
  <si>
    <t>S027-004-013-002-001</t>
  </si>
  <si>
    <t>F Bilehdhoo HC</t>
  </si>
  <si>
    <t>S027-004-013-003-001</t>
  </si>
  <si>
    <t>F Magoodhoo HC</t>
  </si>
  <si>
    <t>S027-004-013-004-001</t>
  </si>
  <si>
    <t>F Dharaboodhoo</t>
  </si>
  <si>
    <t>S027-004-013-005-001</t>
  </si>
  <si>
    <t>Dh Atoll Hospital</t>
  </si>
  <si>
    <t>S027-004-014-001-001</t>
  </si>
  <si>
    <t>Dh Meedhoo HC</t>
  </si>
  <si>
    <t>S027-004-014-002-001</t>
  </si>
  <si>
    <t>Dh Bandidhoo HC</t>
  </si>
  <si>
    <t>S027-004-014-003-001</t>
  </si>
  <si>
    <t>Dh Rinbidhoo HC</t>
  </si>
  <si>
    <t>S027-004-014-004-001</t>
  </si>
  <si>
    <t>Dh Hulhudhelee HC</t>
  </si>
  <si>
    <t>S027-004-014-005-001</t>
  </si>
  <si>
    <t>Dh Maaeboodhoo HC</t>
  </si>
  <si>
    <t>S027-004-014-006-001</t>
  </si>
  <si>
    <t>Th Atoll Hospital</t>
  </si>
  <si>
    <t>S027-004-015-001-001</t>
  </si>
  <si>
    <t>Th Vilifushi HC</t>
  </si>
  <si>
    <t>S027-004-015-002-001</t>
  </si>
  <si>
    <t>Th Guraidhoo HC</t>
  </si>
  <si>
    <t>S027-004-015-003-001</t>
  </si>
  <si>
    <t>Th Hirilandhoo HC</t>
  </si>
  <si>
    <t>S027-004-015-004-001</t>
  </si>
  <si>
    <t>Th Thinarafushi HC</t>
  </si>
  <si>
    <t>S027-004-015-005-001</t>
  </si>
  <si>
    <t>Th Madifushi HC</t>
  </si>
  <si>
    <t>S027-004-015-006-001</t>
  </si>
  <si>
    <t>Th Kinbidhoo HC</t>
  </si>
  <si>
    <t>S027-004-015-007-001</t>
  </si>
  <si>
    <t>Th Burunee HC</t>
  </si>
  <si>
    <t>S027-004-015-008-001</t>
  </si>
  <si>
    <t>Th Dhiyamigili HC</t>
  </si>
  <si>
    <t>S027-004-015-009-001</t>
  </si>
  <si>
    <t>Th Kandoodhoo HC</t>
  </si>
  <si>
    <t>S027-004-015-010-001</t>
  </si>
  <si>
    <t>Th Vandhoo HC</t>
  </si>
  <si>
    <t>S027-004-015-011-001</t>
  </si>
  <si>
    <t>Th Gaadhifushi HC</t>
  </si>
  <si>
    <t>S027-004-015-012-001</t>
  </si>
  <si>
    <t>Th Omadhoo HC</t>
  </si>
  <si>
    <t>S027-004-015-013-001</t>
  </si>
  <si>
    <t>GA Atoll Hospital</t>
  </si>
  <si>
    <t>S027-004-016-001-001</t>
  </si>
  <si>
    <t>GA Dhandhoo HC</t>
  </si>
  <si>
    <t>S027-004-016-002-001</t>
  </si>
  <si>
    <t>GA Kolamaafushi HC</t>
  </si>
  <si>
    <t>S027-004-016-003-001</t>
  </si>
  <si>
    <t>GA Dhewadhoo HC</t>
  </si>
  <si>
    <t>S027-004-016-004-001</t>
  </si>
  <si>
    <t>GA Gemanafushi HC</t>
  </si>
  <si>
    <t>S027-004-016-005-001</t>
  </si>
  <si>
    <t>GA Maamendhoo HC</t>
  </si>
  <si>
    <t>S027-004-016-006-001</t>
  </si>
  <si>
    <t>GA Kondey HC</t>
  </si>
  <si>
    <t>S027-004-016-007-001</t>
  </si>
  <si>
    <t>GA Nilandhoo HC</t>
  </si>
  <si>
    <t>S027-004-016-008-001</t>
  </si>
  <si>
    <t>GA Kanduhulhudhoo HC</t>
  </si>
  <si>
    <t>S027-004-016-009-001</t>
  </si>
  <si>
    <t>Fuvahmulah Hospital</t>
  </si>
  <si>
    <t>S027-004-017-001-001</t>
  </si>
  <si>
    <t>Quality Assurance &amp; Regulation</t>
  </si>
  <si>
    <t>S027-005-001-001-001</t>
  </si>
  <si>
    <t>Maldives Medical &amp; Dental Council</t>
  </si>
  <si>
    <t>S027-006-001-001-001</t>
  </si>
  <si>
    <t>Maldives Nursing And Midwifery Council</t>
  </si>
  <si>
    <t>S027-006-001-001-002</t>
  </si>
  <si>
    <t>Allied Health Council</t>
  </si>
  <si>
    <t>S027-006-001-001-003</t>
  </si>
  <si>
    <t>Complimentary Medicine Boards</t>
  </si>
  <si>
    <t>S027-006-001-001-004</t>
  </si>
  <si>
    <t>PH Preparedness Surveillance, Epidemiology &amp; IBH</t>
  </si>
  <si>
    <t>S027-008-001-001-001</t>
  </si>
  <si>
    <t>Communicable Disease Prevention and Control</t>
  </si>
  <si>
    <t>S027-008-002-001-001</t>
  </si>
  <si>
    <t>Health Promotion and Chronic Disease</t>
  </si>
  <si>
    <t>S027-008-003-001-001</t>
  </si>
  <si>
    <t>Population and reproductive health</t>
  </si>
  <si>
    <t>S027-008-004-001-001</t>
  </si>
  <si>
    <t>Environmental and Occupational Health</t>
  </si>
  <si>
    <t>S027-008-005-001-001</t>
  </si>
  <si>
    <t>Dhamana Veshi</t>
  </si>
  <si>
    <t>S027-008-006-001-001</t>
  </si>
  <si>
    <t>Public Health Inspections</t>
  </si>
  <si>
    <t>S027-008-007-001-001</t>
  </si>
  <si>
    <t>S027-008-008-001-001</t>
  </si>
  <si>
    <t>Medicine and Therapeutic Goods Regulation &amp; Enforcement</t>
  </si>
  <si>
    <t>S027-009-001-001-001</t>
  </si>
  <si>
    <t>National health laboratory services</t>
  </si>
  <si>
    <t>S027-009-002-001-001</t>
  </si>
  <si>
    <t>Food Regulatory Control Services</t>
  </si>
  <si>
    <t>S027-009-003-001-001</t>
  </si>
  <si>
    <t>Administration and Support Service</t>
  </si>
  <si>
    <t>S027-009-004-001-001</t>
  </si>
  <si>
    <t>Central Blood Bank</t>
  </si>
  <si>
    <t>S027-010-001-001-001</t>
  </si>
  <si>
    <t>Thalassemia and other haemominoglopathys Centre</t>
  </si>
  <si>
    <t>S027-010-002-001-001</t>
  </si>
  <si>
    <t>Maldives Blood Services</t>
  </si>
  <si>
    <t>S027-010-003-001-001</t>
  </si>
  <si>
    <t>Laboratory &amp; Research Division</t>
  </si>
  <si>
    <t>S027-010-004-001-001</t>
  </si>
  <si>
    <t>Quality Improvement &amp; Monitoring</t>
  </si>
  <si>
    <t>S027-010-005-001-001</t>
  </si>
  <si>
    <t>Health Information, Research &amp; Statistics</t>
  </si>
  <si>
    <t>S027-011-001-001-001</t>
  </si>
  <si>
    <t>Executive Services</t>
  </si>
  <si>
    <t>S027-012-001-001-001</t>
  </si>
  <si>
    <t>NDA Board</t>
  </si>
  <si>
    <t>S027-012-001-002-001</t>
  </si>
  <si>
    <t>General Administration section</t>
  </si>
  <si>
    <t>S027-012-001-003-001</t>
  </si>
  <si>
    <t>Finance &amp; Accounts Section</t>
  </si>
  <si>
    <t>S027-012-001-004-001</t>
  </si>
  <si>
    <t>S027-012-001-005-001</t>
  </si>
  <si>
    <t>Trust &amp; Committees</t>
  </si>
  <si>
    <t>S027-012-001-006-001</t>
  </si>
  <si>
    <t>Information Technology Section</t>
  </si>
  <si>
    <t>S027-012-001-007-001</t>
  </si>
  <si>
    <t>Procurement Section</t>
  </si>
  <si>
    <t>S027-012-001-008-001</t>
  </si>
  <si>
    <t>S027-012-001-009-001</t>
  </si>
  <si>
    <t>Treatment Management Section</t>
  </si>
  <si>
    <t>S027-012-002-001-001</t>
  </si>
  <si>
    <t>Laboratory Services</t>
  </si>
  <si>
    <t>S027-012-002-001-018</t>
  </si>
  <si>
    <t>Assessment Section</t>
  </si>
  <si>
    <t>S027-012-002-003-001</t>
  </si>
  <si>
    <t>Re-integration</t>
  </si>
  <si>
    <t>S027-012-002-004-001</t>
  </si>
  <si>
    <t>Drug Treatment &amp; Rehabilitation Centre - K.Himmafushi</t>
  </si>
  <si>
    <t>S027-012-002-005-001</t>
  </si>
  <si>
    <t>Central Detoxification Centre - K.Himmafushi</t>
  </si>
  <si>
    <t>S027-012-002-006-001</t>
  </si>
  <si>
    <t>Women's Drug Treatment &amp; Rehab. Centre -K.Himmafushi</t>
  </si>
  <si>
    <t>S027-012-002-007-001</t>
  </si>
  <si>
    <t>Women's Drug Treatment &amp; Rehabilitation Centre -Hulhumale</t>
  </si>
  <si>
    <t>S027-012-002-008-001</t>
  </si>
  <si>
    <t>Drug Detoxification And Community Rehab. Centre - Addu</t>
  </si>
  <si>
    <t>S027-012-002-009-001</t>
  </si>
  <si>
    <t>Drug Detoxification And Community Rehab. Centre -Thinadhoo</t>
  </si>
  <si>
    <t>S027-012-002-010-001</t>
  </si>
  <si>
    <t>Drug Detoxification &amp; Community Rehab. Centre - Hanimaadhoo</t>
  </si>
  <si>
    <t>S027-012-002-011-001</t>
  </si>
  <si>
    <t>Drug Detoxification And Community Rehab. Centre - Fuvahmulah</t>
  </si>
  <si>
    <t>S027-012-002-012-001</t>
  </si>
  <si>
    <t>Community Service Centre - Male</t>
  </si>
  <si>
    <t>S027-012-002-013-001</t>
  </si>
  <si>
    <t>Drug Offender Remand Centre - K.Gulheefalhu</t>
  </si>
  <si>
    <t>S027-012-002-014-001</t>
  </si>
  <si>
    <t>Halfway House and Hulhumale Community Service</t>
  </si>
  <si>
    <t>S027-012-002-015-001</t>
  </si>
  <si>
    <t>Children's Drug Treatment &amp; Rehabilitation Centre</t>
  </si>
  <si>
    <t>S027-012-002-016-001</t>
  </si>
  <si>
    <t>Outpatient Community Rehabilitation Center - Dhagena</t>
  </si>
  <si>
    <t>S027-012-002-017-001</t>
  </si>
  <si>
    <t>Vilunu -S.Hulhumeedhoo</t>
  </si>
  <si>
    <t>S027-012-002-018-001</t>
  </si>
  <si>
    <t>Gagan Clinic- Male</t>
  </si>
  <si>
    <t>S027-012-002-019-001</t>
  </si>
  <si>
    <t>Temporary Detox Galolhu Dhandu</t>
  </si>
  <si>
    <t>S027-012-002-020-001</t>
  </si>
  <si>
    <t>Temporary Detox Hulhumale phase 2</t>
  </si>
  <si>
    <t>S027-012-002-021-001</t>
  </si>
  <si>
    <t>Program Development Section</t>
  </si>
  <si>
    <t>S027-012-003-002-001</t>
  </si>
  <si>
    <t>Prevenstion and Awarness Section</t>
  </si>
  <si>
    <t>S027-012-003-003-001</t>
  </si>
  <si>
    <t>Statistics &amp; Publications Section</t>
  </si>
  <si>
    <t>S027-012-003-004-001</t>
  </si>
  <si>
    <t>National Research Institute for Addiction &amp; Rehab. Studies</t>
  </si>
  <si>
    <t>S027-012-003-004-002</t>
  </si>
  <si>
    <t>Quality Assurance Section</t>
  </si>
  <si>
    <t>S027-012-004-001-001</t>
  </si>
  <si>
    <t>MH Service Implementation</t>
  </si>
  <si>
    <t>S027-013-001-001-001</t>
  </si>
  <si>
    <t>Prevention &amp; Promotion</t>
  </si>
  <si>
    <t>S027-013-001-002-001</t>
  </si>
  <si>
    <t>MH Information management, Research, Quality &amp; Legal</t>
  </si>
  <si>
    <t>S027-013-001-003-001</t>
  </si>
  <si>
    <t>S027-013-001-004-001</t>
  </si>
  <si>
    <t>S028-001-001-001-001</t>
  </si>
  <si>
    <t>S028-001-001-002-001</t>
  </si>
  <si>
    <t>Administrative Support</t>
  </si>
  <si>
    <t>S028-001-001-003-001</t>
  </si>
  <si>
    <t>S028-001-001-004-001</t>
  </si>
  <si>
    <t>Finance &amp; Budget</t>
  </si>
  <si>
    <t>S028-001-001-005-001</t>
  </si>
  <si>
    <t>S028-001-001-006-001</t>
  </si>
  <si>
    <t>S028-001-001-007-001</t>
  </si>
  <si>
    <t>S028-001-001-008-001</t>
  </si>
  <si>
    <t>Inspectorate</t>
  </si>
  <si>
    <t>S028-001-001-009-001</t>
  </si>
  <si>
    <t>Permits &amp; Licencing</t>
  </si>
  <si>
    <t>S028-002-001-001-001</t>
  </si>
  <si>
    <t>Foreign Investment Registeration</t>
  </si>
  <si>
    <t>S028-002-001-002-001</t>
  </si>
  <si>
    <t>Legal Vehicle Registeration</t>
  </si>
  <si>
    <t>S028-002-001-003-001</t>
  </si>
  <si>
    <t>Information Service</t>
  </si>
  <si>
    <t>S028-002-001-004-001</t>
  </si>
  <si>
    <t>Insolvency &amp; Liquidation</t>
  </si>
  <si>
    <t>S028-002-001-005-001</t>
  </si>
  <si>
    <t>Quota</t>
  </si>
  <si>
    <t>S028-002-002-001-001</t>
  </si>
  <si>
    <t>Workpermit regularization &amp; repartriation</t>
  </si>
  <si>
    <t>S028-002-002-002-001</t>
  </si>
  <si>
    <t>Registeration, Awareness &amp; Compliance</t>
  </si>
  <si>
    <t>S028-002-002-003-001</t>
  </si>
  <si>
    <t>Skills Development</t>
  </si>
  <si>
    <t>S028-003-001-001-001</t>
  </si>
  <si>
    <t>Decent Work &amp; Mentoring</t>
  </si>
  <si>
    <t>S028-003-001-002-001</t>
  </si>
  <si>
    <t>Occupation Health &amp; Safety</t>
  </si>
  <si>
    <t>S028-003-001-003-001</t>
  </si>
  <si>
    <t>Job Centers</t>
  </si>
  <si>
    <t>S028-003-002-001-001</t>
  </si>
  <si>
    <t>General Admin, Stock and Archive</t>
  </si>
  <si>
    <t>S028-004-001-001-001</t>
  </si>
  <si>
    <t>Budget, Finance &amp; HR</t>
  </si>
  <si>
    <t>S028-004-001-002-001</t>
  </si>
  <si>
    <t>Statistics, Reporting and Media</t>
  </si>
  <si>
    <t>S028-004-002-001-001</t>
  </si>
  <si>
    <t>Program Planning</t>
  </si>
  <si>
    <t>S028-004-002-002-001</t>
  </si>
  <si>
    <t>Conducting</t>
  </si>
  <si>
    <t>S028-004-002-003-001</t>
  </si>
  <si>
    <t>Routing Inspection</t>
  </si>
  <si>
    <t>S028-004-003-001-001</t>
  </si>
  <si>
    <t>Follow-ups</t>
  </si>
  <si>
    <t>S028-004-003-002-001</t>
  </si>
  <si>
    <t>Compaints/Special unit</t>
  </si>
  <si>
    <t>S028-004-003-003-001</t>
  </si>
  <si>
    <t>S028-004-004-001-001</t>
  </si>
  <si>
    <t>S028-004-004-002-001</t>
  </si>
  <si>
    <t>Legislation Drafting</t>
  </si>
  <si>
    <t>S028-004-004-003-001</t>
  </si>
  <si>
    <t>Legal Opinion/Advice</t>
  </si>
  <si>
    <t>S028-004-004-004-001</t>
  </si>
  <si>
    <t>International Trade</t>
  </si>
  <si>
    <t>S028-005-001-001-001</t>
  </si>
  <si>
    <t>Trade Facilitation</t>
  </si>
  <si>
    <t>S028-005-001-002-001</t>
  </si>
  <si>
    <t>Anti-trust</t>
  </si>
  <si>
    <t>S028-005-002-001-001</t>
  </si>
  <si>
    <t>Intellectual Property</t>
  </si>
  <si>
    <t>S028-005-002-002-001</t>
  </si>
  <si>
    <t>Consumer Protection</t>
  </si>
  <si>
    <t>S028-005-002-003-001</t>
  </si>
  <si>
    <t>Standard &amp; Metrology</t>
  </si>
  <si>
    <t>S028-005-002-004-001</t>
  </si>
  <si>
    <t>Invest Maldives</t>
  </si>
  <si>
    <t>S028-005-003-001-001</t>
  </si>
  <si>
    <t>SOE Strategy</t>
  </si>
  <si>
    <t>S028-005-003-002-001</t>
  </si>
  <si>
    <t>Special Economic Zone</t>
  </si>
  <si>
    <t>S028-005-004-001-001</t>
  </si>
  <si>
    <t>Planning &amp; Policy Cordination</t>
  </si>
  <si>
    <t>S028-006-001-001-001</t>
  </si>
  <si>
    <t>Notification &amp; Reporting</t>
  </si>
  <si>
    <t>S028-006-002-001-001</t>
  </si>
  <si>
    <t>Economic Research, Statistics &amp; Publication</t>
  </si>
  <si>
    <t>S028-006-003-002-001</t>
  </si>
  <si>
    <t>Executives &amp; Secretariat</t>
  </si>
  <si>
    <t>S029-001-001-001-001</t>
  </si>
  <si>
    <t>S029-001-001-002-001</t>
  </si>
  <si>
    <t>S029-001-001-002-002</t>
  </si>
  <si>
    <t>S029-001-001-003-001</t>
  </si>
  <si>
    <t>S029-001-001-004-001</t>
  </si>
  <si>
    <t>S029-001-001-005-001</t>
  </si>
  <si>
    <t>S029-001-002-001-001</t>
  </si>
  <si>
    <t>Contract Administration</t>
  </si>
  <si>
    <t>S029-001-002-002-001</t>
  </si>
  <si>
    <t>S029-002-001-001-001</t>
  </si>
  <si>
    <t>Development, Environment and Monitoring</t>
  </si>
  <si>
    <t>S029-002-002-001-001</t>
  </si>
  <si>
    <t>Marketing Policy and Public Relations</t>
  </si>
  <si>
    <t>S029-003-001-001-001</t>
  </si>
  <si>
    <t>Tourism Research and Statistics Section</t>
  </si>
  <si>
    <t>S029-003-002-001-001</t>
  </si>
  <si>
    <t>Local Tourism</t>
  </si>
  <si>
    <t>S029-003-003-001-001</t>
  </si>
  <si>
    <t>Diverse Tourism</t>
  </si>
  <si>
    <t>S029-003-004-001-001</t>
  </si>
  <si>
    <t>Security &amp; Crisis Management</t>
  </si>
  <si>
    <t>S029-003-005-001-001</t>
  </si>
  <si>
    <t>Stakeholder Relations</t>
  </si>
  <si>
    <t>S029-004-001-001-001</t>
  </si>
  <si>
    <t>Industry HR and International Relations</t>
  </si>
  <si>
    <t>S029-004-002-001-001</t>
  </si>
  <si>
    <t>S029-005-001-001-001</t>
  </si>
  <si>
    <t>S029-005-002-001-001</t>
  </si>
  <si>
    <t>Compliance</t>
  </si>
  <si>
    <t>S029-005-003-001-001</t>
  </si>
  <si>
    <t>Ministers Office, Senior Executive &amp; Secretariat</t>
  </si>
  <si>
    <t>S030-001-001-001-001</t>
  </si>
  <si>
    <t>S030-001-001-002-001</t>
  </si>
  <si>
    <t>S030-001-001-002-002</t>
  </si>
  <si>
    <t>S030-001-001-002-003</t>
  </si>
  <si>
    <t>S030-001-001-002-004</t>
  </si>
  <si>
    <t>S030-001-001-002-005</t>
  </si>
  <si>
    <t>S030-001-001-002-006</t>
  </si>
  <si>
    <t>S030-001-001-002-007</t>
  </si>
  <si>
    <t>Executive Support &amp; Front Office</t>
  </si>
  <si>
    <t>S030-001-001-002-008</t>
  </si>
  <si>
    <t>Project Implementation</t>
  </si>
  <si>
    <t>S030-001-002-001-001</t>
  </si>
  <si>
    <t>S030-001-002-002-001</t>
  </si>
  <si>
    <t>Policy Planning &amp; Manifesto Implementation</t>
  </si>
  <si>
    <t>S030-001-003-001-001</t>
  </si>
  <si>
    <t>International Youth Affairs</t>
  </si>
  <si>
    <t>S030-002-001-001-001</t>
  </si>
  <si>
    <t>Youth Development</t>
  </si>
  <si>
    <t>S030-002-001-002-001</t>
  </si>
  <si>
    <t>Youth Health Cafe</t>
  </si>
  <si>
    <t>S030-002-002-001-001</t>
  </si>
  <si>
    <t>Youth Counselling Service</t>
  </si>
  <si>
    <t>S030-002-002-002-001</t>
  </si>
  <si>
    <t>Employment &amp; Skill Training</t>
  </si>
  <si>
    <t>S030-002-003-001-001</t>
  </si>
  <si>
    <t>Career Guidance</t>
  </si>
  <si>
    <t>S030-002-003-002-001</t>
  </si>
  <si>
    <t>Maafannu Community Centre</t>
  </si>
  <si>
    <t>S030-002-004-001-001</t>
  </si>
  <si>
    <t>Hulhumale Activity Centre</t>
  </si>
  <si>
    <t>S030-002-004-002-001</t>
  </si>
  <si>
    <t>Villimale Activity Centre</t>
  </si>
  <si>
    <t>S030-002-004-003-001</t>
  </si>
  <si>
    <t>Huraa Camp Site</t>
  </si>
  <si>
    <t>S030-002-004-004-001</t>
  </si>
  <si>
    <t>Islands Youth and Community Centres</t>
  </si>
  <si>
    <t>S030-002-004-005-001</t>
  </si>
  <si>
    <t>Sports Administration</t>
  </si>
  <si>
    <t>S030-003-001-001-001</t>
  </si>
  <si>
    <t>Sports Facilities</t>
  </si>
  <si>
    <t>S030-003-001-002-001</t>
  </si>
  <si>
    <t>Sports Council</t>
  </si>
  <si>
    <t>S030-003-001-003-001</t>
  </si>
  <si>
    <t>Kulhivaru Ekuveni</t>
  </si>
  <si>
    <t>S030-003-002-001-001</t>
  </si>
  <si>
    <t>National Stadium &amp; Youth Accommodation</t>
  </si>
  <si>
    <t>S030-003-002-002-001</t>
  </si>
  <si>
    <t>Hulhumale Mini Sports Complex</t>
  </si>
  <si>
    <t>S030-003-002-003-001</t>
  </si>
  <si>
    <t>Addu City Stadium</t>
  </si>
  <si>
    <t>S030-003-002-004-001</t>
  </si>
  <si>
    <t>Gdh. Thinadhoo Stadium</t>
  </si>
  <si>
    <t>S030-003-002-005-001</t>
  </si>
  <si>
    <t>Hdh. Kulhudhuffushi Stadium</t>
  </si>
  <si>
    <t>S030-003-002-006-001</t>
  </si>
  <si>
    <t>S030-003-002-007-001</t>
  </si>
  <si>
    <t>Sports Service</t>
  </si>
  <si>
    <t>S030-003-003-001-001</t>
  </si>
  <si>
    <t>Research &amp; Publication</t>
  </si>
  <si>
    <t>S030-003-003-001-002</t>
  </si>
  <si>
    <t>Sports Education &amp; Training</t>
  </si>
  <si>
    <t>S030-003-003-002-001</t>
  </si>
  <si>
    <t>Maldives Anti-Doping Agency</t>
  </si>
  <si>
    <t>S030-003-003-003-001</t>
  </si>
  <si>
    <t>S030-003-003-004-001</t>
  </si>
  <si>
    <t>S030-003-004-001-001</t>
  </si>
  <si>
    <t>Research &amp; Monitoring</t>
  </si>
  <si>
    <t>S030-003-004-002-001</t>
  </si>
  <si>
    <t>Program &amp; Projects</t>
  </si>
  <si>
    <t>S030-004-001-001-001</t>
  </si>
  <si>
    <t>Development &amp; Training</t>
  </si>
  <si>
    <t>S030-004-001-002-001</t>
  </si>
  <si>
    <t>NGO Registration</t>
  </si>
  <si>
    <t>S030-004-001-003-001</t>
  </si>
  <si>
    <t>S030-004-001-004-001</t>
  </si>
  <si>
    <t>General admin</t>
  </si>
  <si>
    <t>S031-001-001-001-001</t>
  </si>
  <si>
    <t>Front Office and Senior Executive</t>
  </si>
  <si>
    <t>S031-001-001-001-002</t>
  </si>
  <si>
    <t>S031-001-001-002-001</t>
  </si>
  <si>
    <t>S031-001-001-003-001</t>
  </si>
  <si>
    <t>S031-001-001-004-001</t>
  </si>
  <si>
    <t>S031-001-001-005-001</t>
  </si>
  <si>
    <t>S031-001-001-006-001</t>
  </si>
  <si>
    <t>S031-001-001-007-001</t>
  </si>
  <si>
    <t>Support Services</t>
  </si>
  <si>
    <t>S031-002-001-001-001</t>
  </si>
  <si>
    <t>Surveying</t>
  </si>
  <si>
    <t>S031-002-002-001-001</t>
  </si>
  <si>
    <t>Design</t>
  </si>
  <si>
    <t>S031-002-002-002-001</t>
  </si>
  <si>
    <t>Project Portfoilio Development</t>
  </si>
  <si>
    <t>S031-002-003-001-001</t>
  </si>
  <si>
    <t>Project Procurement</t>
  </si>
  <si>
    <t>S031-002-003-002-001</t>
  </si>
  <si>
    <t>Water &amp; Sanitation</t>
  </si>
  <si>
    <t>S031-002-004-001-001</t>
  </si>
  <si>
    <t>Harbor Project</t>
  </si>
  <si>
    <t>S031-002-004-002-001</t>
  </si>
  <si>
    <t>Causeway &amp; Coastal Protection Project</t>
  </si>
  <si>
    <t>S031-002-004-002-002</t>
  </si>
  <si>
    <t>Building &amp; Spacial Project</t>
  </si>
  <si>
    <t>S031-002-004-003-001</t>
  </si>
  <si>
    <t>Housing Project</t>
  </si>
  <si>
    <t>S031-002-004-004-001</t>
  </si>
  <si>
    <t>Road Project</t>
  </si>
  <si>
    <t>S031-002-004-005-001</t>
  </si>
  <si>
    <t>Bridge Project</t>
  </si>
  <si>
    <t>S031-002-004-006-001</t>
  </si>
  <si>
    <t>Airport Project</t>
  </si>
  <si>
    <t>S031-002-004-007-001</t>
  </si>
  <si>
    <t>Hospital Project</t>
  </si>
  <si>
    <t>S031-002-004-008-001</t>
  </si>
  <si>
    <t>Mosque Project</t>
  </si>
  <si>
    <t>S031-002-004-009-001</t>
  </si>
  <si>
    <t>Rehabilitation Project</t>
  </si>
  <si>
    <t>S031-002-004-010-001</t>
  </si>
  <si>
    <t>Social Project</t>
  </si>
  <si>
    <t>S031-002-004-010-002</t>
  </si>
  <si>
    <t>Cultural Project</t>
  </si>
  <si>
    <t>S031-002-004-010-003</t>
  </si>
  <si>
    <t>Park Porject</t>
  </si>
  <si>
    <t>S031-002-004-010-004</t>
  </si>
  <si>
    <t>Recreational Project</t>
  </si>
  <si>
    <t>S031-002-004-010-005</t>
  </si>
  <si>
    <t>Quantity Survey &amp; valuation</t>
  </si>
  <si>
    <t>S031-002-005-001-001</t>
  </si>
  <si>
    <t>Environment Monitoring</t>
  </si>
  <si>
    <t>S031-002-005-002-001</t>
  </si>
  <si>
    <t>S031-002-005-003-001</t>
  </si>
  <si>
    <t>Administrative Unit</t>
  </si>
  <si>
    <t>S031-003-001-001-001</t>
  </si>
  <si>
    <t>H. Dh. Kulhudhuffushi</t>
  </si>
  <si>
    <t>S031-003-002-001-001</t>
  </si>
  <si>
    <t>L. Gan/Fonadhoo</t>
  </si>
  <si>
    <t>S031-003-002-001-002</t>
  </si>
  <si>
    <t>L. Isdhoo/ Kalhaidhoo</t>
  </si>
  <si>
    <t>S031-003-002-001-003</t>
  </si>
  <si>
    <t>G.Dh. Thinadhoo</t>
  </si>
  <si>
    <t>S031-003-002-001-004</t>
  </si>
  <si>
    <t>Gn. Fuamulaku</t>
  </si>
  <si>
    <t>S031-003-002-001-005</t>
  </si>
  <si>
    <t>S. Hithadhoo</t>
  </si>
  <si>
    <t>S031-003-002-001-006</t>
  </si>
  <si>
    <t>S.Hulhudhoo</t>
  </si>
  <si>
    <t>S031-003-002-001-007</t>
  </si>
  <si>
    <t>Dh. Kudahuvadhoo</t>
  </si>
  <si>
    <t>S031-003-002-001-008</t>
  </si>
  <si>
    <t>GA. Vilingili</t>
  </si>
  <si>
    <t>S031-003-002-001-009</t>
  </si>
  <si>
    <t>Th. Vilufush</t>
  </si>
  <si>
    <t>S031-003-002-001-010</t>
  </si>
  <si>
    <t>Transport and Thilafushi Operation Centre</t>
  </si>
  <si>
    <t>S031-003-002-002-001</t>
  </si>
  <si>
    <t>Project Implementation Unit</t>
  </si>
  <si>
    <t>S031-003-002-003-001</t>
  </si>
  <si>
    <t>Building Maintenance Unit</t>
  </si>
  <si>
    <t>S031-003-002-004-001</t>
  </si>
  <si>
    <t>Workshop Unit</t>
  </si>
  <si>
    <t>S031-003-002-005-001</t>
  </si>
  <si>
    <t>Maintanance Unit (Government Building)</t>
  </si>
  <si>
    <t>S031-004-001-001-001</t>
  </si>
  <si>
    <t>Building Monitoring &amp; Security</t>
  </si>
  <si>
    <t>S031-004-002-001-001</t>
  </si>
  <si>
    <t>Office Space Management</t>
  </si>
  <si>
    <t>S031-004-003-001-001</t>
  </si>
  <si>
    <t>Regulation &amp; Development Control</t>
  </si>
  <si>
    <t>S031-005-001-001-001</t>
  </si>
  <si>
    <t>Compliance &amp; Monitoring</t>
  </si>
  <si>
    <t>S031-005-001-002-001</t>
  </si>
  <si>
    <t>Physical Devlopment &amp; Planning</t>
  </si>
  <si>
    <t>S031-005-001-003-001</t>
  </si>
  <si>
    <t>Review &amp; Reporting</t>
  </si>
  <si>
    <t>S031-005-002-001-001</t>
  </si>
  <si>
    <t>Development Planning &amp; SDG Cordination</t>
  </si>
  <si>
    <t>S031-005-002-002-001</t>
  </si>
  <si>
    <t>Resource Management</t>
  </si>
  <si>
    <t>S031-005-003-001-001</t>
  </si>
  <si>
    <t>S031-005-003-002-001</t>
  </si>
  <si>
    <t>Communication &amp;Monitoring</t>
  </si>
  <si>
    <t>S031-005-004-001-001</t>
  </si>
  <si>
    <t>Spatial Development</t>
  </si>
  <si>
    <t>S031-005-004-002-001</t>
  </si>
  <si>
    <t>Housing Data Collection</t>
  </si>
  <si>
    <t>S031-006-001-001-001</t>
  </si>
  <si>
    <t>Housing Data Management</t>
  </si>
  <si>
    <t>S031-006-001-002-001</t>
  </si>
  <si>
    <t>Housing System Development</t>
  </si>
  <si>
    <t>S031-006-002-001-001</t>
  </si>
  <si>
    <t>Housing Portal Administration</t>
  </si>
  <si>
    <t>S031-006-002-002-001</t>
  </si>
  <si>
    <t>Standard &amp; Regulation</t>
  </si>
  <si>
    <t>S031-007-001-001-001</t>
  </si>
  <si>
    <t>Strata Scehme Registeration</t>
  </si>
  <si>
    <t>S031-007-001-002-001</t>
  </si>
  <si>
    <t>Housing Program Development</t>
  </si>
  <si>
    <t>S031-007-002-001-001</t>
  </si>
  <si>
    <t>Housing Delivery</t>
  </si>
  <si>
    <t>S031-008-001-001-001</t>
  </si>
  <si>
    <t>Complaints Management</t>
  </si>
  <si>
    <t>S031-008-001-002-001</t>
  </si>
  <si>
    <t>Housing Scheme</t>
  </si>
  <si>
    <t>S031-008-001-003-001</t>
  </si>
  <si>
    <t>Social Housing Building Units</t>
  </si>
  <si>
    <t>S031-008-002-001-001</t>
  </si>
  <si>
    <t>Social Housing Payments Monitoring</t>
  </si>
  <si>
    <t>S031-008-002-002-001</t>
  </si>
  <si>
    <t>Professional Registeration</t>
  </si>
  <si>
    <t>S031-009-001-001-001</t>
  </si>
  <si>
    <t>Builders &amp; Consultant Registeration</t>
  </si>
  <si>
    <t>S031-009-001-002-001</t>
  </si>
  <si>
    <t>Act</t>
  </si>
  <si>
    <t>S031-009-002-001-001</t>
  </si>
  <si>
    <t>Building Code</t>
  </si>
  <si>
    <t>S031-009-002-001-002</t>
  </si>
  <si>
    <t>Regulations</t>
  </si>
  <si>
    <t>S031-009-002-001-003</t>
  </si>
  <si>
    <t>Standards</t>
  </si>
  <si>
    <t>S031-009-002-001-004</t>
  </si>
  <si>
    <t>Guidelines</t>
  </si>
  <si>
    <t>S031-009-002-001-005</t>
  </si>
  <si>
    <t>Committees</t>
  </si>
  <si>
    <t>S031-009-002-001-006</t>
  </si>
  <si>
    <t>Sustainability &amp; Development</t>
  </si>
  <si>
    <t>S031-009-003-001-001</t>
  </si>
  <si>
    <t>Statistics &amp; Programs</t>
  </si>
  <si>
    <t>S031-009-003-002-001</t>
  </si>
  <si>
    <t>Construction Compliance</t>
  </si>
  <si>
    <t>S031-009-004-001-001</t>
  </si>
  <si>
    <t>Assessment of government owned building</t>
  </si>
  <si>
    <t>S031-009-004-002-001</t>
  </si>
  <si>
    <t>Assessment of public owned building</t>
  </si>
  <si>
    <t>S031-009-004-002-002</t>
  </si>
  <si>
    <t>S031-009-005-001-001</t>
  </si>
  <si>
    <t>Evaluation &amp; Assurance</t>
  </si>
  <si>
    <t>S031-009-005-002-001</t>
  </si>
  <si>
    <t>Statistical Training</t>
  </si>
  <si>
    <t>S031-010-001-001-001</t>
  </si>
  <si>
    <t>Statistical Research</t>
  </si>
  <si>
    <t>S031-010-001-002-001</t>
  </si>
  <si>
    <t>Statistics Development &amp; Standards</t>
  </si>
  <si>
    <t>S031-010-002-001-001</t>
  </si>
  <si>
    <t>Data Dissemination &amp; Coordination</t>
  </si>
  <si>
    <t>S031-010-002-002-001</t>
  </si>
  <si>
    <t>Multi-stakeholder partnership for National Statistics</t>
  </si>
  <si>
    <t>S031-010-002-002-002</t>
  </si>
  <si>
    <t>Data Processing &amp; Data Management</t>
  </si>
  <si>
    <t>S031-010-003-001-001</t>
  </si>
  <si>
    <t>Statistical Surveys &amp; Analysis</t>
  </si>
  <si>
    <t>S031-010-003-002-001</t>
  </si>
  <si>
    <t>National Accounts &amp; Economics Analysis</t>
  </si>
  <si>
    <t>S031-010-004-001-001</t>
  </si>
  <si>
    <t>Price &amp; Economic Statistics</t>
  </si>
  <si>
    <t>S031-010-004-002-001</t>
  </si>
  <si>
    <t>Census &amp; Social Analysis</t>
  </si>
  <si>
    <t>S031-010-005-001-001</t>
  </si>
  <si>
    <t>Poverty &amp; Social Statistics</t>
  </si>
  <si>
    <t>S031-010-005-002-001</t>
  </si>
  <si>
    <t>Finance &amp; Accounts</t>
  </si>
  <si>
    <t>S031-010-006-001-001</t>
  </si>
  <si>
    <t>S031-010-006-002-001</t>
  </si>
  <si>
    <t>Admin &amp; IT</t>
  </si>
  <si>
    <t>S031-010-006-003-001</t>
  </si>
  <si>
    <t>Survey Approvals</t>
  </si>
  <si>
    <t>S031-011-001-001-001</t>
  </si>
  <si>
    <t>Survey Standard &amp; Regulation</t>
  </si>
  <si>
    <t>S031-011-001-002-001</t>
  </si>
  <si>
    <t>Cadastral Surveying</t>
  </si>
  <si>
    <t>S031-011-002-001-001</t>
  </si>
  <si>
    <t>Engineering Survey</t>
  </si>
  <si>
    <t>S031-011-003-001-001</t>
  </si>
  <si>
    <t>Hydrogrphic Survey</t>
  </si>
  <si>
    <t>S031-011-003-002-001</t>
  </si>
  <si>
    <t>National Mapping</t>
  </si>
  <si>
    <t>S031-011-004-001-001</t>
  </si>
  <si>
    <t>NSDI Unit</t>
  </si>
  <si>
    <t>S031-011-004-002-001</t>
  </si>
  <si>
    <t>Spatial Analysis</t>
  </si>
  <si>
    <t>S031-011-004-003-001</t>
  </si>
  <si>
    <t>Land Approval</t>
  </si>
  <si>
    <t>S031-011-005-001-001</t>
  </si>
  <si>
    <t>Land Information System</t>
  </si>
  <si>
    <t>S031-011-005-002-001</t>
  </si>
  <si>
    <t>Land Administration</t>
  </si>
  <si>
    <t>S031-011-006-001-001</t>
  </si>
  <si>
    <t>Land Valuation</t>
  </si>
  <si>
    <t>S031-011-006-002-001</t>
  </si>
  <si>
    <t>Resolution Unit</t>
  </si>
  <si>
    <t>S031-011-007-001-001</t>
  </si>
  <si>
    <t>Legal Unit</t>
  </si>
  <si>
    <t>S031-011-007-002-001</t>
  </si>
  <si>
    <t>S031-011-008-001-001</t>
  </si>
  <si>
    <t>S031-011-008-002-001</t>
  </si>
  <si>
    <t>Procurement &amp; finance</t>
  </si>
  <si>
    <t>S031-011-008-003-001</t>
  </si>
  <si>
    <t>S031-011-008-004-001</t>
  </si>
  <si>
    <t>Service Delivery</t>
  </si>
  <si>
    <t>S031-012-001-001-001</t>
  </si>
  <si>
    <t>Record Maintenance</t>
  </si>
  <si>
    <t>S031-012-001-002-001</t>
  </si>
  <si>
    <t>Archive &amp; Information Services</t>
  </si>
  <si>
    <t>S031-012-001-003-001</t>
  </si>
  <si>
    <t>Verification</t>
  </si>
  <si>
    <t>S031-012-001-004-001</t>
  </si>
  <si>
    <t>Vital Registeration</t>
  </si>
  <si>
    <t>S031-012-001-005-001</t>
  </si>
  <si>
    <t>S031-012-002-001-001</t>
  </si>
  <si>
    <t>Administration, HR &amp; Procurement</t>
  </si>
  <si>
    <t>S031-012-002-002-001</t>
  </si>
  <si>
    <t>General Services &amp; PR</t>
  </si>
  <si>
    <t>S031-012-002-003-001</t>
  </si>
  <si>
    <t>S031-012-003-001-001</t>
  </si>
  <si>
    <t>S032-001-001-001-001</t>
  </si>
  <si>
    <t>S032-001-001-002-001</t>
  </si>
  <si>
    <t>S032-001-001-003-001</t>
  </si>
  <si>
    <t>S032-001-001-004-001</t>
  </si>
  <si>
    <t>Administration &amp; procurement</t>
  </si>
  <si>
    <t>S032-001-001-005-001</t>
  </si>
  <si>
    <t>S032-001-001-006-001</t>
  </si>
  <si>
    <t>S032-001-001-007-001</t>
  </si>
  <si>
    <t>S032-001-001-008-001</t>
  </si>
  <si>
    <t>Forestry &amp; Coconut Rehabilitation</t>
  </si>
  <si>
    <t>S032-002-001-001-001</t>
  </si>
  <si>
    <t>Training, Extension, &amp; Adaptive Research</t>
  </si>
  <si>
    <t>S032-002-002-001-001</t>
  </si>
  <si>
    <t>Hanimaadhoo Agriculture Centre</t>
  </si>
  <si>
    <t>S032-002-002-002-001</t>
  </si>
  <si>
    <t>Laamu Gan Agriculture Centre</t>
  </si>
  <si>
    <t>S032-002-002-003-001</t>
  </si>
  <si>
    <t>Plant Protection</t>
  </si>
  <si>
    <t>S032-002-003-001-001</t>
  </si>
  <si>
    <t>Plant &amp; Animal Quarantine Facility</t>
  </si>
  <si>
    <t>S032-002-003-002-001</t>
  </si>
  <si>
    <t>Animal Health &amp; Veterinary Services</t>
  </si>
  <si>
    <t>S032-002-004-001-001</t>
  </si>
  <si>
    <t>Production &amp; product Diversification</t>
  </si>
  <si>
    <t>S032-002-005-001-001</t>
  </si>
  <si>
    <t>Fisheries Management</t>
  </si>
  <si>
    <t>S032-003-001-001-001</t>
  </si>
  <si>
    <t>FAD Management Services</t>
  </si>
  <si>
    <t>S032-003-002-001-001</t>
  </si>
  <si>
    <t>Fisheries Compliance</t>
  </si>
  <si>
    <t>S032-003-003-001-001</t>
  </si>
  <si>
    <t>Training &amp; Extension</t>
  </si>
  <si>
    <t>S032-003-004-001-001</t>
  </si>
  <si>
    <t>Fisheries Industrial Development &amp; Promotion</t>
  </si>
  <si>
    <t>S032-003-005-001-001</t>
  </si>
  <si>
    <t>Ga. Maanagala Multispecies Hatchery</t>
  </si>
  <si>
    <t>S032-004-001-001-001</t>
  </si>
  <si>
    <t>K. Maniyafushi Facility</t>
  </si>
  <si>
    <t>S032-004-001-001-002</t>
  </si>
  <si>
    <t>Aquatic Animal Health Quarantine and Laboratory Facility</t>
  </si>
  <si>
    <t>S032-004-001-001-003</t>
  </si>
  <si>
    <t>Coral reef research and monitoring</t>
  </si>
  <si>
    <t>S032-004-002-001-001</t>
  </si>
  <si>
    <t>Fisheries research</t>
  </si>
  <si>
    <t>S032-004-003-001-001</t>
  </si>
  <si>
    <t>Information and dissemination</t>
  </si>
  <si>
    <t>S032-004-004-001-001</t>
  </si>
  <si>
    <t>Policy and Planning</t>
  </si>
  <si>
    <t>S032-005-001-001-001</t>
  </si>
  <si>
    <t>Natural Resource Management</t>
  </si>
  <si>
    <t>S032-005-002-001-001</t>
  </si>
  <si>
    <t>S033-001-001-001-001</t>
  </si>
  <si>
    <t>S033-001-001-002-001</t>
  </si>
  <si>
    <t>Finance and Accounts</t>
  </si>
  <si>
    <t>S033-001-001-003-001</t>
  </si>
  <si>
    <t>Human Resource &amp; Training</t>
  </si>
  <si>
    <t>S033-001-001-004-001</t>
  </si>
  <si>
    <t>Procurement &amp; Inventory</t>
  </si>
  <si>
    <t>S033-001-001-005-001</t>
  </si>
  <si>
    <t>Technical Support and IT</t>
  </si>
  <si>
    <t>S033-001-001-006-001</t>
  </si>
  <si>
    <t>S033-001-001-007-001</t>
  </si>
  <si>
    <t>Support &amp; Maintenance</t>
  </si>
  <si>
    <t>S033-001-001-008-001</t>
  </si>
  <si>
    <t>Mosque Management</t>
  </si>
  <si>
    <t>S033-002-001-001-001</t>
  </si>
  <si>
    <t>Awqaf &amp; Infrastructure</t>
  </si>
  <si>
    <t>S033-002-002-001-001</t>
  </si>
  <si>
    <t>Islamic Center</t>
  </si>
  <si>
    <t>S033-002-003-001-001</t>
  </si>
  <si>
    <t>King Salman Mosque</t>
  </si>
  <si>
    <t>S033-002-003-002-001</t>
  </si>
  <si>
    <t>R. Ungoofaaru Islamic Center</t>
  </si>
  <si>
    <t>S033-002-003-003-001</t>
  </si>
  <si>
    <t>GDh. Thinadhoo Islamic Center</t>
  </si>
  <si>
    <t>S033-002-003-004-001</t>
  </si>
  <si>
    <t>Islamic Dawa</t>
  </si>
  <si>
    <t>S033-003-001-001-001</t>
  </si>
  <si>
    <t>Zakat</t>
  </si>
  <si>
    <t>S033-003-002-001-001</t>
  </si>
  <si>
    <t>Hajju &amp; Umra</t>
  </si>
  <si>
    <t>S033-003-003-001-001</t>
  </si>
  <si>
    <t>Halaal Certification</t>
  </si>
  <si>
    <t>S033-003-004-001-001</t>
  </si>
  <si>
    <t>Halaal Documentation</t>
  </si>
  <si>
    <t>S033-003-004-002-001</t>
  </si>
  <si>
    <t>S033-003-005-001-001</t>
  </si>
  <si>
    <t>Islamic Library</t>
  </si>
  <si>
    <t>S033-003-005-002-001</t>
  </si>
  <si>
    <t>Islamic Studio</t>
  </si>
  <si>
    <t>S033-003-006-001-001</t>
  </si>
  <si>
    <t>S033-004-001-001-001</t>
  </si>
  <si>
    <t>S033-004-001-001-002</t>
  </si>
  <si>
    <t>Student Support</t>
  </si>
  <si>
    <t>S033-004-002-001-001</t>
  </si>
  <si>
    <t>Student Service &amp; Programs</t>
  </si>
  <si>
    <t>S033-004-003-001-001</t>
  </si>
  <si>
    <t>Academic Development &amp; Monitoring</t>
  </si>
  <si>
    <t>S033-004-004-001-001</t>
  </si>
  <si>
    <t>Course Management Unit</t>
  </si>
  <si>
    <t>S033-004-004-002-001</t>
  </si>
  <si>
    <t>Regional Campus 1</t>
  </si>
  <si>
    <t>S033-004-005-001-001</t>
  </si>
  <si>
    <t>Regional Campus 2</t>
  </si>
  <si>
    <t>S033-004-005-001-002</t>
  </si>
  <si>
    <t>Regional Campus 3</t>
  </si>
  <si>
    <t>S033-004-005-001-003</t>
  </si>
  <si>
    <t>Regional Campus 4</t>
  </si>
  <si>
    <t>S033-004-005-001-004</t>
  </si>
  <si>
    <t>Regional Campus 5</t>
  </si>
  <si>
    <t>S033-004-005-001-005</t>
  </si>
  <si>
    <t>Regional Campus 6</t>
  </si>
  <si>
    <t>S033-004-005-001-006</t>
  </si>
  <si>
    <t>Regional Campus 7</t>
  </si>
  <si>
    <t>S033-004-005-001-007</t>
  </si>
  <si>
    <t>Atoll Campus 1</t>
  </si>
  <si>
    <t>S033-004-005-002-001</t>
  </si>
  <si>
    <t>Atoll Campus 2</t>
  </si>
  <si>
    <t>S033-004-005-002-002</t>
  </si>
  <si>
    <t>Atoll Campus 3</t>
  </si>
  <si>
    <t>S033-004-005-002-003</t>
  </si>
  <si>
    <t>Atoll Campus 4</t>
  </si>
  <si>
    <t>S033-004-005-002-004</t>
  </si>
  <si>
    <t>Atoll Campus 5</t>
  </si>
  <si>
    <t>S033-004-005-002-005</t>
  </si>
  <si>
    <t>Atoll Campus 6</t>
  </si>
  <si>
    <t>S033-004-005-002-006</t>
  </si>
  <si>
    <t>Atoll Campus 7</t>
  </si>
  <si>
    <t>S033-004-005-002-007</t>
  </si>
  <si>
    <t>Atoll Campus 8</t>
  </si>
  <si>
    <t>S033-004-005-002-008</t>
  </si>
  <si>
    <t>Atoll Campus 9</t>
  </si>
  <si>
    <t>S033-004-005-002-009</t>
  </si>
  <si>
    <t>Atoll Campus 10</t>
  </si>
  <si>
    <t>S033-004-005-002-010</t>
  </si>
  <si>
    <t>Atoll Campus 11</t>
  </si>
  <si>
    <t>S033-004-005-002-011</t>
  </si>
  <si>
    <t>Atoll Campus 12</t>
  </si>
  <si>
    <t>S033-004-005-002-012</t>
  </si>
  <si>
    <t>Atoll Campus 13</t>
  </si>
  <si>
    <t>S033-004-005-002-013</t>
  </si>
  <si>
    <t>Supreme Council for Islamic Affairs</t>
  </si>
  <si>
    <t>S033-005-001-001-001</t>
  </si>
  <si>
    <t>S034-001-001-001-001</t>
  </si>
  <si>
    <t>S034-001-001-002-001</t>
  </si>
  <si>
    <t>Logistic &amp; Resource Management Unit</t>
  </si>
  <si>
    <t>S034-001-001-002-002</t>
  </si>
  <si>
    <t>Corporate Services</t>
  </si>
  <si>
    <t>S034-001-001-003-001</t>
  </si>
  <si>
    <t>S034-001-001-004-001</t>
  </si>
  <si>
    <t>Account</t>
  </si>
  <si>
    <t>S034-001-001-004-002</t>
  </si>
  <si>
    <t>S034-001-001-005-001</t>
  </si>
  <si>
    <t>Information Communication Technology Section</t>
  </si>
  <si>
    <t>S034-001-001-006-001</t>
  </si>
  <si>
    <t>S034-001-001-007-001</t>
  </si>
  <si>
    <t>S034-001-001-008-001</t>
  </si>
  <si>
    <t>S034-001-001-009-001</t>
  </si>
  <si>
    <t>S034-001-001-010-001</t>
  </si>
  <si>
    <t>S034-001-001-011-001</t>
  </si>
  <si>
    <t>National Adaptation Planning &amp; implementation</t>
  </si>
  <si>
    <t>S034-002-001-001-001</t>
  </si>
  <si>
    <t>Vulnerability and Risk Reduction</t>
  </si>
  <si>
    <t>S034-002-001-002-001</t>
  </si>
  <si>
    <t>Green Technology Unit</t>
  </si>
  <si>
    <t>S034-002-002-001-001</t>
  </si>
  <si>
    <t>Carbon Market Unit</t>
  </si>
  <si>
    <t>S034-002-002-002-001</t>
  </si>
  <si>
    <t>Greenhouse Gas Inventory</t>
  </si>
  <si>
    <t>S034-002-003-001-001</t>
  </si>
  <si>
    <t>NDC Implementation</t>
  </si>
  <si>
    <t>S034-002-004-001-001</t>
  </si>
  <si>
    <t>Climate Change Reporting</t>
  </si>
  <si>
    <t>S034-002-004-002-001</t>
  </si>
  <si>
    <t>International Climate Fund</t>
  </si>
  <si>
    <t>S034-002-005-001-001</t>
  </si>
  <si>
    <t>National Implementation Entities</t>
  </si>
  <si>
    <t>S034-002-005-002-001</t>
  </si>
  <si>
    <t>Climate Research</t>
  </si>
  <si>
    <t>S034-002-006-001-001</t>
  </si>
  <si>
    <t>Negotiation and Outreach</t>
  </si>
  <si>
    <t>S034-002-006-002-001</t>
  </si>
  <si>
    <t>Met Administration</t>
  </si>
  <si>
    <t>S034-003-001-001-001</t>
  </si>
  <si>
    <t>S034-003-001-001-002</t>
  </si>
  <si>
    <t>S034-003-001-001-003</t>
  </si>
  <si>
    <t>Cordination &amp; Foreign Relation</t>
  </si>
  <si>
    <t>S034-003-001-001-004</t>
  </si>
  <si>
    <t>S034-003-001-001-005</t>
  </si>
  <si>
    <t>Building Maintanance</t>
  </si>
  <si>
    <t>S034-003-001-001-006</t>
  </si>
  <si>
    <t>Engineering</t>
  </si>
  <si>
    <t>S034-003-001-002-001</t>
  </si>
  <si>
    <t>S034-003-001-002-002</t>
  </si>
  <si>
    <t>Meterological Std &amp; Training</t>
  </si>
  <si>
    <t>S034-003-001-003-001</t>
  </si>
  <si>
    <t>MCOH</t>
  </si>
  <si>
    <t>S034-003-002-001-001</t>
  </si>
  <si>
    <t>Climate Prediction</t>
  </si>
  <si>
    <t>S034-003-002-001-002</t>
  </si>
  <si>
    <t>Publication</t>
  </si>
  <si>
    <t>S034-003-002-001-003</t>
  </si>
  <si>
    <t>Cimate Application</t>
  </si>
  <si>
    <t>S034-003-002-001-004</t>
  </si>
  <si>
    <t>Weather Studio</t>
  </si>
  <si>
    <t>S034-003-003-001-001</t>
  </si>
  <si>
    <t>Meterological Watch Office</t>
  </si>
  <si>
    <t>S034-003-003-001-002</t>
  </si>
  <si>
    <t>AWS &amp; Remote Sensing</t>
  </si>
  <si>
    <t>S034-003-003-002-001</t>
  </si>
  <si>
    <t>Hanimaadhoo Met Observatory</t>
  </si>
  <si>
    <t>S034-003-003-002-002</t>
  </si>
  <si>
    <t>Hulhule Observatory</t>
  </si>
  <si>
    <t>S034-003-003-002-003</t>
  </si>
  <si>
    <t>Kadhdhoo Met Observatory</t>
  </si>
  <si>
    <t>S034-003-003-002-004</t>
  </si>
  <si>
    <t>Kaadehdhoo Met Observatory</t>
  </si>
  <si>
    <t>S034-003-003-002-005</t>
  </si>
  <si>
    <t>Gan Met Observatory</t>
  </si>
  <si>
    <t>S034-003-003-002-006</t>
  </si>
  <si>
    <t>Environment Policy Unit</t>
  </si>
  <si>
    <t>S034-004-001-001-001</t>
  </si>
  <si>
    <t>Multilateral Environmental Agreement Unit</t>
  </si>
  <si>
    <t>S034-004-001-001-002</t>
  </si>
  <si>
    <t>Maldives Green Fund Secretariat Unit</t>
  </si>
  <si>
    <t>S034-004-001-001-003</t>
  </si>
  <si>
    <t>Air Quality Management Unit</t>
  </si>
  <si>
    <t>S034-004-001-002-001</t>
  </si>
  <si>
    <t>National Ozone Unit</t>
  </si>
  <si>
    <t>S034-004-001-002-002</t>
  </si>
  <si>
    <t>Chemical Management Unit</t>
  </si>
  <si>
    <t>S034-004-001-002-003</t>
  </si>
  <si>
    <t>Coastal Zone Assessment Unit</t>
  </si>
  <si>
    <t>S034-004-001-003-001</t>
  </si>
  <si>
    <t>Coastal Zone Mangement Unit</t>
  </si>
  <si>
    <t>S034-004-001-003-002</t>
  </si>
  <si>
    <t>Surveying and Research Unit</t>
  </si>
  <si>
    <t>S034-004-001-004-001</t>
  </si>
  <si>
    <t>Environ. Information System &amp; State of the Environment Unit</t>
  </si>
  <si>
    <t>S034-004-001-004-002</t>
  </si>
  <si>
    <t>Communication Education and Public Awareness Unit</t>
  </si>
  <si>
    <t>S034-004-001-004-003</t>
  </si>
  <si>
    <t>Biodiversity Assessment</t>
  </si>
  <si>
    <t>S034-004-002-001-001</t>
  </si>
  <si>
    <t>Biodiversity Conservation Unit</t>
  </si>
  <si>
    <t>S034-004-002-001-002</t>
  </si>
  <si>
    <t>Protected Areas Designation</t>
  </si>
  <si>
    <t>S034-004-002-002-001</t>
  </si>
  <si>
    <t>Protected Areas Management</t>
  </si>
  <si>
    <t>S034-004-002-002-002</t>
  </si>
  <si>
    <t>South Ari Marine Park</t>
  </si>
  <si>
    <t>S034-004-002-003-001</t>
  </si>
  <si>
    <t>Conservation Sub - Unit</t>
  </si>
  <si>
    <t>S034-004-004-001-001</t>
  </si>
  <si>
    <t>S034-004-004-001-002</t>
  </si>
  <si>
    <t>Learning Awareness and Research Sub-Unit</t>
  </si>
  <si>
    <t>S034-004-004-001-003</t>
  </si>
  <si>
    <t>Administrative &amp; Finance</t>
  </si>
  <si>
    <t>S034-004-004-002-001</t>
  </si>
  <si>
    <t>Information Education And Communication Unit</t>
  </si>
  <si>
    <t>S034-005-001-001-001</t>
  </si>
  <si>
    <t>Monitoring And Evaluation (Waste) Unit</t>
  </si>
  <si>
    <t>S034-005-001-002-001</t>
  </si>
  <si>
    <t>Policy and Strategic Planning</t>
  </si>
  <si>
    <t>S034-005-001-003-001</t>
  </si>
  <si>
    <t>Technology Assessment And Development</t>
  </si>
  <si>
    <t>S034-005-002-001-001</t>
  </si>
  <si>
    <t>Pollution Control And Prevention</t>
  </si>
  <si>
    <t>S034-005-002-002-001</t>
  </si>
  <si>
    <t>Project Development And Implementation</t>
  </si>
  <si>
    <t>S034-005-003-001-001</t>
  </si>
  <si>
    <t>Information and Communication Technology</t>
  </si>
  <si>
    <t>S034-006-001-001-001</t>
  </si>
  <si>
    <t>S034-006-001-001-002</t>
  </si>
  <si>
    <t>Office Management</t>
  </si>
  <si>
    <t>S034-006-001-001-003</t>
  </si>
  <si>
    <t>S034-006-001-002-001</t>
  </si>
  <si>
    <t>S034-006-001-002-002</t>
  </si>
  <si>
    <t>Enforcement</t>
  </si>
  <si>
    <t>S034-006-002-001-001</t>
  </si>
  <si>
    <t>Survey and Research</t>
  </si>
  <si>
    <t>S034-006-002-001-002</t>
  </si>
  <si>
    <t>Conservation and Management</t>
  </si>
  <si>
    <t>S034-006-002-001-003</t>
  </si>
  <si>
    <t>Assessment</t>
  </si>
  <si>
    <t>S034-006-002-002-001</t>
  </si>
  <si>
    <t>S034-006-002-002-002</t>
  </si>
  <si>
    <t>Solid Waste Management</t>
  </si>
  <si>
    <t>S034-006-003-001-001</t>
  </si>
  <si>
    <t>Pollution Prevention</t>
  </si>
  <si>
    <t>S034-006-003-001-002</t>
  </si>
  <si>
    <t>Sewerage</t>
  </si>
  <si>
    <t>S034-006-003-002-001</t>
  </si>
  <si>
    <t>Water</t>
  </si>
  <si>
    <t>S034-006-003-002-002</t>
  </si>
  <si>
    <t>Environmental Laboratory</t>
  </si>
  <si>
    <t>S034-006-003-002-003</t>
  </si>
  <si>
    <t>Energy Policy and Economics</t>
  </si>
  <si>
    <t>S034-007-001-001-001</t>
  </si>
  <si>
    <t>Energy Advocacy</t>
  </si>
  <si>
    <t>S034-007-001-002-001</t>
  </si>
  <si>
    <t>Energy Technology &amp; Renewable Energy Development</t>
  </si>
  <si>
    <t>S034-007-002-002-001</t>
  </si>
  <si>
    <t>Energy Development</t>
  </si>
  <si>
    <t>S034-007-002-003-001</t>
  </si>
  <si>
    <t>Implementation &amp; Awareness</t>
  </si>
  <si>
    <t>S034-007-003-001-001</t>
  </si>
  <si>
    <t>Enforcement &amp; Monitoring</t>
  </si>
  <si>
    <t>S034-007-003-002-001</t>
  </si>
  <si>
    <t>Strategic Planning Unit</t>
  </si>
  <si>
    <t>S034-008-001-001-001</t>
  </si>
  <si>
    <t>Sector &amp; Development Unit</t>
  </si>
  <si>
    <t>S034-008-001-002-001</t>
  </si>
  <si>
    <t>Sector Governance Unit</t>
  </si>
  <si>
    <t>S034-008-001-003-001</t>
  </si>
  <si>
    <t>Monitoring &amp; Evaluation Unit</t>
  </si>
  <si>
    <t>S034-008-002-002-001</t>
  </si>
  <si>
    <t>Research &amp; Development Unit</t>
  </si>
  <si>
    <t>S034-008-002-003-001</t>
  </si>
  <si>
    <t>Information Dissemination And Advocacy Unit</t>
  </si>
  <si>
    <t>S034-008-002-004-001</t>
  </si>
  <si>
    <t>Emergency Water Supply</t>
  </si>
  <si>
    <t>S034-008-003-001-001</t>
  </si>
  <si>
    <t>Industry Development Unit</t>
  </si>
  <si>
    <t>S034-008-004-001-001</t>
  </si>
  <si>
    <t>Water And Sewerage Service Quality Assurance</t>
  </si>
  <si>
    <t>S034-008-004-002-001</t>
  </si>
  <si>
    <t>Project And Program Development &amp; Evaluation</t>
  </si>
  <si>
    <t>S034-008-004-003-001</t>
  </si>
  <si>
    <t>Implementation &amp; Monitoring</t>
  </si>
  <si>
    <t>S034-008-004-004-001</t>
  </si>
  <si>
    <t>S034-009-001-001-001</t>
  </si>
  <si>
    <t>S034-009-001-001-002</t>
  </si>
  <si>
    <t>S034-009-001-002-001</t>
  </si>
  <si>
    <t>S034-009-001-002-002</t>
  </si>
  <si>
    <t>S034-009-001-002-003</t>
  </si>
  <si>
    <t>Technical Enforcement</t>
  </si>
  <si>
    <t>S034-009-002-001-001</t>
  </si>
  <si>
    <t>Dispute Resolution</t>
  </si>
  <si>
    <t>S034-009-002-002-001</t>
  </si>
  <si>
    <t>Operators Licensing, System Reg. &amp; Prof Licensing</t>
  </si>
  <si>
    <t>S034-009-002-003-001</t>
  </si>
  <si>
    <t>Quality Assurance</t>
  </si>
  <si>
    <t>S034-009-003-001-001</t>
  </si>
  <si>
    <t>Monitoring &amp; Inspection</t>
  </si>
  <si>
    <t>S034-009-003-002-001</t>
  </si>
  <si>
    <t>Tariff Setting &amp; Monitoring</t>
  </si>
  <si>
    <t>S034-009-004-001-001</t>
  </si>
  <si>
    <t>Regulations, Code &amp; Standard</t>
  </si>
  <si>
    <t>S034-009-004-002-001</t>
  </si>
  <si>
    <t>Market Development &amp; Awareness</t>
  </si>
  <si>
    <t>S034-009-005-001-001</t>
  </si>
  <si>
    <t>Strategic Planning &amp; Statistics</t>
  </si>
  <si>
    <t>S034-009-005-002-001</t>
  </si>
  <si>
    <t>S034-010-001-001-001</t>
  </si>
  <si>
    <t>S034-010-001-001-002</t>
  </si>
  <si>
    <t>S034-010-001-003-001</t>
  </si>
  <si>
    <t>S034-010-001-004-001</t>
  </si>
  <si>
    <t>IT Development</t>
  </si>
  <si>
    <t>S034-010-003-002-001</t>
  </si>
  <si>
    <t>IT Standard</t>
  </si>
  <si>
    <t>S034-010-003-003-001</t>
  </si>
  <si>
    <t>Government Digital Services</t>
  </si>
  <si>
    <t>S034-010-006-005-001</t>
  </si>
  <si>
    <t>Digital Identity</t>
  </si>
  <si>
    <t>S034-010-006-006-001</t>
  </si>
  <si>
    <t>Government Productivity</t>
  </si>
  <si>
    <t>S034-010-006-007-001</t>
  </si>
  <si>
    <t>Government Technology Stack</t>
  </si>
  <si>
    <t>S034-010-006-008-001</t>
  </si>
  <si>
    <t>Gov mv</t>
  </si>
  <si>
    <t>S034-010-006-009-001</t>
  </si>
  <si>
    <t>Security Operation Center</t>
  </si>
  <si>
    <t>S034-010-006-010-001</t>
  </si>
  <si>
    <t>Digital Services Help Desk</t>
  </si>
  <si>
    <t>S034-010-006-011-001</t>
  </si>
  <si>
    <t>General Administration &amp; CA Office</t>
  </si>
  <si>
    <t>S034-011-001-001-001</t>
  </si>
  <si>
    <t>S034-011-001-001-002</t>
  </si>
  <si>
    <t>Organizational Excellence</t>
  </si>
  <si>
    <t>S034-011-001-001-003</t>
  </si>
  <si>
    <t>Customer Service</t>
  </si>
  <si>
    <t>S034-011-001-002-001</t>
  </si>
  <si>
    <t>Consumer Awareness &amp; Complains</t>
  </si>
  <si>
    <t>S034-011-001-002-002</t>
  </si>
  <si>
    <t>Information Systems</t>
  </si>
  <si>
    <t>S034-011-001-002-003</t>
  </si>
  <si>
    <t>S034-011-001-003-001</t>
  </si>
  <si>
    <t>S034-011-001-003-002</t>
  </si>
  <si>
    <t>Facility Management &amp; Security</t>
  </si>
  <si>
    <t>S034-011-001-003-003</t>
  </si>
  <si>
    <t>Licensing &amp; Enforcement</t>
  </si>
  <si>
    <t>S034-011-002-001-001</t>
  </si>
  <si>
    <t>Competition Management</t>
  </si>
  <si>
    <t>S034-011-002-001-002</t>
  </si>
  <si>
    <t>Regulation &amp; Universal Services</t>
  </si>
  <si>
    <t>S034-011-002-001-003</t>
  </si>
  <si>
    <t>Spectrum Management</t>
  </si>
  <si>
    <t>S034-011-002-002-001</t>
  </si>
  <si>
    <t>Numbering &amp; Electronic Addressing</t>
  </si>
  <si>
    <t>S034-011-002-002-002</t>
  </si>
  <si>
    <t>Standard &amp; Industry Codes</t>
  </si>
  <si>
    <t>S034-011-002-002-003</t>
  </si>
  <si>
    <t>S034-011-002-003-001</t>
  </si>
  <si>
    <t>Statistic &amp; Industry Research</t>
  </si>
  <si>
    <t>S034-011-002-003-002</t>
  </si>
  <si>
    <t>International Cordination &amp; Cyber Security</t>
  </si>
  <si>
    <t>S034-011-002-003-003</t>
  </si>
  <si>
    <t>Comunication, Science and Technology Policy Planning</t>
  </si>
  <si>
    <t>S034-012-001-001-001</t>
  </si>
  <si>
    <t>Digital government</t>
  </si>
  <si>
    <t>S034-012-002-001-001</t>
  </si>
  <si>
    <t>Digital economy and digital society</t>
  </si>
  <si>
    <t>S034-012-002-002-001</t>
  </si>
  <si>
    <t>Advance science and technology</t>
  </si>
  <si>
    <t>S034-012-002-003-001</t>
  </si>
  <si>
    <t>S035-001-001-001-001</t>
  </si>
  <si>
    <t>Admin</t>
  </si>
  <si>
    <t>S035-001-001-002-001</t>
  </si>
  <si>
    <t>S035-001-001-002-002</t>
  </si>
  <si>
    <t>S035-001-001-002-003</t>
  </si>
  <si>
    <t>S035-001-001-002-004</t>
  </si>
  <si>
    <t>S035-001-001-003-001</t>
  </si>
  <si>
    <t>S035-001-001-003-002</t>
  </si>
  <si>
    <t>Civil litigation and dispute resolution division</t>
  </si>
  <si>
    <t>S035-002-001-001-001</t>
  </si>
  <si>
    <t>Law reform and legislative affairs Division</t>
  </si>
  <si>
    <t>S035-002-002-001-001</t>
  </si>
  <si>
    <t>Legal Affairs Division</t>
  </si>
  <si>
    <t>S035-002-003-001-001</t>
  </si>
  <si>
    <t>S035-002-004-001-001</t>
  </si>
  <si>
    <t>International Affairs</t>
  </si>
  <si>
    <t>S035-002-004-001-002</t>
  </si>
  <si>
    <t>S035-002-005-001-001</t>
  </si>
  <si>
    <t>S036-001-001-001-001</t>
  </si>
  <si>
    <t>Executive Secretariate</t>
  </si>
  <si>
    <t>S036-001-001-002-001</t>
  </si>
  <si>
    <t>Purchasing</t>
  </si>
  <si>
    <t>S036-001-001-003-001</t>
  </si>
  <si>
    <t>Procurement Planning, And Contract Management</t>
  </si>
  <si>
    <t>S036-001-001-003-002</t>
  </si>
  <si>
    <t>S036-001-001-004-001</t>
  </si>
  <si>
    <t>Stock &amp; Inventory</t>
  </si>
  <si>
    <t>S036-001-001-004-002</t>
  </si>
  <si>
    <t>Infrastructure And Maintenance</t>
  </si>
  <si>
    <t>S036-001-001-004-003</t>
  </si>
  <si>
    <t>Recruitment And Personnel</t>
  </si>
  <si>
    <t>S036-001-001-005-001</t>
  </si>
  <si>
    <t>S036-001-001-005-002</t>
  </si>
  <si>
    <t>S036-001-001-006-001</t>
  </si>
  <si>
    <t>S036-001-001-006-002</t>
  </si>
  <si>
    <t>Communication And Public Relation</t>
  </si>
  <si>
    <t>S036-001-001-007-001</t>
  </si>
  <si>
    <t>S036-001-001-007-002</t>
  </si>
  <si>
    <t>Planning, Security And Management</t>
  </si>
  <si>
    <t>S036-001-001-008-001</t>
  </si>
  <si>
    <t>Network And System Administration</t>
  </si>
  <si>
    <t>S036-001-001-008-002</t>
  </si>
  <si>
    <t>Upper Support Services</t>
  </si>
  <si>
    <t>S036-001-001-008-003</t>
  </si>
  <si>
    <t>Gender Development</t>
  </si>
  <si>
    <t>S036-002-001-001-001</t>
  </si>
  <si>
    <t>Gender Advocacy</t>
  </si>
  <si>
    <t>S036-002-001-002-001</t>
  </si>
  <si>
    <t>S036-002-002-001-001</t>
  </si>
  <si>
    <t>Gender Equality Compliance</t>
  </si>
  <si>
    <t>S036-002-002-002-001</t>
  </si>
  <si>
    <t>S036-003-001-001-001</t>
  </si>
  <si>
    <t>Family Rights And Well-Being</t>
  </si>
  <si>
    <t>S036-003-001-002-001</t>
  </si>
  <si>
    <t>Elderly Rights</t>
  </si>
  <si>
    <t>S036-004-001-001-001</t>
  </si>
  <si>
    <t>Elderly Well-Being</t>
  </si>
  <si>
    <t>S036-004-001-002-001</t>
  </si>
  <si>
    <t>Disability Rights</t>
  </si>
  <si>
    <t>S036-005-001-001-001</t>
  </si>
  <si>
    <t>Disability Well-Being</t>
  </si>
  <si>
    <t>S036-005-001-002-001</t>
  </si>
  <si>
    <t>Policy Planning And Monitoring</t>
  </si>
  <si>
    <t>S036-006-001-001-001</t>
  </si>
  <si>
    <t>Research And Statistics</t>
  </si>
  <si>
    <t>S036-006-001-002-001</t>
  </si>
  <si>
    <t>International Cooperation</t>
  </si>
  <si>
    <t>S036-006-001-003-001</t>
  </si>
  <si>
    <t>Project Management Unit</t>
  </si>
  <si>
    <t>S036-006-001-004-001</t>
  </si>
  <si>
    <t>Legal Drafting</t>
  </si>
  <si>
    <t>S036-006-002-001-001</t>
  </si>
  <si>
    <t>Litigation</t>
  </si>
  <si>
    <t>S036-006-002-002-001</t>
  </si>
  <si>
    <t>Standards And Guideline</t>
  </si>
  <si>
    <t>S036-007-001-001-001</t>
  </si>
  <si>
    <t>Licensing And Audit</t>
  </si>
  <si>
    <t>S036-007-001-002-001</t>
  </si>
  <si>
    <t>Counselling And Psychosocial Support</t>
  </si>
  <si>
    <t>S036-008-001-001-001</t>
  </si>
  <si>
    <t>Care And Support</t>
  </si>
  <si>
    <t>S036-008-001-002-001</t>
  </si>
  <si>
    <t>Initial Response</t>
  </si>
  <si>
    <t>S036-008-001-003-001</t>
  </si>
  <si>
    <t>DV And GBV Protection</t>
  </si>
  <si>
    <t>S036-008-001-004-001</t>
  </si>
  <si>
    <t>S036-009-001-001-001</t>
  </si>
  <si>
    <t>S036-009-001-002-001</t>
  </si>
  <si>
    <t>Counseling And Psychosocial Support</t>
  </si>
  <si>
    <t>S036-009-001-003-001</t>
  </si>
  <si>
    <t>Fostering And Re-Integration</t>
  </si>
  <si>
    <t>S036-009-001-004-001</t>
  </si>
  <si>
    <t>S036-009-002-001-001</t>
  </si>
  <si>
    <t>Advocacy And Awareness</t>
  </si>
  <si>
    <t>S036-009-002-002-001</t>
  </si>
  <si>
    <t>S036-009-003-001-001</t>
  </si>
  <si>
    <t>Media Coordination</t>
  </si>
  <si>
    <t>S036-009-003-002-001</t>
  </si>
  <si>
    <t>Research And Statistics Unit</t>
  </si>
  <si>
    <t>S036-009-003-003-001</t>
  </si>
  <si>
    <t>S036-009-003-004-001</t>
  </si>
  <si>
    <t>Provision for Pay Harmonization</t>
  </si>
  <si>
    <t>S037-001-001-001-001</t>
  </si>
  <si>
    <t>President Maumoon Abdul Gayoom</t>
  </si>
  <si>
    <t>S037-002-001-001-001</t>
  </si>
  <si>
    <t>President Mohamed Nasheed</t>
  </si>
  <si>
    <t>S037-002-001-001-002</t>
  </si>
  <si>
    <t>President Abdulla Yameen Abdul Gayoom</t>
  </si>
  <si>
    <t>S037-002-001-001-003</t>
  </si>
  <si>
    <t>S037-002-001-002-001</t>
  </si>
  <si>
    <t>S037-002-001-002-002</t>
  </si>
  <si>
    <t>President Mohamed Waheed Hassan Maniku</t>
  </si>
  <si>
    <t>S037-002-001-002-003</t>
  </si>
  <si>
    <t>S037-002-001-002-004</t>
  </si>
  <si>
    <t>S037-002-001-003-001</t>
  </si>
  <si>
    <t>S037-002-001-003-002</t>
  </si>
  <si>
    <t>S037-002-001-003-003</t>
  </si>
  <si>
    <t>S037-002-001-003-004</t>
  </si>
  <si>
    <t>S037-002-001-004-001</t>
  </si>
  <si>
    <t>S037-002-001-004-002</t>
  </si>
  <si>
    <t>S037-002-001-004-003</t>
  </si>
  <si>
    <t>S037-002-001-004-004</t>
  </si>
  <si>
    <t>Electricity Charges for Government Offices</t>
  </si>
  <si>
    <t>S037-003-001-001-001</t>
  </si>
  <si>
    <t>Water &amp; Sewerage Charges for Government Offices</t>
  </si>
  <si>
    <t>S037-003-001-001-002</t>
  </si>
  <si>
    <t>Building Insurance (Fire &amp; Peril) for Government Officers</t>
  </si>
  <si>
    <t>S037-003-002-001-001</t>
  </si>
  <si>
    <t>Executive Insurance (Health) for Cabinet Ministers</t>
  </si>
  <si>
    <t>S037-003-002-001-002</t>
  </si>
  <si>
    <t>Legal Aide to the Government</t>
  </si>
  <si>
    <t>S037-003-003-001-001</t>
  </si>
  <si>
    <t>POS Terminal &amp; Payment Gateway Fess</t>
  </si>
  <si>
    <t>S037-003-003-002-001</t>
  </si>
  <si>
    <t>Bank Charges</t>
  </si>
  <si>
    <t>S037-003-003-002-002</t>
  </si>
  <si>
    <t>SAP License</t>
  </si>
  <si>
    <t>S037-003-003-003-001</t>
  </si>
  <si>
    <t>Credit Rating Fiscal Agent</t>
  </si>
  <si>
    <t>S037-003-003-003-002</t>
  </si>
  <si>
    <t>Bloomberg Portal Subscription</t>
  </si>
  <si>
    <t>S037-003-003-003-003</t>
  </si>
  <si>
    <t>Government Local Office Cost (UNDP)</t>
  </si>
  <si>
    <t>S037-003-003-003-004</t>
  </si>
  <si>
    <t>Valuation Expenses - State owned Land &amp; properties</t>
  </si>
  <si>
    <t>S037-003-003-004-001</t>
  </si>
  <si>
    <t>Marketing Cost - Tourism and Investment Promotion (MMPRC)</t>
  </si>
  <si>
    <t>S037-003-003-005-001</t>
  </si>
  <si>
    <t>Vehicles for State Agencies</t>
  </si>
  <si>
    <t>S037-003-004-001-001</t>
  </si>
  <si>
    <t>Civil Aviation Authority</t>
  </si>
  <si>
    <t>S037-004-001-001-001</t>
  </si>
  <si>
    <t>Capital Market Development Authority</t>
  </si>
  <si>
    <t>S037-004-001-002-002</t>
  </si>
  <si>
    <t>Maldives Bar Council</t>
  </si>
  <si>
    <t>S037-004-001-003-003</t>
  </si>
  <si>
    <t>Institute of Chartered Accountants of the Maldives</t>
  </si>
  <si>
    <t>S037-004-001-004-004</t>
  </si>
  <si>
    <t>Budget contribution for Political Parties</t>
  </si>
  <si>
    <t>S037-004-002-001-005</t>
  </si>
  <si>
    <t>Expansion of Regional Airport &amp; Ports</t>
  </si>
  <si>
    <t>S037-005-001-001-001</t>
  </si>
  <si>
    <t>High-speed Ferry Network (Northern Region)</t>
  </si>
  <si>
    <t>S037-005-002-002-001</t>
  </si>
  <si>
    <t>Public Service Media</t>
  </si>
  <si>
    <t>S037-005-003-003-001</t>
  </si>
  <si>
    <t>MIFCO - GDh.Gadhdhoo Ice Plant</t>
  </si>
  <si>
    <t>S037-005-004-001-001</t>
  </si>
  <si>
    <t>Treasury Bond (MMA)</t>
  </si>
  <si>
    <t>S037-006-001-001-001</t>
  </si>
  <si>
    <t>Domestic Loans</t>
  </si>
  <si>
    <t>S037-006-001-001-002</t>
  </si>
  <si>
    <t>Bond</t>
  </si>
  <si>
    <t>S037-006-001-001-003</t>
  </si>
  <si>
    <t>Pipeline Bonds</t>
  </si>
  <si>
    <t>S037-006-001-001-004</t>
  </si>
  <si>
    <t>Multi-lateral</t>
  </si>
  <si>
    <t>S037-006-001-001-005</t>
  </si>
  <si>
    <t>Bi-lateral</t>
  </si>
  <si>
    <t>S037-006-001-001-006</t>
  </si>
  <si>
    <t>Buyers Credit</t>
  </si>
  <si>
    <t>S037-006-001-001-007</t>
  </si>
  <si>
    <t>Pipeline Loans</t>
  </si>
  <si>
    <t>S037-006-001-001-008</t>
  </si>
  <si>
    <t>Private</t>
  </si>
  <si>
    <t>S037-006-001-001-009</t>
  </si>
  <si>
    <t>Other Financial Corporations</t>
  </si>
  <si>
    <t>S037-006-001-001-010</t>
  </si>
  <si>
    <t>Fixed Coupon Bonds</t>
  </si>
  <si>
    <t>S037-006-001-002-001</t>
  </si>
  <si>
    <t>Pension Accrued Rights</t>
  </si>
  <si>
    <t>S037-006-001-002-002</t>
  </si>
  <si>
    <t>T-Bill (MVR)</t>
  </si>
  <si>
    <t>S037-006-001-002-003</t>
  </si>
  <si>
    <t>T-Bill (USD) - equivalent MVR</t>
  </si>
  <si>
    <t>S037-006-001-002-004</t>
  </si>
  <si>
    <t>Islamic Instruments</t>
  </si>
  <si>
    <t>S037-006-001-002-005</t>
  </si>
  <si>
    <t>Variable Coupon Bond</t>
  </si>
  <si>
    <t>S037-006-001-002-006</t>
  </si>
  <si>
    <t>T-Bill</t>
  </si>
  <si>
    <t>S037-006-002-001-001</t>
  </si>
  <si>
    <t>S037-006-002-001-002</t>
  </si>
  <si>
    <t>S037-006-002-001-003</t>
  </si>
  <si>
    <t>S037-006-002-001-004</t>
  </si>
  <si>
    <t>S037-006-002-001-005</t>
  </si>
  <si>
    <t>S037-006-002-001-006</t>
  </si>
  <si>
    <t>S037-006-002-001-007</t>
  </si>
  <si>
    <t>S037-006-002-001-008</t>
  </si>
  <si>
    <t>S037-006-002-001-009</t>
  </si>
  <si>
    <t>S037-006-002-001-010</t>
  </si>
  <si>
    <t>S037-006-002-001-011</t>
  </si>
  <si>
    <t>S037-006-002-001-012</t>
  </si>
  <si>
    <t>S037-006-002-001-013</t>
  </si>
  <si>
    <t>S037-006-002-001-014</t>
  </si>
  <si>
    <t>Transport Subsidy (Public Ferry) by MTCC</t>
  </si>
  <si>
    <t>S037-007-001-001-001</t>
  </si>
  <si>
    <t>Electricity Subsidy (Stelco)</t>
  </si>
  <si>
    <t>S037-007-002-001-001</t>
  </si>
  <si>
    <t>Electricity Subsidy (Fenaka)</t>
  </si>
  <si>
    <t>S037-007-002-001-002</t>
  </si>
  <si>
    <t>Electricity Subsidy (MWSC)</t>
  </si>
  <si>
    <t>S037-007-002-001-003</t>
  </si>
  <si>
    <t>Electricity Subsidy (K.Huraa Council)</t>
  </si>
  <si>
    <t>S037-007-002-001-004</t>
  </si>
  <si>
    <t>Electricity Subsidy (R.Ungoofaaru Council)</t>
  </si>
  <si>
    <t>S037-007-002-001-005</t>
  </si>
  <si>
    <t>Fuel Subsidy (STO)</t>
  </si>
  <si>
    <t>S037-007-003-001-001</t>
  </si>
  <si>
    <t>Staple Food Subsidy (STO)</t>
  </si>
  <si>
    <t>S037-007-004-001-001</t>
  </si>
  <si>
    <t>Waste Management Subsidy (WAMCO)</t>
  </si>
  <si>
    <t>S037-007-005-001-001</t>
  </si>
  <si>
    <t>Water Subsidy (MWSC)</t>
  </si>
  <si>
    <t>S037-007-006-001-001</t>
  </si>
  <si>
    <t>Atoll Shop Revenues to Councils</t>
  </si>
  <si>
    <t>S037-007-007-001-001</t>
  </si>
  <si>
    <t>Fisheries Subsidy (MIFCO)</t>
  </si>
  <si>
    <t>S037-007-008-001-001</t>
  </si>
  <si>
    <t>Housing Subsidy (HDC)</t>
  </si>
  <si>
    <t>S037-007-009-001-001</t>
  </si>
  <si>
    <t>Sewerage Subsidy (Fenaka)</t>
  </si>
  <si>
    <t>S037-007-010-001-001</t>
  </si>
  <si>
    <t>S037-008-001-001-001</t>
  </si>
  <si>
    <t>Maldives Hajj Corporation</t>
  </si>
  <si>
    <t>S037-008-001-001-002</t>
  </si>
  <si>
    <t>Maldives Sports Corporation</t>
  </si>
  <si>
    <t>S037-008-001-001-003</t>
  </si>
  <si>
    <t>Maldives Integrated Tourism Development Corporation</t>
  </si>
  <si>
    <t>S037-008-001-001-004</t>
  </si>
  <si>
    <t>Business Center Corporation</t>
  </si>
  <si>
    <t>S037-008-001-001-005</t>
  </si>
  <si>
    <t>Kadhdhoo Airport Company Limited</t>
  </si>
  <si>
    <t>S037-008-001-001-006</t>
  </si>
  <si>
    <t>Aasandha Private Limited</t>
  </si>
  <si>
    <t>S037-008-001-001-007</t>
  </si>
  <si>
    <t>Maldives Fund Management Corporation Limited</t>
  </si>
  <si>
    <t>S037-008-001-001-008</t>
  </si>
  <si>
    <t>Waste Management Corporation Limited</t>
  </si>
  <si>
    <t>S037-008-001-001-009</t>
  </si>
  <si>
    <t>SME Development Finance Corporation Limited</t>
  </si>
  <si>
    <t>S037-008-001-001-010</t>
  </si>
  <si>
    <t>Addu International Airport Pvt Ltd</t>
  </si>
  <si>
    <t>S037-008-001-001-011</t>
  </si>
  <si>
    <t>Fahi Dhiriulhun Corporation Limited</t>
  </si>
  <si>
    <t>S037-008-001-001-012</t>
  </si>
  <si>
    <t>Housing Development Corporation Limited</t>
  </si>
  <si>
    <t>S037-008-001-001-013</t>
  </si>
  <si>
    <t>State Electric Company Limited</t>
  </si>
  <si>
    <t>S037-008-001-001-014</t>
  </si>
  <si>
    <t>Island Aviation Services Limited</t>
  </si>
  <si>
    <t>S037-008-001-001-015</t>
  </si>
  <si>
    <t>Trade-net Maldives Corporation Limited</t>
  </si>
  <si>
    <t>S037-008-001-001-016</t>
  </si>
  <si>
    <t>Regional Airports Company Limited</t>
  </si>
  <si>
    <t>S037-008-001-001-017</t>
  </si>
  <si>
    <t>Agro National Corporation</t>
  </si>
  <si>
    <t>S037-008-001-001-018</t>
  </si>
  <si>
    <t>Ocean Connect Maldives</t>
  </si>
  <si>
    <t>S037-008-001-001-019</t>
  </si>
  <si>
    <t>Maldives Post Limited</t>
  </si>
  <si>
    <t>S037-008-001-001-020</t>
  </si>
  <si>
    <t>IDB</t>
  </si>
  <si>
    <t>S037-009-001-001-001</t>
  </si>
  <si>
    <t>ICIEC</t>
  </si>
  <si>
    <t>S037-009-001-001-002</t>
  </si>
  <si>
    <t>IDA</t>
  </si>
  <si>
    <t>S037-009-001-001-003</t>
  </si>
  <si>
    <t>UNDP</t>
  </si>
  <si>
    <t>S037-009-001-001-004</t>
  </si>
  <si>
    <t>ICD</t>
  </si>
  <si>
    <t>S037-009-001-001-005</t>
  </si>
  <si>
    <t>AIIB</t>
  </si>
  <si>
    <t>S037-009-001-001-006</t>
  </si>
  <si>
    <t>ISDF</t>
  </si>
  <si>
    <t>S037-009-001-001-007</t>
  </si>
  <si>
    <t>ITFC</t>
  </si>
  <si>
    <t>S037-009-001-001-008</t>
  </si>
  <si>
    <t>ISCAP</t>
  </si>
  <si>
    <t>S037-009-001-001-009</t>
  </si>
  <si>
    <t>CFTC</t>
  </si>
  <si>
    <t>S037-009-001-001-010</t>
  </si>
  <si>
    <t>IBRD</t>
  </si>
  <si>
    <t>S037-009-001-001-011</t>
  </si>
  <si>
    <t>IFC</t>
  </si>
  <si>
    <t>S037-009-001-001-012</t>
  </si>
  <si>
    <t>Compensation - Legal Suits</t>
  </si>
  <si>
    <t>S037-010-001-001-001</t>
  </si>
  <si>
    <t>Budget Contingency</t>
  </si>
  <si>
    <t>S037-010-002-001-002</t>
  </si>
  <si>
    <t>Sifco Housing Project</t>
  </si>
  <si>
    <t>S037-011-001-001-001</t>
  </si>
  <si>
    <t>Settlement to WLT</t>
  </si>
  <si>
    <t>S037-011-002-001-001</t>
  </si>
  <si>
    <t>World Cup</t>
  </si>
  <si>
    <t>S037-011-003-001-001</t>
  </si>
  <si>
    <t>STO Fuel Bills</t>
  </si>
  <si>
    <t>S037-011-004-001-001</t>
  </si>
  <si>
    <t>Procuring Machineries, Equipment &amp; Vehicles</t>
  </si>
  <si>
    <t>S037-011-005-001-001</t>
  </si>
  <si>
    <t>POLCO Housing (361 Flat) - Hulhumale</t>
  </si>
  <si>
    <t>S037-011-006-001-001</t>
  </si>
  <si>
    <t>Long-Service Pension (20, 40, &amp; 60 years)</t>
  </si>
  <si>
    <t>S038-001-001-001-001</t>
  </si>
  <si>
    <t>Basic Pension</t>
  </si>
  <si>
    <t>S038-001-002-001-001</t>
  </si>
  <si>
    <t>Special Allowance (Matyrs, etc.)</t>
  </si>
  <si>
    <t>S038-001-003-001-001</t>
  </si>
  <si>
    <t>Civil Service Commision</t>
  </si>
  <si>
    <t>S038-002-001-001-001</t>
  </si>
  <si>
    <t>President Office</t>
  </si>
  <si>
    <t>S038-002-001-002-001</t>
  </si>
  <si>
    <t>Ministry of Defence</t>
  </si>
  <si>
    <t>S038-002-001-003-001</t>
  </si>
  <si>
    <t>Maldives Police Services</t>
  </si>
  <si>
    <t>S038-002-001-004-001</t>
  </si>
  <si>
    <t>Maldives Customes Services</t>
  </si>
  <si>
    <t>S038-002-001-005-001</t>
  </si>
  <si>
    <t>Auditor Generals Office</t>
  </si>
  <si>
    <t>S038-002-001-006-001</t>
  </si>
  <si>
    <t>Judicial Service Commision</t>
  </si>
  <si>
    <t>S038-002-001-007-001</t>
  </si>
  <si>
    <t>Prosecutor General Office</t>
  </si>
  <si>
    <t>S038-002-001-008-001</t>
  </si>
  <si>
    <t>Elections Commision</t>
  </si>
  <si>
    <t>S038-002-001-009-001</t>
  </si>
  <si>
    <t>Maldives National University</t>
  </si>
  <si>
    <t>S038-002-001-010-001</t>
  </si>
  <si>
    <t>Department of Judicial Administration</t>
  </si>
  <si>
    <t>S038-002-001-011-001</t>
  </si>
  <si>
    <t>Maldives Correctional Service</t>
  </si>
  <si>
    <t>S038-002-001-012-001</t>
  </si>
  <si>
    <t>Islamic University of Maldives</t>
  </si>
  <si>
    <t>S038-002-001-013-001</t>
  </si>
  <si>
    <t>Anti Corruption Commission</t>
  </si>
  <si>
    <t>S038-002-001-014-001</t>
  </si>
  <si>
    <t>Peoples Majlis</t>
  </si>
  <si>
    <t>S038-002-001-015-001</t>
  </si>
  <si>
    <t>Information Commisioners Office</t>
  </si>
  <si>
    <t>S038-002-001-016-001</t>
  </si>
  <si>
    <t>Hulhumale Hospital</t>
  </si>
  <si>
    <t>S038-002-001-017-001</t>
  </si>
  <si>
    <t>Monthly benefits for new retirees</t>
  </si>
  <si>
    <t>S038-002-002-001-001</t>
  </si>
  <si>
    <t>Monthly benefits for the retirees - end of last fiscal year</t>
  </si>
  <si>
    <t>S038-002-002-001-002</t>
  </si>
  <si>
    <t>S038-002-002-001-003</t>
  </si>
  <si>
    <t>S038-002-002-002-001</t>
  </si>
  <si>
    <t>S038-002-002-002-002</t>
  </si>
  <si>
    <t>S038-002-002-002-003</t>
  </si>
  <si>
    <t>S038-002-002-003-001</t>
  </si>
  <si>
    <t>S038-002-002-003-002</t>
  </si>
  <si>
    <t>S038-002-002-003-003</t>
  </si>
  <si>
    <t>S038-002-002-004-001</t>
  </si>
  <si>
    <t>S038-002-002-004-002</t>
  </si>
  <si>
    <t>S038-002-002-004-003</t>
  </si>
  <si>
    <t>S038-002-002-005-001</t>
  </si>
  <si>
    <t>S038-002-002-005-002</t>
  </si>
  <si>
    <t>S038-002-002-005-003</t>
  </si>
  <si>
    <t>S038-002-002-006-001</t>
  </si>
  <si>
    <t>S038-002-002-006-002</t>
  </si>
  <si>
    <t>S038-002-002-006-003</t>
  </si>
  <si>
    <t>S038-002-002-007-001</t>
  </si>
  <si>
    <t>S038-002-002-007-002</t>
  </si>
  <si>
    <t>S038-002-002-007-003</t>
  </si>
  <si>
    <t>S038-002-002-008-001</t>
  </si>
  <si>
    <t>S038-002-002-008-002</t>
  </si>
  <si>
    <t>S038-002-002-008-003</t>
  </si>
  <si>
    <t>S038-002-002-009-001</t>
  </si>
  <si>
    <t>S038-002-002-009-002</t>
  </si>
  <si>
    <t>S038-002-002-009-003</t>
  </si>
  <si>
    <t>S038-002-002-010-001</t>
  </si>
  <si>
    <t>S038-002-002-010-002</t>
  </si>
  <si>
    <t>S038-002-002-010-003</t>
  </si>
  <si>
    <t>S038-002-002-011-001</t>
  </si>
  <si>
    <t>S038-002-002-011-002</t>
  </si>
  <si>
    <t>Anti Corruption Office</t>
  </si>
  <si>
    <t>S038-002-002-011-003</t>
  </si>
  <si>
    <t>S038-002-002-012-001</t>
  </si>
  <si>
    <t>S038-002-002-012-002</t>
  </si>
  <si>
    <t>S038-002-002-012-003</t>
  </si>
  <si>
    <t>S038-002-002-013-001</t>
  </si>
  <si>
    <t>S038-002-002-013-002</t>
  </si>
  <si>
    <t>S038-002-002-013-003</t>
  </si>
  <si>
    <t>S038-002-002-014-001</t>
  </si>
  <si>
    <t>S038-002-002-015-001</t>
  </si>
  <si>
    <t>Information Commissioners Office</t>
  </si>
  <si>
    <t>S038-002-002-016-001</t>
  </si>
  <si>
    <t>S038-002-002-017-001</t>
  </si>
  <si>
    <t>Executive Support</t>
  </si>
  <si>
    <t>S039-001-001-001-001</t>
  </si>
  <si>
    <t>S039-001-001-002-001</t>
  </si>
  <si>
    <t>Police Media</t>
  </si>
  <si>
    <t>S039-001-001-003-001</t>
  </si>
  <si>
    <t>Strategic Planning Department</t>
  </si>
  <si>
    <t>S039-001-002-001-001</t>
  </si>
  <si>
    <t>Legal Department</t>
  </si>
  <si>
    <t>S039-001-002-002-001</t>
  </si>
  <si>
    <t>Police Corporative Society</t>
  </si>
  <si>
    <t>S039-001-003-001-001</t>
  </si>
  <si>
    <t>Institute for Security &amp; law Enforcement</t>
  </si>
  <si>
    <t>S039-002-001-001-001</t>
  </si>
  <si>
    <t>Police Academy</t>
  </si>
  <si>
    <t>S039-002-002-001-001</t>
  </si>
  <si>
    <t>S039-003-001-001-001</t>
  </si>
  <si>
    <t>Internal Investigation</t>
  </si>
  <si>
    <t>S039-003-001-002-001</t>
  </si>
  <si>
    <t>Quality Assurance &amp; Awareness</t>
  </si>
  <si>
    <t>S039-003-001-003-001</t>
  </si>
  <si>
    <t>Information &amp; Communication Technology Services</t>
  </si>
  <si>
    <t>S039-004-001-001-001</t>
  </si>
  <si>
    <t>Bureau of Crime Records</t>
  </si>
  <si>
    <t>S039-004-001-002-001</t>
  </si>
  <si>
    <t>Crime Prevention &amp; Public Affairs</t>
  </si>
  <si>
    <t>S039-004-001-003-001</t>
  </si>
  <si>
    <t>Quality Management</t>
  </si>
  <si>
    <t>S039-005-001-001-001</t>
  </si>
  <si>
    <t>Crime Scene Investigation</t>
  </si>
  <si>
    <t>S039-005-001-002-001</t>
  </si>
  <si>
    <t>Evidence Control</t>
  </si>
  <si>
    <t>S039-005-001-003-001</t>
  </si>
  <si>
    <t>Laboratories</t>
  </si>
  <si>
    <t>S039-005-001-004-001</t>
  </si>
  <si>
    <t>S039-006-001-001-001</t>
  </si>
  <si>
    <t>Finance &amp; Asset Management</t>
  </si>
  <si>
    <t>S039-006-001-002-001</t>
  </si>
  <si>
    <t>Logistic Services</t>
  </si>
  <si>
    <t>S039-007-001-001-001</t>
  </si>
  <si>
    <t>Police Medical Services</t>
  </si>
  <si>
    <t>S039-007-001-002-001</t>
  </si>
  <si>
    <t>Uniform</t>
  </si>
  <si>
    <t>S039-007-001-003-001</t>
  </si>
  <si>
    <t>Accessories</t>
  </si>
  <si>
    <t>S039-007-001-004-001</t>
  </si>
  <si>
    <t>Investigation Development Unit</t>
  </si>
  <si>
    <t>S039-008-001-001-001</t>
  </si>
  <si>
    <t>Evidence Custodian</t>
  </si>
  <si>
    <t>S039-008-001-002-001</t>
  </si>
  <si>
    <t>Major Case Management</t>
  </si>
  <si>
    <t>S039-008-001-003-001</t>
  </si>
  <si>
    <t>Victim Support</t>
  </si>
  <si>
    <t>S039-008-001-004-001</t>
  </si>
  <si>
    <t>Drug Enforcement</t>
  </si>
  <si>
    <t>S039-008-002-001-001</t>
  </si>
  <si>
    <t>Serious &amp; Organized Crimes</t>
  </si>
  <si>
    <t>S039-008-002-002-001</t>
  </si>
  <si>
    <t>Economic Crime</t>
  </si>
  <si>
    <t>S039-008-002-003-001</t>
  </si>
  <si>
    <t>Anti-human Trafficking</t>
  </si>
  <si>
    <t>S039-008-002-004-001</t>
  </si>
  <si>
    <t>General Investigation</t>
  </si>
  <si>
    <t>S039-008-002-005-001</t>
  </si>
  <si>
    <t>Advocacy &amp; Project implementation</t>
  </si>
  <si>
    <t>S039-008-003-001-001</t>
  </si>
  <si>
    <t>Crimes against child</t>
  </si>
  <si>
    <t>S039-008-003-002-001</t>
  </si>
  <si>
    <t>Juvenile Offence</t>
  </si>
  <si>
    <t>S039-008-003-003-001</t>
  </si>
  <si>
    <t>Family &amp; Gender Affairs</t>
  </si>
  <si>
    <t>S039-008-003-004-001</t>
  </si>
  <si>
    <t>Counter Terrorism</t>
  </si>
  <si>
    <t>S039-009-001-001-001</t>
  </si>
  <si>
    <t>Criminal Intelligence</t>
  </si>
  <si>
    <t>S039-009-001-002-001</t>
  </si>
  <si>
    <t>Intelligence Support Divisional Intelligence</t>
  </si>
  <si>
    <t>S039-009-001-003-001</t>
  </si>
  <si>
    <t>Counter Intelligence</t>
  </si>
  <si>
    <t>S039-009-001-004-001</t>
  </si>
  <si>
    <t>Interpol N. C. B</t>
  </si>
  <si>
    <t>S039-009-001-005-001</t>
  </si>
  <si>
    <t>Maafannu Police</t>
  </si>
  <si>
    <t>S039-010-001-001-001</t>
  </si>
  <si>
    <t>Galolhu Police</t>
  </si>
  <si>
    <t>S039-010-001-002-001</t>
  </si>
  <si>
    <t>Villimale Police</t>
  </si>
  <si>
    <t>S039-010-001-003-001</t>
  </si>
  <si>
    <t>Traffic Management</t>
  </si>
  <si>
    <t>S039-010-001-004-001</t>
  </si>
  <si>
    <t>Hulhumale operations</t>
  </si>
  <si>
    <t>S039-010-002-001-001</t>
  </si>
  <si>
    <t>Hulhumale Investigations</t>
  </si>
  <si>
    <t>S039-010-002-002-001</t>
  </si>
  <si>
    <t>Hulhumale traffic police</t>
  </si>
  <si>
    <t>S039-010-002-003-001</t>
  </si>
  <si>
    <t>Industrial Security</t>
  </si>
  <si>
    <t>S039-010-003-001-001</t>
  </si>
  <si>
    <t>Special operations</t>
  </si>
  <si>
    <t>S039-010-003-002-001</t>
  </si>
  <si>
    <t>Marine Police</t>
  </si>
  <si>
    <t>S039-010-003-003-001</t>
  </si>
  <si>
    <t>Police Custodial</t>
  </si>
  <si>
    <t>S039-010-003-004-001</t>
  </si>
  <si>
    <t>Police Communication Centre</t>
  </si>
  <si>
    <t>S039-010-004-001-001</t>
  </si>
  <si>
    <t>Major Events</t>
  </si>
  <si>
    <t>S039-010-004-002-001</t>
  </si>
  <si>
    <t>Upper North Police</t>
  </si>
  <si>
    <t>S039-011-001-001-001</t>
  </si>
  <si>
    <t>North Police</t>
  </si>
  <si>
    <t>S039-011-001-002-001</t>
  </si>
  <si>
    <t>North Central Police</t>
  </si>
  <si>
    <t>S039-011-001-003-001</t>
  </si>
  <si>
    <t>Central Police</t>
  </si>
  <si>
    <t>S039-011-002-001-001</t>
  </si>
  <si>
    <t>South-central Police</t>
  </si>
  <si>
    <t>S039-011-002-002-001</t>
  </si>
  <si>
    <t>Upper-south Police</t>
  </si>
  <si>
    <t>S039-011-002-003-001</t>
  </si>
  <si>
    <t>South Police</t>
  </si>
  <si>
    <t>S039-011-002-004-001</t>
  </si>
  <si>
    <t>Divisional Support</t>
  </si>
  <si>
    <t>S039-011-003-001-001</t>
  </si>
  <si>
    <t>Customs Academy</t>
  </si>
  <si>
    <t>S040-001-001-001-001</t>
  </si>
  <si>
    <t>S040-001-002-001-001</t>
  </si>
  <si>
    <t>Budget and revenue</t>
  </si>
  <si>
    <t>S040-002-001-001-001</t>
  </si>
  <si>
    <t>Inventory Management</t>
  </si>
  <si>
    <t>S040-002-001-002-001</t>
  </si>
  <si>
    <t>S040-002-001-003-001</t>
  </si>
  <si>
    <t>Transport and Maintenance</t>
  </si>
  <si>
    <t>S040-002-001-004-001</t>
  </si>
  <si>
    <t>Network and Communication</t>
  </si>
  <si>
    <t>S040-002-001-005-001</t>
  </si>
  <si>
    <t>Strategic Management</t>
  </si>
  <si>
    <t>S040-002-002-001-001</t>
  </si>
  <si>
    <t>Media and Public Relation</t>
  </si>
  <si>
    <t>S040-002-002-002-001</t>
  </si>
  <si>
    <t>Customs Support center</t>
  </si>
  <si>
    <t>S040-002-002-003-001</t>
  </si>
  <si>
    <t>Commissioner General Bureau</t>
  </si>
  <si>
    <t>S040-002-003-001-001</t>
  </si>
  <si>
    <t>S040-002-003-002-001</t>
  </si>
  <si>
    <t>Integrity and Professional Standards</t>
  </si>
  <si>
    <t>S040-002-003-003-001</t>
  </si>
  <si>
    <t>Valuation and Procedures Section</t>
  </si>
  <si>
    <t>S040-003-001-001-001</t>
  </si>
  <si>
    <t>Tariff &amp; Statistics</t>
  </si>
  <si>
    <t>S040-003-001-002-001</t>
  </si>
  <si>
    <t>Information System and Integration</t>
  </si>
  <si>
    <t>S040-003-001-003-001</t>
  </si>
  <si>
    <t>Data Analytics and Management</t>
  </si>
  <si>
    <t>S040-003-001-004-001</t>
  </si>
  <si>
    <t>Risk Management</t>
  </si>
  <si>
    <t>S040-003-002-001-001</t>
  </si>
  <si>
    <t>Post Clearance and audit</t>
  </si>
  <si>
    <t>S040-003-002-002-001</t>
  </si>
  <si>
    <t>Intelligence</t>
  </si>
  <si>
    <t>S040-004-001-001-001</t>
  </si>
  <si>
    <t>Airport Surveillance &amp; Interdiction</t>
  </si>
  <si>
    <t>S040-004-001-002-001</t>
  </si>
  <si>
    <t>Seaport Surveillance and Interdiction</t>
  </si>
  <si>
    <t>S040-004-001-003-001</t>
  </si>
  <si>
    <t>Harbor Management</t>
  </si>
  <si>
    <t>S040-004-002-001-001</t>
  </si>
  <si>
    <t>Uligam Customs</t>
  </si>
  <si>
    <t>S040-004-002-002-001</t>
  </si>
  <si>
    <t>Special Operations</t>
  </si>
  <si>
    <t>S040-004-003-001-001</t>
  </si>
  <si>
    <t>Investigation and Prosecution</t>
  </si>
  <si>
    <t>S040-004-003-002-001</t>
  </si>
  <si>
    <t>Legal Affairs Section</t>
  </si>
  <si>
    <t>S040-004-003-003-001</t>
  </si>
  <si>
    <t>Air cargo Documentation</t>
  </si>
  <si>
    <t>S040-004-004-001-001</t>
  </si>
  <si>
    <t>Air cargo Examination</t>
  </si>
  <si>
    <t>S040-004-004-002-001</t>
  </si>
  <si>
    <t>Post &amp; Consignments</t>
  </si>
  <si>
    <t>S040-004-004-003-001</t>
  </si>
  <si>
    <t>Bonded Warehouse Documentation</t>
  </si>
  <si>
    <t>S040-004-004-004-001</t>
  </si>
  <si>
    <t>Bonded Warehouse Examination</t>
  </si>
  <si>
    <t>S040-004-004-005-001</t>
  </si>
  <si>
    <t>Hulhumale Sea Cargo examination</t>
  </si>
  <si>
    <t>S040-004-004-006-001</t>
  </si>
  <si>
    <t>HDH. Hanimaadhoo Customs</t>
  </si>
  <si>
    <t>S040-004-004-007-001</t>
  </si>
  <si>
    <t>N. Maafaru Customs</t>
  </si>
  <si>
    <t>S040-004-004-008-001</t>
  </si>
  <si>
    <t>Passenger clearance</t>
  </si>
  <si>
    <t>S040-004-004-009-001</t>
  </si>
  <si>
    <t>S. Gan Customs</t>
  </si>
  <si>
    <t>S040-004-004-010-001</t>
  </si>
  <si>
    <t>Ga. Vilingili Customs</t>
  </si>
  <si>
    <t>S040-004-004-011-001</t>
  </si>
  <si>
    <t>Kdh. Kulhudhufushi Customs</t>
  </si>
  <si>
    <t>S040-004-004-012-001</t>
  </si>
  <si>
    <t>K. Thilafushi Customs</t>
  </si>
  <si>
    <t>S040-004-004-013-001</t>
  </si>
  <si>
    <t>K.Thlusdhoo Customs</t>
  </si>
  <si>
    <t>S040-004-004-014-001</t>
  </si>
  <si>
    <t>L.Gan Customs</t>
  </si>
  <si>
    <t>S040-004-004-015-001</t>
  </si>
  <si>
    <t>S. Hithadhoo Customs</t>
  </si>
  <si>
    <t>S040-004-004-016-001</t>
  </si>
  <si>
    <t>Sea Cargo Documentation</t>
  </si>
  <si>
    <t>S040-004-004-017-001</t>
  </si>
  <si>
    <t>Sea Cargo Examination</t>
  </si>
  <si>
    <t>S040-004-004-018-001</t>
  </si>
  <si>
    <t>Strategic Management Section</t>
  </si>
  <si>
    <t>S040-005-001-001-001</t>
  </si>
  <si>
    <t>Administrative Section</t>
  </si>
  <si>
    <t>S040-005-002-001-001</t>
  </si>
  <si>
    <t>S041-001-001-001-001</t>
  </si>
  <si>
    <t>Maintenance &amp; Procurement Unit</t>
  </si>
  <si>
    <t>S041-001-001-001-002</t>
  </si>
  <si>
    <t>Public Relation Unit</t>
  </si>
  <si>
    <t>S041-001-001-002-001</t>
  </si>
  <si>
    <t>Board Secretariat Unit</t>
  </si>
  <si>
    <t>S041-001-001-002-002</t>
  </si>
  <si>
    <t>Payment Unit</t>
  </si>
  <si>
    <t>S041-001-001-003-001</t>
  </si>
  <si>
    <t>Budget Unit</t>
  </si>
  <si>
    <t>S041-001-001-003-002</t>
  </si>
  <si>
    <t>S041-001-001-004-001</t>
  </si>
  <si>
    <t>S041-001-001-005-001</t>
  </si>
  <si>
    <t>Recovery</t>
  </si>
  <si>
    <t>S041-002-001-001-001</t>
  </si>
  <si>
    <t>S041-002-001-002-001</t>
  </si>
  <si>
    <t>Safety Net</t>
  </si>
  <si>
    <t>S041-002-002-001-001</t>
  </si>
  <si>
    <t>Disability Aid</t>
  </si>
  <si>
    <t>S041-002-002-002-001</t>
  </si>
  <si>
    <t>National Disability Registry</t>
  </si>
  <si>
    <t>S041-002-002-003-001</t>
  </si>
  <si>
    <t>S041-002-003-001-001</t>
  </si>
  <si>
    <t>Legal &amp; Arbitration</t>
  </si>
  <si>
    <t>S041-002-003-002-001</t>
  </si>
  <si>
    <t>Medical Welfare</t>
  </si>
  <si>
    <t>S041-002-004-001-001</t>
  </si>
  <si>
    <t>Welfare Aid</t>
  </si>
  <si>
    <t>S041-002-004-002-001</t>
  </si>
  <si>
    <t>Call Center</t>
  </si>
  <si>
    <t>S041-002-005-001-001</t>
  </si>
  <si>
    <t>Front Office &amp; Dispatch Counter</t>
  </si>
  <si>
    <t>S041-002-005-002-001</t>
  </si>
  <si>
    <t>CEO &amp; Senior Executives</t>
  </si>
  <si>
    <t>S042-001-001-001-001</t>
  </si>
  <si>
    <t>Administration &amp; Executive Support</t>
  </si>
  <si>
    <t>S042-001-001-002-001</t>
  </si>
  <si>
    <t>S042-001-001-003-001</t>
  </si>
  <si>
    <t>S042-001-001-004-001</t>
  </si>
  <si>
    <t>S042-001-001-005-001</t>
  </si>
  <si>
    <t>Customer Service &amp; Public Relations</t>
  </si>
  <si>
    <t>S042-001-001-006-001</t>
  </si>
  <si>
    <t>Facilities Management</t>
  </si>
  <si>
    <t>S042-001-001-007-001</t>
  </si>
  <si>
    <t>S042-001-001-008-001</t>
  </si>
  <si>
    <t>S042-001-001-009-001</t>
  </si>
  <si>
    <t>Purchase &amp; Supplies</t>
  </si>
  <si>
    <t>S042-001-001-010-001</t>
  </si>
  <si>
    <t>S042-001-001-011-001</t>
  </si>
  <si>
    <t>Quality Assurance Improvement</t>
  </si>
  <si>
    <t>S042-001-001-012-001</t>
  </si>
  <si>
    <t>Strategic Planning</t>
  </si>
  <si>
    <t>S042-001-001-013-001</t>
  </si>
  <si>
    <t>Biomedical</t>
  </si>
  <si>
    <t>S042-001-001-014-001</t>
  </si>
  <si>
    <t>NCC</t>
  </si>
  <si>
    <t>S042-002-001-001-001</t>
  </si>
  <si>
    <t>NURF</t>
  </si>
  <si>
    <t>S042-002-001-002-001</t>
  </si>
  <si>
    <t>Oncology</t>
  </si>
  <si>
    <t>S042-002-001-003-001</t>
  </si>
  <si>
    <t>Pulmonology</t>
  </si>
  <si>
    <t>S042-002-001-004-001</t>
  </si>
  <si>
    <t>Diabetic</t>
  </si>
  <si>
    <t>S042-002-001-005-001</t>
  </si>
  <si>
    <t>Stoke</t>
  </si>
  <si>
    <t>S042-002-001-006-001</t>
  </si>
  <si>
    <t>Mental Health</t>
  </si>
  <si>
    <t>S042-002-001-007-001</t>
  </si>
  <si>
    <t>Anesthesiology</t>
  </si>
  <si>
    <t>S042-002-002-001-001</t>
  </si>
  <si>
    <t>IM</t>
  </si>
  <si>
    <t>S042-002-002-002-001</t>
  </si>
  <si>
    <t>Surgery</t>
  </si>
  <si>
    <t>S042-002-002-003-001</t>
  </si>
  <si>
    <t>ENT</t>
  </si>
  <si>
    <t>S042-002-002-004-001</t>
  </si>
  <si>
    <t>Orthopeadics</t>
  </si>
  <si>
    <t>S042-002-002-005-001</t>
  </si>
  <si>
    <t>Peadiatrics</t>
  </si>
  <si>
    <t>S042-002-002-006-001</t>
  </si>
  <si>
    <t>OB&amp;Gyn</t>
  </si>
  <si>
    <t>S042-002-002-007-001</t>
  </si>
  <si>
    <t>Dental</t>
  </si>
  <si>
    <t>S042-002-002-008-001</t>
  </si>
  <si>
    <t>Dermatology</t>
  </si>
  <si>
    <t>S042-002-002-009-001</t>
  </si>
  <si>
    <t>Ophthalmology</t>
  </si>
  <si>
    <t>S042-002-002-010-001</t>
  </si>
  <si>
    <t>Neurology</t>
  </si>
  <si>
    <t>S042-002-002-011-001</t>
  </si>
  <si>
    <t>Laboratory</t>
  </si>
  <si>
    <t>S042-002-003-001-001</t>
  </si>
  <si>
    <t>Radiology</t>
  </si>
  <si>
    <t>S042-002-003-002-001</t>
  </si>
  <si>
    <t>Physiotherapy</t>
  </si>
  <si>
    <t>S042-002-004-001-001</t>
  </si>
  <si>
    <t>Speech</t>
  </si>
  <si>
    <t>S042-002-004-002-001</t>
  </si>
  <si>
    <t>Dietetic</t>
  </si>
  <si>
    <t>S042-002-004-003-001</t>
  </si>
  <si>
    <t>ICCU</t>
  </si>
  <si>
    <t>S042-003-001-001-001</t>
  </si>
  <si>
    <t>MOT</t>
  </si>
  <si>
    <t>S042-003-001-002-001</t>
  </si>
  <si>
    <t>NICU</t>
  </si>
  <si>
    <t>S042-003-001-003-001</t>
  </si>
  <si>
    <t>CCU</t>
  </si>
  <si>
    <t>S042-003-001-004-001</t>
  </si>
  <si>
    <t>NIV</t>
  </si>
  <si>
    <t>S042-003-001-005-001</t>
  </si>
  <si>
    <t>Accident &amp; Emergency</t>
  </si>
  <si>
    <t>S042-003-001-006-001</t>
  </si>
  <si>
    <t>OBG ER</t>
  </si>
  <si>
    <t>S042-003-001-007-001</t>
  </si>
  <si>
    <t>GOT</t>
  </si>
  <si>
    <t>S042-003-001-008-001</t>
  </si>
  <si>
    <t>Wards</t>
  </si>
  <si>
    <t>S042-003-002-001-001</t>
  </si>
  <si>
    <t>Private Rooms</t>
  </si>
  <si>
    <t>S042-003-002-002-001</t>
  </si>
  <si>
    <t>Speciality clinics</t>
  </si>
  <si>
    <t>S042-003-002-003-001</t>
  </si>
  <si>
    <t>Nursing OPD</t>
  </si>
  <si>
    <t>S042-003-002-004-001</t>
  </si>
  <si>
    <t>CSSD</t>
  </si>
  <si>
    <t>S042-003-002-005-001</t>
  </si>
  <si>
    <t>Dialysis</t>
  </si>
  <si>
    <t>S042-003-002-006-001</t>
  </si>
  <si>
    <t>Maternal &amp; Child Health</t>
  </si>
  <si>
    <t>S042-003-002-007-001</t>
  </si>
  <si>
    <t>S042-004-001-001-001</t>
  </si>
  <si>
    <t>Dunning &amp; Reconciliation</t>
  </si>
  <si>
    <t>S042-004-001-002-001</t>
  </si>
  <si>
    <t>S042-004-001-003-001</t>
  </si>
  <si>
    <t>Procurement &amp; Store</t>
  </si>
  <si>
    <t>S042-004-001-004-001</t>
  </si>
  <si>
    <t>S042-004-001-005-001</t>
  </si>
  <si>
    <t>Transport &amp; Maintenance</t>
  </si>
  <si>
    <t>S042-004-001-006-001</t>
  </si>
  <si>
    <t>Housekeeping &amp; Security</t>
  </si>
  <si>
    <t>S042-004-001-007-001</t>
  </si>
  <si>
    <t>Outpatient Clinics</t>
  </si>
  <si>
    <t>S042-004-002-001-001</t>
  </si>
  <si>
    <t>S042-004-002-002-001</t>
  </si>
  <si>
    <t>S042-004-002-003-001</t>
  </si>
  <si>
    <t>Casualty &amp; ER</t>
  </si>
  <si>
    <t>S042-004-003-001-001</t>
  </si>
  <si>
    <t>S042-004-003-002-001</t>
  </si>
  <si>
    <t>Public Health</t>
  </si>
  <si>
    <t>S042-004-004-001-001</t>
  </si>
  <si>
    <t>Block Grant for local councils</t>
  </si>
  <si>
    <t>S043-001-001-001-001</t>
  </si>
  <si>
    <t>S044-001-001-001-001</t>
  </si>
  <si>
    <t>Human Resources &amp; Finance</t>
  </si>
  <si>
    <t>S044-001-001-002-001</t>
  </si>
  <si>
    <t>S044-001-001-003-001</t>
  </si>
  <si>
    <t>S044-001-002-001-001</t>
  </si>
  <si>
    <t>S044-001-002-002-001</t>
  </si>
  <si>
    <t>Capacity Development</t>
  </si>
  <si>
    <t>S044-002-001-001-001</t>
  </si>
  <si>
    <t>S044-002-002-001-001</t>
  </si>
  <si>
    <t>Referral</t>
  </si>
  <si>
    <t>S044-003-001-001-001</t>
  </si>
  <si>
    <t>S044-003-002-001-001</t>
  </si>
  <si>
    <t>S044-006-001-001-001</t>
  </si>
  <si>
    <t>S044-006-002-001-001</t>
  </si>
  <si>
    <t>S044-007-001-001-001</t>
  </si>
  <si>
    <t>Bureau Of The Chief Of Defence Force</t>
  </si>
  <si>
    <t>S045-001-001-001-001</t>
  </si>
  <si>
    <t>Bureau Of The Vice Chief Of Defence Force</t>
  </si>
  <si>
    <t>S045-001-001-002-001</t>
  </si>
  <si>
    <t>Secretariat Of Advisory Council</t>
  </si>
  <si>
    <t>S045-001-001-003-001</t>
  </si>
  <si>
    <t>Directorate Of Administration And Personnel Services (J1)</t>
  </si>
  <si>
    <t>S045-001-002-001-001</t>
  </si>
  <si>
    <t>Directorate Of Military Intelligence (J2)</t>
  </si>
  <si>
    <t>S045-001-002-002-001</t>
  </si>
  <si>
    <t>Directorate Of Operations And Training (J3/J7)</t>
  </si>
  <si>
    <t>S045-001-002-003-001</t>
  </si>
  <si>
    <t>Directorate Of Logistics (J4)</t>
  </si>
  <si>
    <t>S045-001-002-004-001</t>
  </si>
  <si>
    <t>Directorate Of Plans, Policy And Resource Management (J5/J8)</t>
  </si>
  <si>
    <t>S045-001-002-005-001</t>
  </si>
  <si>
    <t>Directorate Of C4 Systems (J6)</t>
  </si>
  <si>
    <t>S045-001-002-006-001</t>
  </si>
  <si>
    <t>Directorate Of Civil Affairs (J9)</t>
  </si>
  <si>
    <t>S045-001-002-007-001</t>
  </si>
  <si>
    <t>Coast Guard</t>
  </si>
  <si>
    <t>S045-002-001-001-001</t>
  </si>
  <si>
    <t>Marine Corps</t>
  </si>
  <si>
    <t>S045-002-002-001-001</t>
  </si>
  <si>
    <t>Fire &amp; Rescue Services</t>
  </si>
  <si>
    <t>S045-002-003-001-001</t>
  </si>
  <si>
    <t>Defence Intelligence Service (Dis)</t>
  </si>
  <si>
    <t>S045-003-001-001-001</t>
  </si>
  <si>
    <t>Service Corps</t>
  </si>
  <si>
    <t>S045-003-002-001-001</t>
  </si>
  <si>
    <t>Military Engineers</t>
  </si>
  <si>
    <t>S045-003-002-001-002</t>
  </si>
  <si>
    <t>Electrical And Machenical Engineers</t>
  </si>
  <si>
    <t>S045-003-002-001-003</t>
  </si>
  <si>
    <t>Signals</t>
  </si>
  <si>
    <t>S045-003-002-001-004</t>
  </si>
  <si>
    <t>Ordnanace Service</t>
  </si>
  <si>
    <t>S045-003-002-001-005</t>
  </si>
  <si>
    <t>Supply And Transport Service</t>
  </si>
  <si>
    <t>S045-003-002-001-006</t>
  </si>
  <si>
    <t>Quarter Master Service</t>
  </si>
  <si>
    <t>S045-003-002-001-007</t>
  </si>
  <si>
    <t>Adjutant General Corps</t>
  </si>
  <si>
    <t>S045-003-003-001-001</t>
  </si>
  <si>
    <t>Military Police</t>
  </si>
  <si>
    <t>S045-003-003-001-002</t>
  </si>
  <si>
    <t>Band And Music Wing</t>
  </si>
  <si>
    <t>S045-003-003-001-003</t>
  </si>
  <si>
    <t>Media And Publishing Service</t>
  </si>
  <si>
    <t>S045-003-003-001-004</t>
  </si>
  <si>
    <t>Personnel Support Unit</t>
  </si>
  <si>
    <t>S045-003-003-001-005</t>
  </si>
  <si>
    <t>Medical Corps</t>
  </si>
  <si>
    <t>S045-003-004-001-001</t>
  </si>
  <si>
    <t>Welfare And Recreational Services</t>
  </si>
  <si>
    <t>S045-004-001-001-001</t>
  </si>
  <si>
    <t>Special Protection Services</t>
  </si>
  <si>
    <t>S045-004-002-001-001</t>
  </si>
  <si>
    <t>Training And Education Command</t>
  </si>
  <si>
    <t>S045-004-003-001-001</t>
  </si>
  <si>
    <t>Special Forces</t>
  </si>
  <si>
    <t>S045-004-004-001-001</t>
  </si>
  <si>
    <t>Southern Area Command</t>
  </si>
  <si>
    <t>S045-005-001-001-001</t>
  </si>
  <si>
    <t>Central Area Command</t>
  </si>
  <si>
    <t>S045-005-002-001-002</t>
  </si>
  <si>
    <t>Male Area Command</t>
  </si>
  <si>
    <t>S045-005-003-001-003</t>
  </si>
  <si>
    <t>Northern Area Command</t>
  </si>
  <si>
    <t>S045-005-004-001-004</t>
  </si>
  <si>
    <t>Commissioner's Office</t>
  </si>
  <si>
    <t>S046-001-001-001-001</t>
  </si>
  <si>
    <t>Corporate Affairs Command</t>
  </si>
  <si>
    <t>S046-002-001-001-001</t>
  </si>
  <si>
    <t>Offender Management</t>
  </si>
  <si>
    <t>S046-002-002-001-001</t>
  </si>
  <si>
    <t>Healthcare Service</t>
  </si>
  <si>
    <t>S046-002-002-002-001</t>
  </si>
  <si>
    <t>Rehabilitation and Reintegration Command</t>
  </si>
  <si>
    <t>S046-002-003-001-001</t>
  </si>
  <si>
    <t>Parole Office</t>
  </si>
  <si>
    <t>S046-002-004-001-001</t>
  </si>
  <si>
    <t>Institute for Correctional Studies (ICOST)</t>
  </si>
  <si>
    <t>S046-002-005-001-001</t>
  </si>
  <si>
    <t>S046-005-001-001-001</t>
  </si>
  <si>
    <t>S046-005-001-002-001</t>
  </si>
  <si>
    <t>Unit Management</t>
  </si>
  <si>
    <t>S046-005-001-004-002</t>
  </si>
  <si>
    <t>Security</t>
  </si>
  <si>
    <t>S046-005-001-005-001</t>
  </si>
  <si>
    <t>S046-005-002-001-001</t>
  </si>
  <si>
    <t>S046-005-002-002-001</t>
  </si>
  <si>
    <t>S046-005-002-003-002</t>
  </si>
  <si>
    <t>S046-005-002-004-001</t>
  </si>
  <si>
    <t>S046-005-003-001-001</t>
  </si>
  <si>
    <t>S046-005-003-002-003</t>
  </si>
  <si>
    <t>S046-005-003-003-001</t>
  </si>
  <si>
    <t>S046-005-003-004-001</t>
  </si>
  <si>
    <t>S046-005-004-001-001</t>
  </si>
  <si>
    <t>S046-005-004-002-003</t>
  </si>
  <si>
    <t>S046-005-004-003-001</t>
  </si>
  <si>
    <t>S046-005-004-004-001</t>
  </si>
  <si>
    <t>Emergency Support Group (ESG)</t>
  </si>
  <si>
    <t>S046-005-005-001-001</t>
  </si>
  <si>
    <t>S047-001-001-001-001</t>
  </si>
  <si>
    <t>S047-001-001-002-001</t>
  </si>
  <si>
    <t>S047-001-001-002-002</t>
  </si>
  <si>
    <t>S047-001-001-002-003</t>
  </si>
  <si>
    <t>Administration Unit</t>
  </si>
  <si>
    <t>S047-001-001-003-001</t>
  </si>
  <si>
    <t>Inventory &amp; Stock Unit</t>
  </si>
  <si>
    <t>S047-001-001-003-003</t>
  </si>
  <si>
    <t>Transport &amp; Logistic Service Unit</t>
  </si>
  <si>
    <t>S047-001-001-003-004</t>
  </si>
  <si>
    <t>Support Service Unit</t>
  </si>
  <si>
    <t>S047-001-001-003-005</t>
  </si>
  <si>
    <t>Maintenance Unit</t>
  </si>
  <si>
    <t>S047-001-001-003-007</t>
  </si>
  <si>
    <t>Uniform Unit</t>
  </si>
  <si>
    <t>S047-001-001-003-008</t>
  </si>
  <si>
    <t>Tender &amp; Project Unit</t>
  </si>
  <si>
    <t>S047-001-001-004-001</t>
  </si>
  <si>
    <t>S047-001-001-004-002</t>
  </si>
  <si>
    <t>Operations Unit</t>
  </si>
  <si>
    <t>S047-001-001-004-003</t>
  </si>
  <si>
    <t>Media Unit</t>
  </si>
  <si>
    <t>S047-001-002-001-001</t>
  </si>
  <si>
    <t>Public Relations Unit</t>
  </si>
  <si>
    <t>S047-001-002-001-002</t>
  </si>
  <si>
    <t>Call Center Unit</t>
  </si>
  <si>
    <t>S047-001-002-001-003</t>
  </si>
  <si>
    <t>Controllers Secretariat</t>
  </si>
  <si>
    <t>S047-001-002-003-001</t>
  </si>
  <si>
    <t>S047-001-002-003-002</t>
  </si>
  <si>
    <t>International Relations Unit</t>
  </si>
  <si>
    <t>S047-001-002-003-003</t>
  </si>
  <si>
    <t>Planning Unit</t>
  </si>
  <si>
    <t>S047-001-002-004-001</t>
  </si>
  <si>
    <t>Policy Unit</t>
  </si>
  <si>
    <t>S047-001-002-004-003</t>
  </si>
  <si>
    <t>S047-001-003-001-001</t>
  </si>
  <si>
    <t>Training &amp; Development Unit</t>
  </si>
  <si>
    <t>S047-001-003-001-002</t>
  </si>
  <si>
    <t>Staff Welfare and CSR Unit</t>
  </si>
  <si>
    <t>S047-001-003-001-003</t>
  </si>
  <si>
    <t>Statistics Section</t>
  </si>
  <si>
    <t>S047-001-003-002-001</t>
  </si>
  <si>
    <t>Service Standards &amp; Compliance</t>
  </si>
  <si>
    <t>S047-001-003-002-002</t>
  </si>
  <si>
    <t>S047-001-004-001-001</t>
  </si>
  <si>
    <t>Task Management Unit</t>
  </si>
  <si>
    <t>S047-001-004-001-002</t>
  </si>
  <si>
    <t>Network &amp; Security Unit</t>
  </si>
  <si>
    <t>S047-001-004-002-001</t>
  </si>
  <si>
    <t>Software Development Unit</t>
  </si>
  <si>
    <t>S047-001-004-002-002</t>
  </si>
  <si>
    <t>Data Center Unit</t>
  </si>
  <si>
    <t>S047-001-004-003-001</t>
  </si>
  <si>
    <t>Network Administration Unit</t>
  </si>
  <si>
    <t>S047-001-004-003-003</t>
  </si>
  <si>
    <t>Addu City - Hithadhoo Immigration</t>
  </si>
  <si>
    <t>S047-002-001-001-001</t>
  </si>
  <si>
    <t>Fuvahmulah City - Fuvahmulah Immigration</t>
  </si>
  <si>
    <t>S047-002-001-001-002</t>
  </si>
  <si>
    <t>Kulhudhuffushi City - Kulhudhuffushi Immigration</t>
  </si>
  <si>
    <t>S047-002-001-001-003</t>
  </si>
  <si>
    <t>Ha. Uligan - Uligan Immigration</t>
  </si>
  <si>
    <t>S047-002-001-001-004</t>
  </si>
  <si>
    <t>Ha. Dhihdhoo - Dhihdhoo Immigration</t>
  </si>
  <si>
    <t>S047-002-001-001-005</t>
  </si>
  <si>
    <t>Hdh. Hanimaadhoo - Hanimaadhoo Immigration</t>
  </si>
  <si>
    <t>S047-002-001-001-006</t>
  </si>
  <si>
    <t>A.Dh. Maamigilli - Maamigilli Immigration</t>
  </si>
  <si>
    <t>S047-002-001-001-007</t>
  </si>
  <si>
    <t>N. Maafaru - Maafaru Immigration</t>
  </si>
  <si>
    <t>S047-002-001-001-011</t>
  </si>
  <si>
    <t>GDh.Thinadhoo Immigration</t>
  </si>
  <si>
    <t>S047-002-001-001-012</t>
  </si>
  <si>
    <t>L.Fonadhoo Immigration</t>
  </si>
  <si>
    <t>S047-002-001-001-013</t>
  </si>
  <si>
    <t>Lh.Hinnavaru Immigration</t>
  </si>
  <si>
    <t>S047-002-001-001-014</t>
  </si>
  <si>
    <t>Dh.Kudahuvadhoo - Dh.Kudahuvadhoo Immigration</t>
  </si>
  <si>
    <t>S047-002-001-001-015</t>
  </si>
  <si>
    <t>HA. Hoarafushi Immigration</t>
  </si>
  <si>
    <t>S047-002-001-001-016</t>
  </si>
  <si>
    <t>S047-002-002-001-001</t>
  </si>
  <si>
    <t>Online Application Unit</t>
  </si>
  <si>
    <t>S047-002-002-001-002</t>
  </si>
  <si>
    <t>Enrolment &amp; Data Entry Unit</t>
  </si>
  <si>
    <t>S047-002-002-001-003</t>
  </si>
  <si>
    <t>Passport and Card Printing Unit</t>
  </si>
  <si>
    <t>S047-002-002-001-004</t>
  </si>
  <si>
    <t>Passport Issuing Unit</t>
  </si>
  <si>
    <t>S047-002-002-001-005</t>
  </si>
  <si>
    <t>Malaysia</t>
  </si>
  <si>
    <t>S047-002-002-003-001</t>
  </si>
  <si>
    <t>S047-002-002-003-002</t>
  </si>
  <si>
    <t>Sri Lanka</t>
  </si>
  <si>
    <t>S047-002-002-003-003</t>
  </si>
  <si>
    <t>United Kingdom</t>
  </si>
  <si>
    <t>S047-002-002-003-004</t>
  </si>
  <si>
    <t>S047-003-001-001-001</t>
  </si>
  <si>
    <t>Business Visa</t>
  </si>
  <si>
    <t>S047-003-001-002-001</t>
  </si>
  <si>
    <t>Batch A</t>
  </si>
  <si>
    <t>S047-003-001-003-001</t>
  </si>
  <si>
    <t>Batch B</t>
  </si>
  <si>
    <t>S047-003-001-003-002</t>
  </si>
  <si>
    <t>Batch C</t>
  </si>
  <si>
    <t>S047-003-001-003-003</t>
  </si>
  <si>
    <t>Batch D</t>
  </si>
  <si>
    <t>S047-003-001-003-004</t>
  </si>
  <si>
    <t>Batch E</t>
  </si>
  <si>
    <t>S047-003-001-003-005</t>
  </si>
  <si>
    <t>Batch F</t>
  </si>
  <si>
    <t>S047-003-001-003-006</t>
  </si>
  <si>
    <t>Batch G</t>
  </si>
  <si>
    <t>S047-003-001-003-007</t>
  </si>
  <si>
    <t>Airport Detention</t>
  </si>
  <si>
    <t>S047-003-001-003-009</t>
  </si>
  <si>
    <t>VIP &amp; CIP</t>
  </si>
  <si>
    <t>S047-003-001-003-010</t>
  </si>
  <si>
    <t>S047-003-002-001-001</t>
  </si>
  <si>
    <t>Shift A</t>
  </si>
  <si>
    <t>S047-003-002-002-001</t>
  </si>
  <si>
    <t>Shift B</t>
  </si>
  <si>
    <t>S047-003-002-003-001</t>
  </si>
  <si>
    <t>Operations</t>
  </si>
  <si>
    <t>S047-003-002-004-001</t>
  </si>
  <si>
    <t>Document Examination Unit</t>
  </si>
  <si>
    <t>S047-003-003-001-001</t>
  </si>
  <si>
    <t>Intelligence Analysis Unit</t>
  </si>
  <si>
    <t>S047-003-003-001-002</t>
  </si>
  <si>
    <t>Risk Management Unit</t>
  </si>
  <si>
    <t>S047-003-003-001-003</t>
  </si>
  <si>
    <t>Counter Terrorism Unit</t>
  </si>
  <si>
    <t>S047-003-003-001-004</t>
  </si>
  <si>
    <t>Anti-Human Trafficking</t>
  </si>
  <si>
    <t>S047-003-003-002-001</t>
  </si>
  <si>
    <t>People Smuggling Unit</t>
  </si>
  <si>
    <t>S047-003-003-002-002</t>
  </si>
  <si>
    <t>S047-003-003-003-001</t>
  </si>
  <si>
    <t>S047-003-003-004-001</t>
  </si>
  <si>
    <t>S047-004-001-001-001</t>
  </si>
  <si>
    <t>Approval Unit</t>
  </si>
  <si>
    <t>S047-004-001-001-002</t>
  </si>
  <si>
    <t>Collection Unit</t>
  </si>
  <si>
    <t>S047-004-001-001-003</t>
  </si>
  <si>
    <t>Printing Unit</t>
  </si>
  <si>
    <t>S047-004-001-001-004</t>
  </si>
  <si>
    <t>Issuing Unit</t>
  </si>
  <si>
    <t>S047-004-001-001-005</t>
  </si>
  <si>
    <t>Application and Issuing Unit</t>
  </si>
  <si>
    <t>S047-004-002-001-001</t>
  </si>
  <si>
    <t>S047-004-002-001-002</t>
  </si>
  <si>
    <t>S047-004-002-001-003</t>
  </si>
  <si>
    <t>Monitoring &amp; Inspection Section</t>
  </si>
  <si>
    <t>S047-004-003-001-001</t>
  </si>
  <si>
    <t>Investigation Section</t>
  </si>
  <si>
    <t>S047-004-003-002-001</t>
  </si>
  <si>
    <t>Detention Section</t>
  </si>
  <si>
    <t>S047-004-003-003-001</t>
  </si>
  <si>
    <t>Repatriation Section</t>
  </si>
  <si>
    <t>S047-004-003-004-001</t>
  </si>
  <si>
    <t>S047-004-003-005-001</t>
  </si>
  <si>
    <t>S048-001-001-001-001</t>
  </si>
  <si>
    <t>S048-001-001-002-001</t>
  </si>
  <si>
    <t>S048-001-001-003-001</t>
  </si>
  <si>
    <t>S048-001-001-004-001</t>
  </si>
  <si>
    <t>S048-001-001-005-001</t>
  </si>
  <si>
    <t>Budget &amp; Financial Management</t>
  </si>
  <si>
    <t>S048-001-001-006-001</t>
  </si>
  <si>
    <t>Loan Repayments</t>
  </si>
  <si>
    <t>S048-001-001-006-002</t>
  </si>
  <si>
    <t>S048-001-001-007-001</t>
  </si>
  <si>
    <t>S048-001-001-008-001</t>
  </si>
  <si>
    <t>Bilateral Scholarships</t>
  </si>
  <si>
    <t>S048-002-001-001-001</t>
  </si>
  <si>
    <t>Government Scholarships</t>
  </si>
  <si>
    <t>S048-002-001-002-001</t>
  </si>
  <si>
    <t>Corporate Scholarships</t>
  </si>
  <si>
    <t>S048-002-001-003-001</t>
  </si>
  <si>
    <t>First Degree</t>
  </si>
  <si>
    <t>S048-002-002-001-001</t>
  </si>
  <si>
    <t>Ongoing Loan</t>
  </si>
  <si>
    <t>S048-002-003-001-001</t>
  </si>
  <si>
    <t>New Loan</t>
  </si>
  <si>
    <t>S048-002-003-002-001</t>
  </si>
  <si>
    <t>S048-003-001-001-001</t>
  </si>
  <si>
    <t>S048-003-001-002-001</t>
  </si>
  <si>
    <t>Institution Registration and Monitoring</t>
  </si>
  <si>
    <t>S048-003-001-003-001</t>
  </si>
  <si>
    <t>Course Approval &amp; Accreditation</t>
  </si>
  <si>
    <t>S048-004-001-001-001</t>
  </si>
  <si>
    <t>Institutional Registration &amp; Audit</t>
  </si>
  <si>
    <t>S048-004-001-002-001</t>
  </si>
  <si>
    <t>Certificate Validation &amp; Recognition</t>
  </si>
  <si>
    <t>S048-004-002-001-001</t>
  </si>
  <si>
    <t>Public Advocacy</t>
  </si>
  <si>
    <t>S048-004-002-002-001</t>
  </si>
  <si>
    <t>S048-004-003-001-001</t>
  </si>
  <si>
    <t>S048-004-003-002-001</t>
  </si>
  <si>
    <t>S048-005-001-001-001</t>
  </si>
  <si>
    <t>S048-005-001-002-001</t>
  </si>
  <si>
    <t>S048-005-001-003-001</t>
  </si>
  <si>
    <t>S048-005-001-004-001</t>
  </si>
  <si>
    <t>Budget and Financial Management</t>
  </si>
  <si>
    <t>S048-005-001-005-001</t>
  </si>
  <si>
    <t>Academic &amp; Student Affairs</t>
  </si>
  <si>
    <t>S048-005-001-006-001</t>
  </si>
  <si>
    <t>Marketing &amp; Public Relations</t>
  </si>
  <si>
    <t>S048-005-001-007-001</t>
  </si>
  <si>
    <t>Regional Campuses</t>
  </si>
  <si>
    <t>S048-005-001-008-001</t>
  </si>
  <si>
    <t>In-Campus</t>
  </si>
  <si>
    <t>S048-005-002-001-001</t>
  </si>
  <si>
    <t>Community Based</t>
  </si>
  <si>
    <t>S048-005-002-002-001</t>
  </si>
  <si>
    <t>Online</t>
  </si>
  <si>
    <t>S048-005-002-003-001</t>
  </si>
  <si>
    <t>Outer Atoll Programs</t>
  </si>
  <si>
    <t>S048-005-002-004-001</t>
  </si>
  <si>
    <t>New Programs</t>
  </si>
  <si>
    <t>S048-005-002-005-001</t>
  </si>
  <si>
    <t>CEO Bureau</t>
  </si>
  <si>
    <t>S048-006-001-001-001</t>
  </si>
  <si>
    <t>SMT</t>
  </si>
  <si>
    <t>S048-006-001-002-001</t>
  </si>
  <si>
    <t>Admin &amp; HR</t>
  </si>
  <si>
    <t>S048-006-001-003-001</t>
  </si>
  <si>
    <t>S048-006-001-004-001</t>
  </si>
  <si>
    <t>S048-006-001-005-001</t>
  </si>
  <si>
    <t>Statistical Data Management</t>
  </si>
  <si>
    <t>S048-006-002-001-001</t>
  </si>
  <si>
    <t>S048-006-003-001-001</t>
  </si>
  <si>
    <t>S050-001-001-001-001</t>
  </si>
  <si>
    <t>S050-001-001-002-001</t>
  </si>
  <si>
    <t>S050-001-001-003-001</t>
  </si>
  <si>
    <t>S050-001-001-004-001</t>
  </si>
  <si>
    <t>S050-001-001-004-002</t>
  </si>
  <si>
    <t>S050-001-001-005-001</t>
  </si>
  <si>
    <t>S050-001-001-006-001</t>
  </si>
  <si>
    <t>S050-001-001-007-001</t>
  </si>
  <si>
    <t>S050-002-001-001-001</t>
  </si>
  <si>
    <t>S050-002-001-001-002</t>
  </si>
  <si>
    <t>Projects</t>
  </si>
  <si>
    <t>S050-002-001-001-003</t>
  </si>
  <si>
    <t>Land and Transport</t>
  </si>
  <si>
    <t>S050-002-001-002-001</t>
  </si>
  <si>
    <t>Maritime Transport</t>
  </si>
  <si>
    <t>S050-002-001-002-002</t>
  </si>
  <si>
    <t>Air Transport</t>
  </si>
  <si>
    <t>S050-002-001-002-003</t>
  </si>
  <si>
    <t>Civil Aviation</t>
  </si>
  <si>
    <t>S050-003-001-001-001</t>
  </si>
  <si>
    <t>Regional Airports</t>
  </si>
  <si>
    <t>S050-003-001-002-001</t>
  </si>
  <si>
    <t>Board &amp; Secretariat</t>
  </si>
  <si>
    <t>S050-004-001-001-001</t>
  </si>
  <si>
    <t>S050-004-001-002-001</t>
  </si>
  <si>
    <t>Land Transport</t>
  </si>
  <si>
    <t>S050-004-002-001-001</t>
  </si>
  <si>
    <t>S050-004-003-001-001</t>
  </si>
  <si>
    <t>Permanent Secretary &amp; Senior Executives</t>
  </si>
  <si>
    <t>S052-001-001-001-001</t>
  </si>
  <si>
    <t>Ministers Bureau Unit</t>
  </si>
  <si>
    <t>S052-001-001-002-001</t>
  </si>
  <si>
    <t>S052-001-001-002-002</t>
  </si>
  <si>
    <t>S052-001-001-002-003</t>
  </si>
  <si>
    <t>ICT Unit</t>
  </si>
  <si>
    <t>S052-001-001-002-004</t>
  </si>
  <si>
    <t>Human Resource Management Unit</t>
  </si>
  <si>
    <t>S052-001-001-003-001</t>
  </si>
  <si>
    <t>Human Resource Development Unit</t>
  </si>
  <si>
    <t>S052-001-001-003-002</t>
  </si>
  <si>
    <t>Accounts Unit</t>
  </si>
  <si>
    <t>S052-001-001-004-001</t>
  </si>
  <si>
    <t>Finance Management Unit</t>
  </si>
  <si>
    <t>S052-001-001-004-002</t>
  </si>
  <si>
    <t>S052-001-001-005-001</t>
  </si>
  <si>
    <t>S052-001-001-005-002</t>
  </si>
  <si>
    <t>S052-001-001-005-003</t>
  </si>
  <si>
    <t>Historical Data Management Section</t>
  </si>
  <si>
    <t>S052-001-002-001-001</t>
  </si>
  <si>
    <t>Research Section</t>
  </si>
  <si>
    <t>S052-001-002-002-001</t>
  </si>
  <si>
    <t>Facilities and Maintenance Unit</t>
  </si>
  <si>
    <t>S052-001-003-001-001</t>
  </si>
  <si>
    <t>Administration and Human Resource Unit</t>
  </si>
  <si>
    <t>S052-002-001-001-001</t>
  </si>
  <si>
    <t>S052-002-001-002-001</t>
  </si>
  <si>
    <t>Tradition and culture Unit</t>
  </si>
  <si>
    <t>S052-002-002-001-001</t>
  </si>
  <si>
    <t>Preservation Unit</t>
  </si>
  <si>
    <t>S052-002-002-002-001</t>
  </si>
  <si>
    <t>History Research Unit</t>
  </si>
  <si>
    <t>S052-002-002-003-001</t>
  </si>
  <si>
    <t>Language Research Unit</t>
  </si>
  <si>
    <t>S052-002-003-001-001</t>
  </si>
  <si>
    <t>Development Unit</t>
  </si>
  <si>
    <t>S052-002-003-002-001</t>
  </si>
  <si>
    <t>Awareness Unit</t>
  </si>
  <si>
    <t>S052-002-003-003-001</t>
  </si>
  <si>
    <t>S052-003-001-001-001</t>
  </si>
  <si>
    <t>S052-003-001-002-001</t>
  </si>
  <si>
    <t>Museum Security and Maintenance Unit</t>
  </si>
  <si>
    <t>S052-003-001-003-001</t>
  </si>
  <si>
    <t>Research and conservation Unit</t>
  </si>
  <si>
    <t>S052-003-002-001-001</t>
  </si>
  <si>
    <t>Regional Museum Unit</t>
  </si>
  <si>
    <t>S052-003-002-002-001</t>
  </si>
  <si>
    <t>Interpretation and Collection Unit</t>
  </si>
  <si>
    <t>S052-003-002-003-001</t>
  </si>
  <si>
    <t>Heritage Management Unit</t>
  </si>
  <si>
    <t>S052-003-003-001-001</t>
  </si>
  <si>
    <t>Boduthakurufaanu Memorial Center Unit</t>
  </si>
  <si>
    <t>S052-003-003-002-001</t>
  </si>
  <si>
    <t>S052-003-003-003-001</t>
  </si>
  <si>
    <t>S052-004-001-001-001</t>
  </si>
  <si>
    <t>Pocurement Unit</t>
  </si>
  <si>
    <t>S052-004-001-001-002</t>
  </si>
  <si>
    <t>Finance Section</t>
  </si>
  <si>
    <t>S052-004-001-002-001</t>
  </si>
  <si>
    <t>Human Resource Section</t>
  </si>
  <si>
    <t>S052-004-001-003-001</t>
  </si>
  <si>
    <t>S052-004-001-004-001</t>
  </si>
  <si>
    <t>S052-004-001-004-002</t>
  </si>
  <si>
    <t>Studio Section</t>
  </si>
  <si>
    <t>S052-004-002-001-001</t>
  </si>
  <si>
    <t>National Art Gallery Section</t>
  </si>
  <si>
    <t>S052-004-002-002-001</t>
  </si>
  <si>
    <t>Events and Training Unit</t>
  </si>
  <si>
    <t>S052-004-002-003-001</t>
  </si>
  <si>
    <t>Support Unit</t>
  </si>
  <si>
    <t>S052-004-002-003-002</t>
  </si>
  <si>
    <t>Administration and IT Unit</t>
  </si>
  <si>
    <t>S052-005-001-001-001</t>
  </si>
  <si>
    <t>S052-005-001-002-001</t>
  </si>
  <si>
    <t>S052-005-001-003-001</t>
  </si>
  <si>
    <t>Service unit</t>
  </si>
  <si>
    <t>S052-005-002-001-001</t>
  </si>
  <si>
    <t>Archive unit</t>
  </si>
  <si>
    <t>S052-005-002-002-001</t>
  </si>
  <si>
    <t>IT Unit</t>
  </si>
  <si>
    <t>S052-006-001-001-001</t>
  </si>
  <si>
    <t>Admin and Human Resource Unit</t>
  </si>
  <si>
    <t>S052-006-001-002-001</t>
  </si>
  <si>
    <t>S052-006-001-003-001</t>
  </si>
  <si>
    <t>Public program and outreach service Unit</t>
  </si>
  <si>
    <t>S052-006-002-001-001</t>
  </si>
  <si>
    <t>Digital library and automation Unit</t>
  </si>
  <si>
    <t>S052-006-002-002-001</t>
  </si>
  <si>
    <t>Institute of library and information service Unit</t>
  </si>
  <si>
    <t>S052-006-002-003-001</t>
  </si>
  <si>
    <t>legal deposit and collection management Unit</t>
  </si>
  <si>
    <t>S052-006-003-001-001</t>
  </si>
  <si>
    <t>Childrens multi media library Unit</t>
  </si>
  <si>
    <t>S052-006-003-002-001</t>
  </si>
  <si>
    <t>library services Unit</t>
  </si>
  <si>
    <t>S052-006-003-003-001</t>
  </si>
  <si>
    <t>Admin and procurement section</t>
  </si>
  <si>
    <t>S052-007-001-001-001</t>
  </si>
  <si>
    <t>S052-007-001-002-001</t>
  </si>
  <si>
    <t>S052-007-001-003-001</t>
  </si>
  <si>
    <t>Classification Unit</t>
  </si>
  <si>
    <t>S052-007-002-001-001</t>
  </si>
  <si>
    <t>Film literature and development Unit</t>
  </si>
  <si>
    <t>S052-007-002-002-001</t>
  </si>
  <si>
    <t>S053-001-001-001-001</t>
  </si>
  <si>
    <t>Administration &amp; Human Resources</t>
  </si>
  <si>
    <t>S053-001-001-002-001</t>
  </si>
  <si>
    <t>Procurement &amp; Logistics</t>
  </si>
  <si>
    <t>S053-001-001-003-001</t>
  </si>
  <si>
    <t>S053-001-001-004-001</t>
  </si>
  <si>
    <t>S053-001-001-005-001</t>
  </si>
  <si>
    <t>Executive Bureau</t>
  </si>
  <si>
    <t>S053-001-001-006-001</t>
  </si>
  <si>
    <t>Early warning, Coordinationa dn Resource Mobilization</t>
  </si>
  <si>
    <t>S053-002-001-001-001</t>
  </si>
  <si>
    <t>Emergency Operations</t>
  </si>
  <si>
    <t>S053-002-002-001-001</t>
  </si>
  <si>
    <t>Training and Advocacy</t>
  </si>
  <si>
    <t>S053-003-001-001-001</t>
  </si>
  <si>
    <t>Development and Resilience</t>
  </si>
  <si>
    <t>S053-003-002-001-001</t>
  </si>
  <si>
    <t>Research and Statistics</t>
  </si>
  <si>
    <t>S053-003-003-001-001</t>
  </si>
  <si>
    <t>Disaster Information Management</t>
  </si>
  <si>
    <t>S053-003-004-001-001</t>
  </si>
  <si>
    <t>S053-004-001-001-001</t>
  </si>
  <si>
    <t>Programme</t>
  </si>
  <si>
    <t>S053-004-001-002-001</t>
  </si>
  <si>
    <t>PRME</t>
  </si>
  <si>
    <t>S053-004-002-001-001</t>
  </si>
  <si>
    <t>S055-001-001-001-001</t>
  </si>
  <si>
    <t>S055-001-001-002-001</t>
  </si>
  <si>
    <t>S055-001-001-002-002</t>
  </si>
  <si>
    <t>Maintenance &amp; Logistics</t>
  </si>
  <si>
    <t>S055-001-002-001-001</t>
  </si>
  <si>
    <t>Technical Management</t>
  </si>
  <si>
    <t>S055-001-002-002-001</t>
  </si>
  <si>
    <t>Transport Unit</t>
  </si>
  <si>
    <t>S055-001-003-001-001</t>
  </si>
  <si>
    <t>Operational Administration</t>
  </si>
  <si>
    <t>S055-002-001-001-001</t>
  </si>
  <si>
    <t>Airport Central pass</t>
  </si>
  <si>
    <t>S055-002-001-002-001</t>
  </si>
  <si>
    <t>S055-002-001-003-001</t>
  </si>
  <si>
    <t>Training &amp; Recreation</t>
  </si>
  <si>
    <t>S055-002-002-001-001</t>
  </si>
  <si>
    <t>S055-002-003-001-001</t>
  </si>
  <si>
    <t>VIA</t>
  </si>
  <si>
    <t>S055-002-004-001-001</t>
  </si>
  <si>
    <t>GAN</t>
  </si>
  <si>
    <t>S055-002-004-002-001</t>
  </si>
  <si>
    <t>HAQ</t>
  </si>
  <si>
    <t>S055-002-004-003-001</t>
  </si>
  <si>
    <t>KDM</t>
  </si>
  <si>
    <t>S055-002-004-004-001</t>
  </si>
  <si>
    <t>KDO</t>
  </si>
  <si>
    <t>S055-002-004-005-001</t>
  </si>
  <si>
    <t>VAM</t>
  </si>
  <si>
    <t>S055-002-004-006-001</t>
  </si>
  <si>
    <t>FVM</t>
  </si>
  <si>
    <t>S055-002-004-007-001</t>
  </si>
  <si>
    <t>GKK</t>
  </si>
  <si>
    <t>S055-002-004-008-001</t>
  </si>
  <si>
    <t>DRV</t>
  </si>
  <si>
    <t>S055-002-004-009-001</t>
  </si>
  <si>
    <t>TMF</t>
  </si>
  <si>
    <t>S055-002-004-010-001</t>
  </si>
  <si>
    <t>IFU</t>
  </si>
  <si>
    <t>S055-002-004-011-001</t>
  </si>
  <si>
    <t>DDD</t>
  </si>
  <si>
    <t>S055-002-004-012-001</t>
  </si>
  <si>
    <t>HDK</t>
  </si>
  <si>
    <t>S055-002-004-013-001</t>
  </si>
  <si>
    <t>Maafaru</t>
  </si>
  <si>
    <t>S055-002-004-014-001</t>
  </si>
  <si>
    <t>Funadhoo</t>
  </si>
  <si>
    <t>S055-002-004-015-001</t>
  </si>
  <si>
    <t>Maavaarulu</t>
  </si>
  <si>
    <t>S055-002-004-016-001</t>
  </si>
  <si>
    <t>HRF</t>
  </si>
  <si>
    <t>S055-002-004-017-001</t>
  </si>
  <si>
    <t>LMV</t>
  </si>
  <si>
    <t>S055-002-004-018-001</t>
  </si>
  <si>
    <t>Faresmaathoda</t>
  </si>
  <si>
    <t>S055-002-004-019-001</t>
  </si>
  <si>
    <t>Muli</t>
  </si>
  <si>
    <t>S055-002-004-020-001</t>
  </si>
  <si>
    <t>Makunudhoo</t>
  </si>
  <si>
    <t>S055-002-004-021-001</t>
  </si>
  <si>
    <t>Board &amp; CEO</t>
  </si>
  <si>
    <t>S056-001-001-001-001</t>
  </si>
  <si>
    <t>HR &amp; Administration</t>
  </si>
  <si>
    <t>S056-001-001-002-001</t>
  </si>
  <si>
    <t>S056-001-001-003-001</t>
  </si>
  <si>
    <t>S056-001-001-004-001</t>
  </si>
  <si>
    <t>Arbitration &amp; Case Management Section</t>
  </si>
  <si>
    <t>S056-002-001-001-001</t>
  </si>
  <si>
    <t>IT &amp; Archives Section</t>
  </si>
  <si>
    <t>S056-003-001-001-001</t>
  </si>
  <si>
    <t>S056-003-002-001-001</t>
  </si>
  <si>
    <t>Administration &amp; Bureau</t>
  </si>
  <si>
    <t>S057-001-001-001-001</t>
  </si>
  <si>
    <t>Housekeeping &amp; Maintenance</t>
  </si>
  <si>
    <t>S057-001-001-001-002</t>
  </si>
  <si>
    <t>S057-001-001-001-003</t>
  </si>
  <si>
    <t>S057-001-001-001-004</t>
  </si>
  <si>
    <t>S057-001-002-001-001</t>
  </si>
  <si>
    <t>S057-001-002-001-002</t>
  </si>
  <si>
    <t>Advocacy &amp; Education</t>
  </si>
  <si>
    <t>S057-002-001-001-001</t>
  </si>
  <si>
    <t>PR &amp; Media</t>
  </si>
  <si>
    <t>S057-002-001-001-002</t>
  </si>
  <si>
    <t>Child Rights Audit</t>
  </si>
  <si>
    <t>S057-003-001-001-001</t>
  </si>
  <si>
    <t>Follow-up on Recommendations</t>
  </si>
  <si>
    <t>S057-003-001-002-001</t>
  </si>
  <si>
    <t>Research &amp; Legal Assistance</t>
  </si>
  <si>
    <t>S057-004-001-001-001</t>
  </si>
  <si>
    <t>S057-004-001-001-002</t>
  </si>
  <si>
    <t>Evaluation &amp; Investigation</t>
  </si>
  <si>
    <t>S057-004-002-001-001</t>
  </si>
  <si>
    <t>S057-004-002-001-002</t>
  </si>
  <si>
    <t>S057-005-001-001-001</t>
  </si>
  <si>
    <t>S057-005-001-001-002</t>
  </si>
  <si>
    <t>S058-001-001-001-001</t>
  </si>
  <si>
    <t>General &amp; Medical Supply</t>
  </si>
  <si>
    <t>S058-001-001-002-001</t>
  </si>
  <si>
    <t>Bio Medical</t>
  </si>
  <si>
    <t>S058-001-001-002-002</t>
  </si>
  <si>
    <t>S058-001-001-002-003</t>
  </si>
  <si>
    <t>Transport Service</t>
  </si>
  <si>
    <t>S058-001-001-002-004</t>
  </si>
  <si>
    <t>Recruitment &amp; Payroll</t>
  </si>
  <si>
    <t>S058-001-001-003-001</t>
  </si>
  <si>
    <t>Personal &amp; Staff Development</t>
  </si>
  <si>
    <t>S058-001-001-003-002</t>
  </si>
  <si>
    <t>S058-001-001-004-001</t>
  </si>
  <si>
    <t>S058-001-001-004-002</t>
  </si>
  <si>
    <t>S058-001-001-005-001</t>
  </si>
  <si>
    <t>S058-001-001-006-001</t>
  </si>
  <si>
    <t>S058-001-001-007-001</t>
  </si>
  <si>
    <t>S058-001-001-008-001</t>
  </si>
  <si>
    <t>Outpatient</t>
  </si>
  <si>
    <t>S058-001-001-009-001</t>
  </si>
  <si>
    <t>Information Processing</t>
  </si>
  <si>
    <t>S058-001-001-009-002</t>
  </si>
  <si>
    <t>S058-001-001-010-001</t>
  </si>
  <si>
    <t>Medicine</t>
  </si>
  <si>
    <t>S058-002-001-001-001</t>
  </si>
  <si>
    <t>S058-002-002-001-001</t>
  </si>
  <si>
    <t>General Practice</t>
  </si>
  <si>
    <t>S058-002-003-001-001</t>
  </si>
  <si>
    <t>Emergency</t>
  </si>
  <si>
    <t>S058-002-004-001-001</t>
  </si>
  <si>
    <t>Facilitative Service</t>
  </si>
  <si>
    <t>S058-002-005-001-001</t>
  </si>
  <si>
    <t>Radiology &amp; Imaging</t>
  </si>
  <si>
    <t>S058-003-001-001-001</t>
  </si>
  <si>
    <t>Laboratory Service</t>
  </si>
  <si>
    <t>S058-003-002-001-001</t>
  </si>
  <si>
    <t>Therapeutic</t>
  </si>
  <si>
    <t>S058-003-003-001-001</t>
  </si>
  <si>
    <t>S058-004-001-001-001</t>
  </si>
  <si>
    <t>Midwifery</t>
  </si>
  <si>
    <t>S058-004-001-002-001</t>
  </si>
  <si>
    <t>Accident &amp; Trauma</t>
  </si>
  <si>
    <t>S058-004-001-003-001</t>
  </si>
  <si>
    <t>ICU &amp; CCU</t>
  </si>
  <si>
    <t>S058-004-001-004-001</t>
  </si>
  <si>
    <t>OT</t>
  </si>
  <si>
    <t>S058-004-001-005-001</t>
  </si>
  <si>
    <t>Psychiatric</t>
  </si>
  <si>
    <t>S058-004-001-006-001</t>
  </si>
  <si>
    <t>Isolation</t>
  </si>
  <si>
    <t>S058-004-001-007-001</t>
  </si>
  <si>
    <t>S058-004-001-008-001</t>
  </si>
  <si>
    <t>Other Specialty</t>
  </si>
  <si>
    <t>S058-004-001-009-001</t>
  </si>
  <si>
    <t>Medical</t>
  </si>
  <si>
    <t>S058-004-002-001-001</t>
  </si>
  <si>
    <t>Surgical</t>
  </si>
  <si>
    <t>S058-004-002-002-001</t>
  </si>
  <si>
    <t>Gyne</t>
  </si>
  <si>
    <t>S058-004-002-003-001</t>
  </si>
  <si>
    <t>Pediatric</t>
  </si>
  <si>
    <t>S058-004-002-004-001</t>
  </si>
  <si>
    <t>O.P.D</t>
  </si>
  <si>
    <t>S058-004-002-005-001</t>
  </si>
  <si>
    <t>Ortho</t>
  </si>
  <si>
    <t>S058-004-002-006-001</t>
  </si>
  <si>
    <t>Reproductive Health Care</t>
  </si>
  <si>
    <t>S058-005-001-001-001</t>
  </si>
  <si>
    <t>Non-Communicable Diseases</t>
  </si>
  <si>
    <t>S058-005-002-001-001</t>
  </si>
  <si>
    <t>Communicable Diseases</t>
  </si>
  <si>
    <t>S058-005-003-001-001</t>
  </si>
  <si>
    <t>Hanimaadhoo Health Center</t>
  </si>
  <si>
    <t>S058-006-001-001-001</t>
  </si>
  <si>
    <t>Finey Health Center</t>
  </si>
  <si>
    <t>S058-006-002-001-001</t>
  </si>
  <si>
    <t>Naivaadhoo Health Center</t>
  </si>
  <si>
    <t>S058-006-003-001-001</t>
  </si>
  <si>
    <t>Hirimaradhoo Health Center</t>
  </si>
  <si>
    <t>S058-006-004-001-001</t>
  </si>
  <si>
    <t>Nolhivaranfaru Health Center</t>
  </si>
  <si>
    <t>S058-006-005-001-001</t>
  </si>
  <si>
    <t>Nellaidhoo Health Center</t>
  </si>
  <si>
    <t>S058-006-006-001-001</t>
  </si>
  <si>
    <t>Nolhivaramu Health Center</t>
  </si>
  <si>
    <t>S058-006-007-001-001</t>
  </si>
  <si>
    <t>Kurinbee Health Center</t>
  </si>
  <si>
    <t>S058-006-008-001-001</t>
  </si>
  <si>
    <t>Kumundhoo Health Center</t>
  </si>
  <si>
    <t>S058-006-009-001-001</t>
  </si>
  <si>
    <t>Neykurendhoo Health Center</t>
  </si>
  <si>
    <t>S058-006-010-001-001</t>
  </si>
  <si>
    <t>Vaikaradhoo Health Center</t>
  </si>
  <si>
    <t>S058-006-011-001-001</t>
  </si>
  <si>
    <t>Makunudhoo Health Center</t>
  </si>
  <si>
    <t>S058-006-012-001-001</t>
  </si>
  <si>
    <t>Executive Bureau &amp; Admin</t>
  </si>
  <si>
    <t>S059-001-001-001-001</t>
  </si>
  <si>
    <t>IT &amp; Information Management</t>
  </si>
  <si>
    <t>S059-001-001-002-001</t>
  </si>
  <si>
    <t>S059-001-001-003-001</t>
  </si>
  <si>
    <t>Procurement, Store &amp; Supplies</t>
  </si>
  <si>
    <t>S059-001-001-004-001</t>
  </si>
  <si>
    <t>S059-001-001-005-001</t>
  </si>
  <si>
    <t>Hospitality &amp; Housekeeping</t>
  </si>
  <si>
    <t>S059-001-001-006-001</t>
  </si>
  <si>
    <t>Engineering &amp; Facilities Management</t>
  </si>
  <si>
    <t>S059-001-001-007-001</t>
  </si>
  <si>
    <t>S059-001-001-008-001</t>
  </si>
  <si>
    <t>S059-001-001-009-001</t>
  </si>
  <si>
    <t>S059-001-001-010-001</t>
  </si>
  <si>
    <t>Central Sterilization &amp; Supplies</t>
  </si>
  <si>
    <t>S059-001-001-011-001</t>
  </si>
  <si>
    <t>Customer Relations</t>
  </si>
  <si>
    <t>S059-001-001-012-001</t>
  </si>
  <si>
    <t>Orthopedics &amp; Trauma Surgery</t>
  </si>
  <si>
    <t>S059-003-001-001-001</t>
  </si>
  <si>
    <t>General Surgery</t>
  </si>
  <si>
    <t>S059-003-001-002-001</t>
  </si>
  <si>
    <t>S059-003-001-003-001</t>
  </si>
  <si>
    <t>S059-003-001-004-001</t>
  </si>
  <si>
    <t>S059-003-001-005-001</t>
  </si>
  <si>
    <t>Anesthesiology &amp; Critical Care</t>
  </si>
  <si>
    <t>S059-003-001-006-001</t>
  </si>
  <si>
    <t>ICU</t>
  </si>
  <si>
    <t>S059-003-001-006-002</t>
  </si>
  <si>
    <t>Neuro Surgery</t>
  </si>
  <si>
    <t>S059-003-001-007-001</t>
  </si>
  <si>
    <t>Urology</t>
  </si>
  <si>
    <t>S059-003-001-008-001</t>
  </si>
  <si>
    <t>Medical Officers</t>
  </si>
  <si>
    <t>S059-003-001-009-001</t>
  </si>
  <si>
    <t>Internal Medicine</t>
  </si>
  <si>
    <t>S059-003-002-001-001</t>
  </si>
  <si>
    <t>Pediatrics</t>
  </si>
  <si>
    <t>S059-003-002-002-001</t>
  </si>
  <si>
    <t>S059-003-002-004-001</t>
  </si>
  <si>
    <t>Gynecology &amp; Obstetrics</t>
  </si>
  <si>
    <t>S059-003-002-005-001</t>
  </si>
  <si>
    <t>Psychiatry</t>
  </si>
  <si>
    <t>S059-003-002-006-001</t>
  </si>
  <si>
    <t>Cardiology</t>
  </si>
  <si>
    <t>S059-003-002-007-001</t>
  </si>
  <si>
    <t>Urology/Nephrology</t>
  </si>
  <si>
    <t>S059-003-002-008-001</t>
  </si>
  <si>
    <t>S059-003-002-009-001</t>
  </si>
  <si>
    <t>S059-003-002-010-001</t>
  </si>
  <si>
    <t>S059-003-002-010-002</t>
  </si>
  <si>
    <t>Southern Child Development Centre</t>
  </si>
  <si>
    <t>S059-003-003-001-001</t>
  </si>
  <si>
    <t>Southern Centre for Mental Health</t>
  </si>
  <si>
    <t>S059-003-004-001-001</t>
  </si>
  <si>
    <t>S059-003-005-001-001</t>
  </si>
  <si>
    <t>Radiology and Diagnostic imaging Service</t>
  </si>
  <si>
    <t>S059-003-005-002-001</t>
  </si>
  <si>
    <t>S059-003-005-003-001</t>
  </si>
  <si>
    <t>Other Allied Health Services</t>
  </si>
  <si>
    <t>S059-003-005-004-001</t>
  </si>
  <si>
    <t>Emergency, Accident &amp; Trauma</t>
  </si>
  <si>
    <t>S059-003-006-001-001</t>
  </si>
  <si>
    <t>Nursing Admin</t>
  </si>
  <si>
    <t>S059-003-007-001-001</t>
  </si>
  <si>
    <t>Medical Admin</t>
  </si>
  <si>
    <t>S059-003-008-001-001</t>
  </si>
  <si>
    <t>Public Health Services</t>
  </si>
  <si>
    <t>S059-005-004-001-001</t>
  </si>
  <si>
    <t>Maradhoo Health Centers</t>
  </si>
  <si>
    <t>S059-006-001-001-001</t>
  </si>
  <si>
    <t>Feydhoo Health Centers</t>
  </si>
  <si>
    <t>S059-006-003-001-001</t>
  </si>
  <si>
    <t>Hulhumeedhoo Health Centers</t>
  </si>
  <si>
    <t>S059-006-004-001-001</t>
  </si>
  <si>
    <t>S060-001-001-001-001</t>
  </si>
  <si>
    <t>S060-001-001-002-001</t>
  </si>
  <si>
    <t>S060-001-001-002-002</t>
  </si>
  <si>
    <t>S060-001-001-003-001</t>
  </si>
  <si>
    <t>S060-001-001-004-001</t>
  </si>
  <si>
    <t>S060-001-001-005-001</t>
  </si>
  <si>
    <t>S060-001-002-001-001</t>
  </si>
  <si>
    <t>S060-001-002-002-001</t>
  </si>
  <si>
    <t>S060-002-001-001-001</t>
  </si>
  <si>
    <t>S060-002-002-001-001</t>
  </si>
  <si>
    <t>S060-002-003-001-001</t>
  </si>
  <si>
    <t>S060-002-004-001-001</t>
  </si>
  <si>
    <t>Mediation &amp; Dispute Resolution</t>
  </si>
  <si>
    <t>S060-002-005-001-001</t>
  </si>
  <si>
    <t>Research &amp; Awareness</t>
  </si>
  <si>
    <t>S060-002-006-001-001</t>
  </si>
  <si>
    <t>S061-001-001-001-001</t>
  </si>
  <si>
    <t>S061-001-001-002-001</t>
  </si>
  <si>
    <t>S061-001-001-002-002</t>
  </si>
  <si>
    <t>Supply</t>
  </si>
  <si>
    <t>S061-001-001-002-003</t>
  </si>
  <si>
    <t>Medical Supply</t>
  </si>
  <si>
    <t>S061-001-001-002-004</t>
  </si>
  <si>
    <t>Inventory</t>
  </si>
  <si>
    <t>S061-001-001-002-005</t>
  </si>
  <si>
    <t>General Store</t>
  </si>
  <si>
    <t>S061-001-001-002-006</t>
  </si>
  <si>
    <t>S061-001-001-003-001</t>
  </si>
  <si>
    <t>S061-001-001-003-002</t>
  </si>
  <si>
    <t>S061-001-001-004-001</t>
  </si>
  <si>
    <t>S061-001-001-004-002</t>
  </si>
  <si>
    <t>Payroll</t>
  </si>
  <si>
    <t>S061-001-001-004-003</t>
  </si>
  <si>
    <t>Maintenance &amp; Utility Service</t>
  </si>
  <si>
    <t>S061-001-001-005-001</t>
  </si>
  <si>
    <t>Transport &amp; Logistic</t>
  </si>
  <si>
    <t>S061-001-001-005-002</t>
  </si>
  <si>
    <t>S061-001-001-005-003</t>
  </si>
  <si>
    <t>Consultants</t>
  </si>
  <si>
    <t>S061-002-001-001-001</t>
  </si>
  <si>
    <t>S061-002-002-001-001</t>
  </si>
  <si>
    <t>S061-002-003-001-001</t>
  </si>
  <si>
    <t>Radiology Service</t>
  </si>
  <si>
    <t>S061-003-001-001-001</t>
  </si>
  <si>
    <t>S061-003-002-001-001</t>
  </si>
  <si>
    <t>S061-003-003-001-001</t>
  </si>
  <si>
    <t>Attendant</t>
  </si>
  <si>
    <t>S061-004-001-001-001</t>
  </si>
  <si>
    <t>General Nursing</t>
  </si>
  <si>
    <t>S061-004-002-001-001</t>
  </si>
  <si>
    <t>Senior Community Health</t>
  </si>
  <si>
    <t>S061-005-001-001-001</t>
  </si>
  <si>
    <t>Familly Health</t>
  </si>
  <si>
    <t>S061-005-002-001-001</t>
  </si>
  <si>
    <t>Community Health</t>
  </si>
  <si>
    <t>S061-005-003-001-001</t>
  </si>
  <si>
    <t>Clinical Support Service</t>
  </si>
  <si>
    <t>S061-006-001-001-001</t>
  </si>
  <si>
    <t>S061-006-002-001-001</t>
  </si>
  <si>
    <t>S061-006-003-001-001</t>
  </si>
  <si>
    <t>Isdhoo Health Center</t>
  </si>
  <si>
    <t>S061-007-001-001-001</t>
  </si>
  <si>
    <t>Dhanbidhoo Health Center</t>
  </si>
  <si>
    <t>S061-007-002-001-001</t>
  </si>
  <si>
    <t>Maabaidhoo Health Centre</t>
  </si>
  <si>
    <t>S061-007-003-001-001</t>
  </si>
  <si>
    <t>Mundoo Health Centre</t>
  </si>
  <si>
    <t>S061-007-004-001-001</t>
  </si>
  <si>
    <t>Maavah Health Centre</t>
  </si>
  <si>
    <t>S061-007-005-001-001</t>
  </si>
  <si>
    <t>Fonadhoo Health Centre</t>
  </si>
  <si>
    <t>S061-007-006-001-001</t>
  </si>
  <si>
    <t>Maamendhoo Health Centre</t>
  </si>
  <si>
    <t>S061-007-007-001-001</t>
  </si>
  <si>
    <t>Hithadhoo Health Centre</t>
  </si>
  <si>
    <t>S061-007-008-001-001</t>
  </si>
  <si>
    <t>Kunahandhoo Health Centre</t>
  </si>
  <si>
    <t>S061-007-009-001-001</t>
  </si>
  <si>
    <t>S062-001-001-001-001</t>
  </si>
  <si>
    <t>S062-001-001-002-001</t>
  </si>
  <si>
    <t>S062-001-001-003-001</t>
  </si>
  <si>
    <t>S062-001-001-004-001</t>
  </si>
  <si>
    <t>S062-001-001-005-001</t>
  </si>
  <si>
    <t>Estate Management</t>
  </si>
  <si>
    <t>S062-001-001-006-001</t>
  </si>
  <si>
    <t>Customer Service Center</t>
  </si>
  <si>
    <t>S062-001-001-007-001</t>
  </si>
  <si>
    <t>S062-001-001-008-001</t>
  </si>
  <si>
    <t>Quality Control &amp; Stat</t>
  </si>
  <si>
    <t>S062-001-001-009-001</t>
  </si>
  <si>
    <t>Store (General)</t>
  </si>
  <si>
    <t>S062-001-001-010-001</t>
  </si>
  <si>
    <t>Medical Records</t>
  </si>
  <si>
    <t>S062-002-001-001-001</t>
  </si>
  <si>
    <t>S062-002-001-002-001</t>
  </si>
  <si>
    <t>Medical Administration</t>
  </si>
  <si>
    <t>S062-002-001-003-001</t>
  </si>
  <si>
    <t>Public Health Unit</t>
  </si>
  <si>
    <t>S062-002-001-004-001</t>
  </si>
  <si>
    <t>Store (Medical)</t>
  </si>
  <si>
    <t>S062-002-001-005-001</t>
  </si>
  <si>
    <t>Obstetrics &amp; Gynae</t>
  </si>
  <si>
    <t>S062-002-002-001-001</t>
  </si>
  <si>
    <t>Orthopedics</t>
  </si>
  <si>
    <t>S062-002-002-002-001</t>
  </si>
  <si>
    <t>S062-002-002-003-001</t>
  </si>
  <si>
    <t>S062-002-002-004-001</t>
  </si>
  <si>
    <t>ER</t>
  </si>
  <si>
    <t>S062-002-002-005-001</t>
  </si>
  <si>
    <t>S062-002-002-006-001</t>
  </si>
  <si>
    <t>S062-002-002-007-001</t>
  </si>
  <si>
    <t>S062-002-002-008-001</t>
  </si>
  <si>
    <t>S062-002-002-009-001</t>
  </si>
  <si>
    <t>S062-002-002-010-001</t>
  </si>
  <si>
    <t>S062-002-002-011-001</t>
  </si>
  <si>
    <t>S062-002-003-001-001</t>
  </si>
  <si>
    <t>Child Development Center</t>
  </si>
  <si>
    <t>S062-002-004-001-001</t>
  </si>
  <si>
    <t>S062-002-005-002-001</t>
  </si>
  <si>
    <t>S062-002-006-001-001</t>
  </si>
  <si>
    <t>S062-002-006-002-001</t>
  </si>
  <si>
    <t>Infectious Disease Management Centre</t>
  </si>
  <si>
    <t>S062-002-007-001-001</t>
  </si>
  <si>
    <t>Disability Management and Rehabilitation Centre</t>
  </si>
  <si>
    <t>S062-002-008-001-001</t>
  </si>
  <si>
    <t>GP Clinic</t>
  </si>
  <si>
    <t>S062-002-009-001-001</t>
  </si>
  <si>
    <t>Mental Health Center</t>
  </si>
  <si>
    <t>S062-002-010-001-001</t>
  </si>
  <si>
    <t>Medical &amp; HDU</t>
  </si>
  <si>
    <t>S062-003-001-001-001</t>
  </si>
  <si>
    <t>Surgical Wards</t>
  </si>
  <si>
    <t>S062-003-001-002-001</t>
  </si>
  <si>
    <t>Pediatric Wards</t>
  </si>
  <si>
    <t>S062-003-001-003-001</t>
  </si>
  <si>
    <t>Emergency Room &amp; Triage</t>
  </si>
  <si>
    <t>S062-003-002-001-001</t>
  </si>
  <si>
    <t>Isolation Ward</t>
  </si>
  <si>
    <t>S062-003-002-002-001</t>
  </si>
  <si>
    <t>Private Ward</t>
  </si>
  <si>
    <t>S062-003-002-003-001</t>
  </si>
  <si>
    <t>Dressing/Procedure Room</t>
  </si>
  <si>
    <t>S062-003-003-001-001</t>
  </si>
  <si>
    <t>Blood Bank</t>
  </si>
  <si>
    <t>S062-003-003-002-001</t>
  </si>
  <si>
    <t>OPD</t>
  </si>
  <si>
    <t>S062-003-003-003-001</t>
  </si>
  <si>
    <t>Gynae Ward</t>
  </si>
  <si>
    <t>S062-003-004-001-001</t>
  </si>
  <si>
    <t>Labor Room</t>
  </si>
  <si>
    <t>S062-003-004-002-001</t>
  </si>
  <si>
    <t>Reproductive Health Unit</t>
  </si>
  <si>
    <t>S062-003-004-004-001</t>
  </si>
  <si>
    <t>S062-003-005-001-001</t>
  </si>
  <si>
    <t>S062-003-005-002-001</t>
  </si>
  <si>
    <t>Operation Theatre</t>
  </si>
  <si>
    <t>S062-003-005-003-001</t>
  </si>
  <si>
    <t>Attendants</t>
  </si>
  <si>
    <t>S062-003-006-001-001</t>
  </si>
  <si>
    <t>Executive &amp; Secretariat</t>
  </si>
  <si>
    <t>S063-001-001-001-001</t>
  </si>
  <si>
    <t>S063-001-001-002-001</t>
  </si>
  <si>
    <t>S063-001-001-002-002</t>
  </si>
  <si>
    <t>S063-001-001-002-003</t>
  </si>
  <si>
    <t>S063-001-001-002-004</t>
  </si>
  <si>
    <t>S063-001-001-003-001</t>
  </si>
  <si>
    <t>S063-001-001-003-002</t>
  </si>
  <si>
    <t>S063-001-001-004-001</t>
  </si>
  <si>
    <t>S063-001-001-005-001</t>
  </si>
  <si>
    <t>Recruitment &amp; Payrol</t>
  </si>
  <si>
    <t>S063-001-001-006-001</t>
  </si>
  <si>
    <t>S063-001-001-006-002</t>
  </si>
  <si>
    <t>S063-001-001-007-001</t>
  </si>
  <si>
    <t>Information Processing Unit</t>
  </si>
  <si>
    <t>S063-001-001-008-001</t>
  </si>
  <si>
    <t>S063-001-001-009-001</t>
  </si>
  <si>
    <t>S063-002-001-001-001</t>
  </si>
  <si>
    <t>Medical Section</t>
  </si>
  <si>
    <t>S063-002-002-001-001</t>
  </si>
  <si>
    <t>Surgery Section</t>
  </si>
  <si>
    <t>S063-002-003-001-001</t>
  </si>
  <si>
    <t>Emergency Response</t>
  </si>
  <si>
    <t>S063-002-004-001-001</t>
  </si>
  <si>
    <t>Facilitative Services</t>
  </si>
  <si>
    <t>S063-002-005-001-001</t>
  </si>
  <si>
    <t>S063-003-001-001-001</t>
  </si>
  <si>
    <t>S063-003-002-001-001</t>
  </si>
  <si>
    <t>Therapeutic Service</t>
  </si>
  <si>
    <t>S063-003-003-001-001</t>
  </si>
  <si>
    <t>Nursing Administration &amp; Attendants</t>
  </si>
  <si>
    <t>S063-004-001-001-001</t>
  </si>
  <si>
    <t>Medical Unit</t>
  </si>
  <si>
    <t>S063-004-001-002-001</t>
  </si>
  <si>
    <t>Surgical Unit</t>
  </si>
  <si>
    <t>S063-004-001-003-001</t>
  </si>
  <si>
    <t>Gyny Unit</t>
  </si>
  <si>
    <t>S063-004-001-004-001</t>
  </si>
  <si>
    <t>Pediatric Unit</t>
  </si>
  <si>
    <t>S063-004-001-005-001</t>
  </si>
  <si>
    <t>OPD Unit</t>
  </si>
  <si>
    <t>S063-004-001-006-001</t>
  </si>
  <si>
    <t>Ortho Unit</t>
  </si>
  <si>
    <t>S063-004-001-007-001</t>
  </si>
  <si>
    <t>S063-004-002-001-001</t>
  </si>
  <si>
    <t>Dylisis</t>
  </si>
  <si>
    <t>S063-004-002-002-001</t>
  </si>
  <si>
    <t>S063-004-002-003-001</t>
  </si>
  <si>
    <t>S063-004-002-004-001</t>
  </si>
  <si>
    <t>S063-004-002-005-001</t>
  </si>
  <si>
    <t>OT Unit</t>
  </si>
  <si>
    <t>S063-004-002-006-001</t>
  </si>
  <si>
    <t>Psychiatry Unit</t>
  </si>
  <si>
    <t>S063-004-002-007-001</t>
  </si>
  <si>
    <t>Isolation Unit</t>
  </si>
  <si>
    <t>S063-004-002-008-001</t>
  </si>
  <si>
    <t>Other Speciality Nursing</t>
  </si>
  <si>
    <t>S063-004-002-009-001</t>
  </si>
  <si>
    <t>Non-communacable Diseases</t>
  </si>
  <si>
    <t>S063-005-001-001-001</t>
  </si>
  <si>
    <t>Communacable Diseases</t>
  </si>
  <si>
    <t>S063-005-002-001-001</t>
  </si>
  <si>
    <t>Alifushi Health Center</t>
  </si>
  <si>
    <t>S063-006-001-001-001</t>
  </si>
  <si>
    <t>Vaadhoo Health Center</t>
  </si>
  <si>
    <t>S063-006-002-001-001</t>
  </si>
  <si>
    <t>Rasgetheem Health Center</t>
  </si>
  <si>
    <t>S063-006-003-001-001</t>
  </si>
  <si>
    <t>Angolhitheem Health Center</t>
  </si>
  <si>
    <t>S063-006-004-001-001</t>
  </si>
  <si>
    <t>Hulhudhuffaaru Health Center</t>
  </si>
  <si>
    <t>S063-006-005-001-001</t>
  </si>
  <si>
    <t>Dhuvaafaru Health Center</t>
  </si>
  <si>
    <t>S063-006-006-001-001</t>
  </si>
  <si>
    <t>Maakurathu Health Center</t>
  </si>
  <si>
    <t>S063-006-007-001-001</t>
  </si>
  <si>
    <t>Rasmaadhoo Health Center</t>
  </si>
  <si>
    <t>S063-006-008-001-001</t>
  </si>
  <si>
    <t>Innamaadhoo Health Center</t>
  </si>
  <si>
    <t>S063-006-009-001-001</t>
  </si>
  <si>
    <t>Inguraidhoo Health Center</t>
  </si>
  <si>
    <t>S063-006-010-001-001</t>
  </si>
  <si>
    <t>Meedhoo Health Center</t>
  </si>
  <si>
    <t>S063-006-011-001-001</t>
  </si>
  <si>
    <t>Maduvvaree Health Center</t>
  </si>
  <si>
    <t>S063-006-012-001-001</t>
  </si>
  <si>
    <t>Kinolhas Health Center</t>
  </si>
  <si>
    <t>S063-006-013-001-001</t>
  </si>
  <si>
    <t>Fainu Health Center</t>
  </si>
  <si>
    <t>S063-006-014-001-001</t>
  </si>
  <si>
    <t>S064-001-001-001-001</t>
  </si>
  <si>
    <t>S064-001-001-002-001</t>
  </si>
  <si>
    <t>Store - Laundry</t>
  </si>
  <si>
    <t>S064-001-001-002-002</t>
  </si>
  <si>
    <t>Security Services</t>
  </si>
  <si>
    <t>S064-001-001-002-003</t>
  </si>
  <si>
    <t>S064-001-001-002-004</t>
  </si>
  <si>
    <t>S064-001-001-002-005</t>
  </si>
  <si>
    <t>Ambulatory Services</t>
  </si>
  <si>
    <t>S064-001-001-002-006</t>
  </si>
  <si>
    <t>General Support</t>
  </si>
  <si>
    <t>S064-001-001-002-007</t>
  </si>
  <si>
    <t>S064-001-001-003-001</t>
  </si>
  <si>
    <t>S064-001-001-004-001</t>
  </si>
  <si>
    <t>S064-001-001-005-001</t>
  </si>
  <si>
    <t>HR Foreign</t>
  </si>
  <si>
    <t>S064-001-001-006-001</t>
  </si>
  <si>
    <t>HR Local</t>
  </si>
  <si>
    <t>S064-001-001-006-002</t>
  </si>
  <si>
    <t>S064-001-001-007-001</t>
  </si>
  <si>
    <t>Clinical Assistant</t>
  </si>
  <si>
    <t>S064-001-001-007-002</t>
  </si>
  <si>
    <t>S064-001-001-007-003</t>
  </si>
  <si>
    <t>S064-001-001-008-001</t>
  </si>
  <si>
    <t>S064-001-001-009-001</t>
  </si>
  <si>
    <t>S064-001-001-010-001</t>
  </si>
  <si>
    <t>S064-002-001-001-001</t>
  </si>
  <si>
    <t>Gyny &amp; OBG</t>
  </si>
  <si>
    <t>S064-002-002-001-001</t>
  </si>
  <si>
    <t>Orthopedic</t>
  </si>
  <si>
    <t>S064-002-002-002-001</t>
  </si>
  <si>
    <t>S064-002-002-003-001</t>
  </si>
  <si>
    <t>S064-002-002-004-001</t>
  </si>
  <si>
    <t>S064-002-002-005-001</t>
  </si>
  <si>
    <t>S064-002-002-006-001</t>
  </si>
  <si>
    <t>S064-002-002-007-001</t>
  </si>
  <si>
    <t>S064-002-002-008-001</t>
  </si>
  <si>
    <t>S064-002-002-009-001</t>
  </si>
  <si>
    <t>Accidents &amp; Emergency</t>
  </si>
  <si>
    <t>S064-002-003-001-001</t>
  </si>
  <si>
    <t>S064-003-001-001-001</t>
  </si>
  <si>
    <t>S064-003-002-001-001</t>
  </si>
  <si>
    <t>Physiotherapy &amp; Occupational Therapy</t>
  </si>
  <si>
    <t>S064-003-003-001-001</t>
  </si>
  <si>
    <t>Speech Therapy</t>
  </si>
  <si>
    <t>S064-003-004-001-001</t>
  </si>
  <si>
    <t>S064-003-005-001-001</t>
  </si>
  <si>
    <t>S064-004-001-001-001</t>
  </si>
  <si>
    <t>ER Treatment Room</t>
  </si>
  <si>
    <t>S064-004-002-001-001</t>
  </si>
  <si>
    <t>Labour Room, NICU, GW</t>
  </si>
  <si>
    <t>S064-004-003-001-001</t>
  </si>
  <si>
    <t>S064-004-004-001-001</t>
  </si>
  <si>
    <t>S064-004-005-001-001</t>
  </si>
  <si>
    <t>Pvt, SW, HDU, GW</t>
  </si>
  <si>
    <t>S064-004-006-001-001</t>
  </si>
  <si>
    <t>PW, Isolation</t>
  </si>
  <si>
    <t>S064-004-007-001-001</t>
  </si>
  <si>
    <t>S064-004-008-001-001</t>
  </si>
  <si>
    <t>PHPE, Communicable Disease Prevention and control</t>
  </si>
  <si>
    <t>S064-005-001-001-001</t>
  </si>
  <si>
    <t>Health Promotion &amp; Chronic Disease</t>
  </si>
  <si>
    <t>S064-005-002-001-001</t>
  </si>
  <si>
    <t>Reproductive Health &amp; Nutrition</t>
  </si>
  <si>
    <t>S064-005-003-001-001</t>
  </si>
  <si>
    <t>Environmental &amp; Occupational Health</t>
  </si>
  <si>
    <t>S064-005-004-001-001</t>
  </si>
  <si>
    <t>Faresmaathodaa Health Center</t>
  </si>
  <si>
    <t>S064-006-001-001-001</t>
  </si>
  <si>
    <t>Fiyori Health Center</t>
  </si>
  <si>
    <t>S064-006-002-001-001</t>
  </si>
  <si>
    <t>Gadhoo Health Center</t>
  </si>
  <si>
    <t>S064-006-003-001-001</t>
  </si>
  <si>
    <t>Hoadehdhoo Health Center</t>
  </si>
  <si>
    <t>S064-006-004-001-001</t>
  </si>
  <si>
    <t>Madaveli Health Center</t>
  </si>
  <si>
    <t>S064-006-005-001-001</t>
  </si>
  <si>
    <t>Nadella Health Center</t>
  </si>
  <si>
    <t>S064-006-006-001-001</t>
  </si>
  <si>
    <t>Rathafandhoo Health Center</t>
  </si>
  <si>
    <t>S064-006-007-001-001</t>
  </si>
  <si>
    <t>S064-006-008-001-001</t>
  </si>
  <si>
    <t>System Activity</t>
  </si>
  <si>
    <t>S099-001-001-001-001</t>
  </si>
  <si>
    <t>Travelling Expenses - Local Land Travel</t>
  </si>
  <si>
    <t>Travelling Expenses - Local Air Travel</t>
  </si>
  <si>
    <t>Travelling Expenses - Overseas</t>
  </si>
  <si>
    <t>Travelling Expenses for Foreigners</t>
  </si>
  <si>
    <t>Other Travelling Expenses</t>
  </si>
  <si>
    <t>Stationery and Office Requisites</t>
  </si>
  <si>
    <r>
      <rPr>
        <sz val="12"/>
        <color rgb="FFFF0000"/>
        <rFont val="Roboto Condensed"/>
      </rPr>
      <t>*</t>
    </r>
    <r>
      <rPr>
        <sz val="12"/>
        <rFont val="Roboto Condensed"/>
      </rPr>
      <t>Program Code</t>
    </r>
  </si>
  <si>
    <r>
      <rPr>
        <sz val="12"/>
        <color rgb="FFFF0000"/>
        <rFont val="Roboto Condensed"/>
      </rPr>
      <t>*</t>
    </r>
    <r>
      <rPr>
        <sz val="12"/>
        <rFont val="Roboto Condensed"/>
      </rPr>
      <t>Purpose Of Travel</t>
    </r>
  </si>
  <si>
    <r>
      <rPr>
        <sz val="12"/>
        <color rgb="FFFF0000"/>
        <rFont val="Roboto Condensed"/>
      </rPr>
      <t>*</t>
    </r>
    <r>
      <rPr>
        <sz val="12"/>
        <rFont val="Roboto Condensed"/>
      </rPr>
      <t>No. Of Particpants</t>
    </r>
  </si>
  <si>
    <r>
      <rPr>
        <sz val="12"/>
        <color rgb="FFFF0000"/>
        <rFont val="Roboto Condensed"/>
      </rPr>
      <t>*</t>
    </r>
    <r>
      <rPr>
        <sz val="12"/>
        <rFont val="Roboto Condensed"/>
      </rPr>
      <t>Destination</t>
    </r>
  </si>
  <si>
    <r>
      <rPr>
        <sz val="12"/>
        <color rgb="FFFF0000"/>
        <rFont val="Roboto Condensed"/>
      </rPr>
      <t>*</t>
    </r>
    <r>
      <rPr>
        <sz val="12"/>
        <rFont val="Roboto Condensed"/>
      </rPr>
      <t>Expenditure Per Trip</t>
    </r>
  </si>
  <si>
    <r>
      <rPr>
        <sz val="12"/>
        <color rgb="FFFF0000"/>
        <rFont val="Roboto Condensed"/>
      </rPr>
      <t>*</t>
    </r>
    <r>
      <rPr>
        <sz val="12"/>
        <rFont val="Roboto Condensed"/>
      </rPr>
      <t>No. Of Trips</t>
    </r>
  </si>
  <si>
    <r>
      <rPr>
        <sz val="12"/>
        <color rgb="FFFF0000"/>
        <rFont val="Roboto Condensed"/>
      </rPr>
      <t>*</t>
    </r>
    <r>
      <rPr>
        <sz val="12"/>
        <rFont val="Roboto Condensed"/>
      </rPr>
      <t>Item Description</t>
    </r>
  </si>
  <si>
    <r>
      <rPr>
        <sz val="12"/>
        <color rgb="FFFF0000"/>
        <rFont val="Roboto Condensed"/>
      </rPr>
      <t>*</t>
    </r>
    <r>
      <rPr>
        <sz val="12"/>
        <rFont val="Roboto Condensed"/>
      </rPr>
      <t>Quantity</t>
    </r>
  </si>
  <si>
    <r>
      <rPr>
        <sz val="12"/>
        <color rgb="FFFF0000"/>
        <rFont val="Roboto Condensed"/>
      </rPr>
      <t>*</t>
    </r>
    <r>
      <rPr>
        <sz val="12"/>
        <rFont val="Roboto Condensed"/>
      </rPr>
      <t>Unit of Measure</t>
    </r>
  </si>
  <si>
    <r>
      <rPr>
        <sz val="12"/>
        <color rgb="FFFF0000"/>
        <rFont val="Roboto Condensed"/>
      </rPr>
      <t>*</t>
    </r>
    <r>
      <rPr>
        <sz val="12"/>
        <rFont val="Roboto Condensed"/>
      </rPr>
      <t>Unit Price</t>
    </r>
  </si>
  <si>
    <t>IT Related Materials</t>
  </si>
  <si>
    <t>Fuel and Lubricants</t>
  </si>
  <si>
    <t>No. of Vehicles / Vessels</t>
  </si>
  <si>
    <t>Meals for Employees During Office Hours</t>
  </si>
  <si>
    <r>
      <rPr>
        <sz val="12"/>
        <color rgb="FFFF0000"/>
        <rFont val="Roboto Condensed"/>
      </rPr>
      <t>*</t>
    </r>
    <r>
      <rPr>
        <sz val="12"/>
        <rFont val="Roboto Condensed"/>
      </rPr>
      <t>Meal Type</t>
    </r>
  </si>
  <si>
    <t>Employee Count</t>
  </si>
  <si>
    <t>Electrical Items</t>
  </si>
  <si>
    <t>Spare Parts</t>
  </si>
  <si>
    <t>Materials for Uniforms</t>
  </si>
  <si>
    <t>Supplies for Office Cleaning</t>
  </si>
  <si>
    <t>Utensils and Accessories</t>
  </si>
  <si>
    <t>Office Decoration Materials</t>
  </si>
  <si>
    <t>Curtains, Table Cloths Etc</t>
  </si>
  <si>
    <t>Other Administrative Supplies</t>
  </si>
  <si>
    <t>Telephone, Fax and Telex</t>
  </si>
  <si>
    <r>
      <rPr>
        <sz val="12"/>
        <color rgb="FFFF0000"/>
        <rFont val="Roboto Condensed"/>
      </rPr>
      <t>*</t>
    </r>
    <r>
      <rPr>
        <sz val="12"/>
        <rFont val="Roboto Condensed"/>
      </rPr>
      <t>Monthy Charge</t>
    </r>
  </si>
  <si>
    <r>
      <rPr>
        <sz val="12"/>
        <color rgb="FFFF0000"/>
        <rFont val="Roboto Condensed"/>
      </rPr>
      <t>*</t>
    </r>
    <r>
      <rPr>
        <sz val="12"/>
        <rFont val="Roboto Condensed"/>
      </rPr>
      <t>Service Provider</t>
    </r>
  </si>
  <si>
    <t>Electricity</t>
  </si>
  <si>
    <t>Water and Sanitation Services</t>
  </si>
  <si>
    <t>Leased Line and Internet</t>
  </si>
  <si>
    <t>Building rent and Land rent</t>
  </si>
  <si>
    <r>
      <rPr>
        <sz val="12"/>
        <color rgb="FFFF0000"/>
        <rFont val="Roboto Condensed"/>
      </rPr>
      <t>*</t>
    </r>
    <r>
      <rPr>
        <sz val="12"/>
        <rFont val="Roboto Condensed"/>
      </rPr>
      <t>Location</t>
    </r>
  </si>
  <si>
    <t>Hire Charges</t>
  </si>
  <si>
    <t>Purpose</t>
  </si>
  <si>
    <t>Security and Safeguarding Services</t>
  </si>
  <si>
    <t>Cleaning Services and Waste Disposal</t>
  </si>
  <si>
    <t>Postage and Message</t>
  </si>
  <si>
    <t>Announcements, Subscriptions and Advertisements</t>
  </si>
  <si>
    <t>Carriage and Conveyance</t>
  </si>
  <si>
    <t>Meeting or Seminar Related Expenses</t>
  </si>
  <si>
    <t>National Competitions and Ceremonies</t>
  </si>
  <si>
    <t>Social Development Programmes</t>
  </si>
  <si>
    <r>
      <rPr>
        <sz val="12"/>
        <color rgb="FFFF0000"/>
        <rFont val="Roboto Condensed"/>
      </rPr>
      <t>*</t>
    </r>
    <r>
      <rPr>
        <sz val="12"/>
        <rFont val="Roboto Condensed"/>
      </rPr>
      <t>Event Name</t>
    </r>
  </si>
  <si>
    <t>Examination Related Expenses</t>
  </si>
  <si>
    <r>
      <rPr>
        <sz val="12"/>
        <color rgb="FFFF0000"/>
        <rFont val="Roboto Condensed"/>
      </rPr>
      <t>*</t>
    </r>
    <r>
      <rPr>
        <sz val="12"/>
        <rFont val="Roboto Condensed"/>
      </rPr>
      <t>Exam Name</t>
    </r>
  </si>
  <si>
    <t>Consultancy, Translation &amp; Other Related Services</t>
  </si>
  <si>
    <t>Expenses on Foreign Dignitaries</t>
  </si>
  <si>
    <t>Visa, Workpermit Fees of Expatriate Staff</t>
  </si>
  <si>
    <t>Annual Fees to Government</t>
  </si>
  <si>
    <t>Printing Services</t>
  </si>
  <si>
    <t>Laundry Services</t>
  </si>
  <si>
    <t>Staff Medical Expenses</t>
  </si>
  <si>
    <t>Expenses on International &amp; Local Fairs</t>
  </si>
  <si>
    <t>Bank Charges and Commission</t>
  </si>
  <si>
    <t>Insurance</t>
  </si>
  <si>
    <t>Other Administrative Services</t>
  </si>
  <si>
    <t>Medical Consumables</t>
  </si>
  <si>
    <t>Educational Consumables</t>
  </si>
  <si>
    <t>Prov. of food to people under arrest &amp; detention</t>
  </si>
  <si>
    <t>Other Matrl. for people under arrest &amp; detention</t>
  </si>
  <si>
    <t>Other Operational Consumables</t>
  </si>
  <si>
    <t>Scholarship and Fellowship Assistance</t>
  </si>
  <si>
    <t>Short Course Fees &amp; Expenses - Overseas Training</t>
  </si>
  <si>
    <t>Workshops Related Expenses</t>
  </si>
  <si>
    <t>Course Fees &amp; Related Expenses - Local Training</t>
  </si>
  <si>
    <t>Conducting Training Courses</t>
  </si>
  <si>
    <t>Staff training</t>
  </si>
  <si>
    <t>Repairs - Residential Buildings</t>
  </si>
  <si>
    <t>Repairs - Non-Residential Buildings</t>
  </si>
  <si>
    <t>Repairs - Roads and Bridges</t>
  </si>
  <si>
    <t>Repairs - Airports</t>
  </si>
  <si>
    <t>Repairs - Wharves, Ports and Harbours</t>
  </si>
  <si>
    <t>Repairs - Water &amp; Sanitation Systems</t>
  </si>
  <si>
    <t>Repairs - Electricity Systems</t>
  </si>
  <si>
    <t>Repairs - Other Infrastructure</t>
  </si>
  <si>
    <t>Repairs - Furniture &amp; Fittings</t>
  </si>
  <si>
    <t>Repairs - Machinery and Equipment</t>
  </si>
  <si>
    <t>Repairs - Vehicular Equipment</t>
  </si>
  <si>
    <t>Repairs - Communication Infrastructure</t>
  </si>
  <si>
    <t>Repairs - Computer Software</t>
  </si>
  <si>
    <t>Repairs - IT-Related Hardware</t>
  </si>
  <si>
    <t>Repairs - Other Equipment</t>
  </si>
  <si>
    <t>Repairs - Motor Vehicles</t>
  </si>
  <si>
    <t>Repairs - Ships and Boats</t>
  </si>
  <si>
    <t>Repairs - Aerospace equipments</t>
  </si>
  <si>
    <t>Grants to Private Parties</t>
  </si>
  <si>
    <t>Awards</t>
  </si>
  <si>
    <t>Assistance to Associations &amp; Social Organisations</t>
  </si>
  <si>
    <t>Assistance for Community Programs</t>
  </si>
  <si>
    <t>Furniture &amp; Fittings</t>
  </si>
  <si>
    <t>Machinery and Equipment</t>
  </si>
  <si>
    <t>Vehicular Equipment</t>
  </si>
  <si>
    <t>Tools, Instruments, Apparatus</t>
  </si>
  <si>
    <t>Reference Books &amp; Exhibition Goods</t>
  </si>
  <si>
    <t>Communication Infrastructure</t>
  </si>
  <si>
    <t>Computer Software</t>
  </si>
  <si>
    <t>IT-Related Hardware</t>
  </si>
  <si>
    <t>Other Equipment</t>
  </si>
  <si>
    <t>Location</t>
  </si>
  <si>
    <t>Existing Count</t>
  </si>
  <si>
    <t>Competition/Ceremony Name</t>
  </si>
  <si>
    <t>Type of Expense</t>
  </si>
  <si>
    <t>Travelling Expenses</t>
  </si>
  <si>
    <t>Administrative Supplies</t>
  </si>
  <si>
    <t>Administrative Services</t>
  </si>
  <si>
    <t>Operational Consumables</t>
  </si>
  <si>
    <t>Training Expenses</t>
  </si>
  <si>
    <t>Repairs and Maintenance</t>
  </si>
  <si>
    <t>Grants &amp; Contributions</t>
  </si>
  <si>
    <t>Subscriptions &amp; Fees to Domestic Organisations</t>
  </si>
  <si>
    <t>Organization</t>
  </si>
  <si>
    <t>Subscriptions &amp; Fees to International Org.</t>
  </si>
  <si>
    <t>Other Grants, Contributions &amp; Subsidies</t>
  </si>
  <si>
    <t>Furniture, Machinery, Equipments &amp; Vehicles</t>
  </si>
  <si>
    <t>Unit of Measure</t>
  </si>
  <si>
    <t>Type of Service</t>
  </si>
  <si>
    <r>
      <rPr>
        <sz val="12"/>
        <color rgb="FFFF0000"/>
        <rFont val="Roboto Condensed"/>
      </rPr>
      <t>*</t>
    </r>
    <r>
      <rPr>
        <sz val="12"/>
        <rFont val="Roboto Condensed"/>
      </rPr>
      <t>Description</t>
    </r>
  </si>
  <si>
    <r>
      <rPr>
        <sz val="12"/>
        <color rgb="FFFF0000"/>
        <rFont val="Roboto Condensed"/>
      </rPr>
      <t>*</t>
    </r>
    <r>
      <rPr>
        <sz val="12"/>
        <rFont val="Roboto Condensed"/>
      </rPr>
      <t>Reason For The Lease</t>
    </r>
  </si>
  <si>
    <t>Govt. Agency</t>
  </si>
  <si>
    <t>Destination</t>
  </si>
  <si>
    <t>Detainees Count</t>
  </si>
  <si>
    <r>
      <rPr>
        <sz val="12"/>
        <color rgb="FFFF0000"/>
        <rFont val="Roboto Condensed"/>
      </rPr>
      <t>*</t>
    </r>
    <r>
      <rPr>
        <sz val="12"/>
        <rFont val="Roboto Condensed"/>
      </rPr>
      <t>No. of Participants</t>
    </r>
  </si>
  <si>
    <r>
      <rPr>
        <sz val="12"/>
        <color rgb="FFFF0000"/>
        <rFont val="Roboto Condensed"/>
      </rPr>
      <t>*</t>
    </r>
    <r>
      <rPr>
        <sz val="12"/>
        <rFont val="Roboto Condensed"/>
      </rPr>
      <t>Course Name</t>
    </r>
  </si>
  <si>
    <r>
      <rPr>
        <sz val="12"/>
        <color rgb="FFFF0000"/>
        <rFont val="Roboto Condensed"/>
      </rPr>
      <t>*</t>
    </r>
    <r>
      <rPr>
        <sz val="12"/>
        <rFont val="Roboto Condensed"/>
      </rPr>
      <t>Workshop Name</t>
    </r>
  </si>
  <si>
    <r>
      <rPr>
        <sz val="12"/>
        <color rgb="FFFF0000"/>
        <rFont val="Roboto Condensed"/>
      </rPr>
      <t>*</t>
    </r>
    <r>
      <rPr>
        <sz val="12"/>
        <rFont val="Roboto Condensed"/>
      </rPr>
      <t>Allowance Name</t>
    </r>
  </si>
  <si>
    <r>
      <rPr>
        <sz val="12"/>
        <color rgb="FFFF0000"/>
        <rFont val="Roboto Condensed"/>
      </rPr>
      <t>*</t>
    </r>
    <r>
      <rPr>
        <sz val="12"/>
        <rFont val="Roboto Condensed"/>
      </rPr>
      <t>Training Name</t>
    </r>
  </si>
  <si>
    <r>
      <rPr>
        <sz val="12"/>
        <color rgb="FFFF0000"/>
        <rFont val="Roboto Condensed"/>
      </rPr>
      <t>*</t>
    </r>
    <r>
      <rPr>
        <sz val="12"/>
        <rFont val="Roboto Condensed"/>
      </rPr>
      <t>No. of Staff</t>
    </r>
  </si>
  <si>
    <r>
      <rPr>
        <sz val="12"/>
        <color rgb="FFFF0000"/>
        <rFont val="Roboto Condensed"/>
      </rPr>
      <t>*</t>
    </r>
    <r>
      <rPr>
        <sz val="12"/>
        <rFont val="Roboto Condensed"/>
      </rPr>
      <t>Price</t>
    </r>
  </si>
  <si>
    <r>
      <rPr>
        <sz val="12"/>
        <color rgb="FFFF0000"/>
        <rFont val="Roboto Condensed"/>
      </rPr>
      <t>*</t>
    </r>
    <r>
      <rPr>
        <sz val="12"/>
        <rFont val="Roboto Condensed"/>
      </rPr>
      <t>Grant Name</t>
    </r>
  </si>
  <si>
    <r>
      <rPr>
        <sz val="12"/>
        <color rgb="FFFF0000"/>
        <rFont val="Roboto Condensed"/>
      </rPr>
      <t>*</t>
    </r>
    <r>
      <rPr>
        <sz val="12"/>
        <rFont val="Roboto Condensed"/>
      </rPr>
      <t>Award Name</t>
    </r>
  </si>
  <si>
    <r>
      <rPr>
        <sz val="12"/>
        <color rgb="FFFF0000"/>
        <rFont val="Roboto Condensed"/>
      </rPr>
      <t>*</t>
    </r>
    <r>
      <rPr>
        <sz val="12"/>
        <rFont val="Roboto Condensed"/>
      </rPr>
      <t>Accociation/Organization Name</t>
    </r>
  </si>
  <si>
    <r>
      <rPr>
        <sz val="12"/>
        <color rgb="FFFF0000"/>
        <rFont val="Roboto Condensed"/>
      </rPr>
      <t>*</t>
    </r>
    <r>
      <rPr>
        <sz val="12"/>
        <rFont val="Roboto Condensed"/>
      </rPr>
      <t>Community Program Name</t>
    </r>
  </si>
  <si>
    <t>IT Related Subscriptions &amp; Fees</t>
  </si>
  <si>
    <t>Motor Vehicles</t>
  </si>
  <si>
    <t>Ships and Boats</t>
  </si>
  <si>
    <t>Aerospace Equipments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</si>
</sst>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Condensed"/>
    </font>
    <font>
      <b/>
      <sz val="12"/>
      <color theme="0"/>
      <name val="Roboto Condensed"/>
    </font>
    <font>
      <b/>
      <sz val="12"/>
      <color theme="1"/>
      <name val="Roboto Condensed"/>
    </font>
    <font>
      <sz val="12"/>
      <color theme="0"/>
      <name val="Roboto Condensed"/>
    </font>
    <font>
      <sz val="12"/>
      <name val="Roboto Condensed"/>
    </font>
    <font>
      <sz val="12"/>
      <color theme="1"/>
      <name val="Roboto Condensed"/>
      <family val="2"/>
    </font>
    <font>
      <sz val="12"/>
      <color rgb="FFFF0000"/>
      <name val="Roboto Condensed"/>
    </font>
    <font>
      <b/>
      <sz val="26"/>
      <color theme="1"/>
      <name val="Roboto Condensed"/>
    </font>
  </fonts>
  <fills count="6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20">
    <xf numFmtId="0" fontId="0" fillId="0" borderId="0" xfId="0"/>
    <xf numFmtId="0" fontId="7" fillId="0" borderId="0" xfId="2"/>
    <xf numFmtId="0" fontId="2" fillId="5" borderId="0" xfId="0" applyFont="1" applyFill="1" applyAlignment="1" applyProtection="1">
      <alignment horizontal="left" vertical="center"/>
      <protection hidden="1"/>
    </xf>
    <xf numFmtId="0" fontId="2" fillId="5" borderId="0" xfId="0" applyFont="1" applyFill="1" applyAlignment="1" applyProtection="1">
      <alignment vertical="center"/>
      <protection hidden="1"/>
    </xf>
    <xf numFmtId="0" fontId="3" fillId="3" borderId="0" xfId="0" applyFont="1" applyFill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vertical="center"/>
      <protection locked="0"/>
    </xf>
    <xf numFmtId="0" fontId="5" fillId="3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6" fillId="4" borderId="0" xfId="0" applyFont="1" applyFill="1" applyAlignment="1" applyProtection="1">
      <alignment horizontal="left" vertical="center" wrapText="1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2" borderId="0" xfId="1" applyNumberFormat="1" applyFont="1" applyFill="1" applyAlignment="1" applyProtection="1">
      <alignment horizontal="center" vertical="center"/>
      <protection locked="0"/>
    </xf>
    <xf numFmtId="164" fontId="2" fillId="2" borderId="0" xfId="1" applyNumberFormat="1" applyFont="1" applyFill="1" applyAlignment="1" applyProtection="1">
      <alignment vertical="center"/>
      <protection locked="0"/>
    </xf>
    <xf numFmtId="0" fontId="2" fillId="4" borderId="0" xfId="0" applyFont="1" applyFill="1" applyAlignment="1" applyProtection="1">
      <alignment vertical="center"/>
      <protection locked="0"/>
    </xf>
    <xf numFmtId="0" fontId="2" fillId="4" borderId="0" xfId="0" applyFont="1" applyFill="1" applyAlignment="1" applyProtection="1">
      <alignment horizontal="center" vertical="center"/>
      <protection locked="0"/>
    </xf>
    <xf numFmtId="164" fontId="2" fillId="4" borderId="0" xfId="0" applyNumberFormat="1" applyFont="1" applyFill="1" applyAlignment="1" applyProtection="1">
      <alignment vertical="center"/>
      <protection locked="0"/>
    </xf>
    <xf numFmtId="164" fontId="4" fillId="5" borderId="0" xfId="1" applyNumberFormat="1" applyFont="1" applyFill="1" applyAlignment="1" applyProtection="1">
      <alignment vertical="center"/>
      <protection hidden="1"/>
    </xf>
    <xf numFmtId="0" fontId="2" fillId="3" borderId="0" xfId="0" applyFont="1" applyFill="1" applyAlignment="1" applyProtection="1">
      <alignment vertical="center"/>
      <protection locked="0"/>
    </xf>
    <xf numFmtId="164" fontId="2" fillId="2" borderId="0" xfId="1" applyNumberFormat="1" applyFont="1" applyFill="1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vertical="center"/>
      <protection locked="0"/>
    </xf>
    <xf numFmtId="164" fontId="4" fillId="5" borderId="0" xfId="1" applyNumberFormat="1" applyFont="1" applyFill="1" applyAlignment="1" applyProtection="1">
      <alignment vertical="center"/>
      <protection locked="0" hidden="1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206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rgb="FF000000"/>
          <bgColor rgb="FFDDE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Roboto Condensed"/>
        <scheme val="none"/>
      </font>
      <fill>
        <patternFill patternType="solid">
          <fgColor rgb="FF000000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indexed="64"/>
          <bgColor theme="8" tint="0.79998168889431442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indexed="64"/>
          <bgColor theme="8" tint="0.79998168889431442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indexed="64"/>
          <bgColor theme="8" tint="0.79998168889431442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indexed="64"/>
          <bgColor theme="8" tint="0.79998168889431442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indexed="64"/>
          <bgColor theme="8" tint="0.79998168889431442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164" formatCode="_(* #,##0_);_(* \(#,##0\);_(* &quot;-&quot;??_);_(@_)"/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numFmt numFmtId="0" formatCode="General"/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indexed="64"/>
          <bgColor theme="8" tint="0.79998168889431442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 Condensed"/>
        <scheme val="none"/>
      </font>
      <fill>
        <patternFill patternType="solid">
          <fgColor indexed="64"/>
          <bgColor rgb="FFFBFBFB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 Condensed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protection locked="0" hidden="0"/>
    </dxf>
  </dxfs>
  <tableStyles count="0" defaultTableStyle="TableStyleMedium2" defaultPivotStyle="PivotStyleLight16"/>
  <colors>
    <mruColors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Code_221001" displayName="Code_221001" ref="B5:K13" totalsRowCount="1" headerRowDxfId="2064" dataDxfId="2063" totalsRowDxfId="2062">
  <autoFilter ref="B5:K12" xr:uid="{00000000-0009-0000-0100-000003000000}"/>
  <tableColumns count="10">
    <tableColumn id="1" xr3:uid="{00000000-0010-0000-0000-000001000000}" name="#" totalsRowLabel="Total" dataDxfId="2061" totalsRowDxfId="2060"/>
    <tableColumn id="2" xr3:uid="{00000000-0010-0000-0000-000002000000}" name="*Program Code" dataDxfId="2059" totalsRowDxfId="2058"/>
    <tableColumn id="3" xr3:uid="{00000000-0010-0000-0000-000003000000}" name="Program Description" dataDxfId="2057" totalsRowDxfId="2056">
      <calculatedColumnFormula>_xlfn.IFNA(INDEX(Program!A:A,MATCH(Code_221001[[#This Row],[*Program Code]],Program!B:B,0)),"")</calculatedColumnFormula>
    </tableColumn>
    <tableColumn id="4" xr3:uid="{00000000-0010-0000-0000-000004000000}" name="*Purpose Of Travel" dataDxfId="2055" totalsRowDxfId="2054"/>
    <tableColumn id="5" xr3:uid="{00000000-0010-0000-0000-000005000000}" name="*No. Of Particpants" dataDxfId="2053" totalsRowDxfId="2052" dataCellStyle="Comma"/>
    <tableColumn id="6" xr3:uid="{00000000-0010-0000-0000-000006000000}" name="*Destination" dataDxfId="2051" totalsRowDxfId="2050"/>
    <tableColumn id="7" xr3:uid="{00000000-0010-0000-0000-000007000000}" name="*Expenditure Per Trip" dataDxfId="2049" totalsRowDxfId="2048" dataCellStyle="Comma"/>
    <tableColumn id="8" xr3:uid="{00000000-0010-0000-0000-000008000000}" name="*No. Of Trips" dataDxfId="2047" totalsRowDxfId="2046" dataCellStyle="Comma"/>
    <tableColumn id="9" xr3:uid="{00000000-0010-0000-0000-000009000000}" name="Total Expenditure" totalsRowFunction="sum" dataDxfId="2045" totalsRowDxfId="2044" dataCellStyle="Comma">
      <calculatedColumnFormula>Code_221001[[#This Row],[*No. Of Trips]]*Code_221001[[#This Row],[*Expenditure Per Trip]]</calculatedColumnFormula>
    </tableColumn>
    <tableColumn id="10" xr3:uid="{00000000-0010-0000-0000-00000A000000}" name="Justification" dataDxfId="2043" totalsRowDxfId="2042"/>
  </tableColumns>
  <tableStyleInfo name="TableStyleLight11" showFirstColumn="0" showLastColumn="0" showRowStripes="1" showColumnStripes="1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9000000}" name="Table310171819" displayName="Table310171819" ref="B38:K46" totalsRowCount="1" headerRowDxfId="1857" dataDxfId="1856" totalsRowDxfId="1855">
  <autoFilter ref="B38:K45" xr:uid="{00000000-0009-0000-0100-000012000000}"/>
  <tableColumns count="10">
    <tableColumn id="1" xr3:uid="{00000000-0010-0000-0900-000001000000}" name="#" totalsRowLabel="Total" dataDxfId="1854" totalsRowDxfId="1853"/>
    <tableColumn id="2" xr3:uid="{00000000-0010-0000-0900-000002000000}" name="*Program Code" dataDxfId="1852" totalsRowDxfId="1851"/>
    <tableColumn id="3" xr3:uid="{00000000-0010-0000-0900-000003000000}" name="Program Description" dataDxfId="1850" totalsRowDxfId="1849">
      <calculatedColumnFormula>_xlfn.IFNA(INDEX(Program!A:A,MATCH(Table310171819[[#This Row],[*Program Code]],Program!B:B,0)),"")</calculatedColumnFormula>
    </tableColumn>
    <tableColumn id="4" xr3:uid="{00000000-0010-0000-0900-000004000000}" name="*Meal Type" dataDxfId="1848" totalsRowDxfId="1847"/>
    <tableColumn id="5" xr3:uid="{00000000-0010-0000-0900-000005000000}" name="Employee Count" dataDxfId="1846" totalsRowDxfId="1845" dataCellStyle="Comma"/>
    <tableColumn id="6" xr3:uid="{00000000-0010-0000-0900-000006000000}" name="*Quantity" dataDxfId="1844" totalsRowDxfId="1843"/>
    <tableColumn id="7" xr3:uid="{00000000-0010-0000-0900-000007000000}" name="Unit of Measure" dataDxfId="1842" totalsRowDxfId="1841" dataCellStyle="Comma"/>
    <tableColumn id="8" xr3:uid="{00000000-0010-0000-0900-000008000000}" name="*Unit Price" dataDxfId="1840" totalsRowDxfId="1839" dataCellStyle="Comma"/>
    <tableColumn id="9" xr3:uid="{00000000-0010-0000-0900-000009000000}" name="Total Expenditure" totalsRowFunction="sum" dataDxfId="1838" totalsRowDxfId="1837" dataCellStyle="Comma">
      <calculatedColumnFormula>Table310171819[[#This Row],[*Unit Price]]*Table310171819[[#This Row],[*Quantity]]</calculatedColumnFormula>
    </tableColumn>
    <tableColumn id="10" xr3:uid="{00000000-0010-0000-0900-00000A000000}" name="Justification" dataDxfId="1836" totalsRowDxfId="1835"/>
  </tableColumns>
  <tableStyleInfo name="TableStyleLight11" showFirstColumn="0" showLastColumn="0" showRowStripes="1" showColumnStripes="1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0A000000}" name="Table31017181920" displayName="Table31017181920" ref="B49:K57" totalsRowCount="1" headerRowDxfId="1834" dataDxfId="1833" totalsRowDxfId="1832">
  <autoFilter ref="B49:K56" xr:uid="{00000000-0009-0000-0100-000013000000}"/>
  <tableColumns count="10">
    <tableColumn id="1" xr3:uid="{00000000-0010-0000-0A00-000001000000}" name="#" totalsRowLabel="Total" dataDxfId="1831" totalsRowDxfId="1830"/>
    <tableColumn id="2" xr3:uid="{00000000-0010-0000-0A00-000002000000}" name="*Program Code" dataDxfId="1829" totalsRowDxfId="1828"/>
    <tableColumn id="3" xr3:uid="{00000000-0010-0000-0A00-000003000000}" name="Program Description" dataDxfId="1827" totalsRowDxfId="1826">
      <calculatedColumnFormula>_xlfn.IFNA(INDEX(Program!A:A,MATCH(Table31017181920[[#This Row],[*Program Code]],Program!B:B,0)),"")</calculatedColumnFormula>
    </tableColumn>
    <tableColumn id="4" xr3:uid="{00000000-0010-0000-0A00-000004000000}" name="*Item Description" dataDxfId="1825" totalsRowDxfId="1824"/>
    <tableColumn id="5" xr3:uid="{00000000-0010-0000-0A00-000005000000}" name="Existing Count" dataDxfId="1823" totalsRowDxfId="1822" dataCellStyle="Comma"/>
    <tableColumn id="6" xr3:uid="{00000000-0010-0000-0A00-000006000000}" name="*Quantity" dataDxfId="1821" totalsRowDxfId="1820"/>
    <tableColumn id="7" xr3:uid="{00000000-0010-0000-0A00-000007000000}" name="Unit of Measure" dataDxfId="1819" totalsRowDxfId="1818" dataCellStyle="Comma"/>
    <tableColumn id="8" xr3:uid="{00000000-0010-0000-0A00-000008000000}" name="*Unit Price" dataDxfId="1817" totalsRowDxfId="1816" dataCellStyle="Comma"/>
    <tableColumn id="9" xr3:uid="{00000000-0010-0000-0A00-000009000000}" name="Total Expenditure" totalsRowFunction="sum" dataDxfId="1815" totalsRowDxfId="1814" dataCellStyle="Comma">
      <calculatedColumnFormula>Table31017181920[[#This Row],[*Unit Price]]*Table31017181920[[#This Row],[*Quantity]]</calculatedColumnFormula>
    </tableColumn>
    <tableColumn id="10" xr3:uid="{00000000-0010-0000-0A00-00000A000000}" name="Justification" dataDxfId="1813" totalsRowDxfId="1812"/>
  </tableColumns>
  <tableStyleInfo name="TableStyleLight11" showFirstColumn="0" showLastColumn="0" showRowStripes="1" showColumnStripes="1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0B000000}" name="Table3101718192021" displayName="Table3101718192021" ref="B60:K68" totalsRowCount="1" headerRowDxfId="1811" dataDxfId="1810" totalsRowDxfId="1809">
  <autoFilter ref="B60:K67" xr:uid="{00000000-0009-0000-0100-000014000000}"/>
  <tableColumns count="10">
    <tableColumn id="1" xr3:uid="{00000000-0010-0000-0B00-000001000000}" name="#" totalsRowLabel="Total" dataDxfId="1808" totalsRowDxfId="1807"/>
    <tableColumn id="2" xr3:uid="{00000000-0010-0000-0B00-000002000000}" name="*Program Code" dataDxfId="1806" totalsRowDxfId="1805"/>
    <tableColumn id="3" xr3:uid="{00000000-0010-0000-0B00-000003000000}" name="Program Description" dataDxfId="1804" totalsRowDxfId="1803">
      <calculatedColumnFormula>_xlfn.IFNA(INDEX(Program!A:A,MATCH(Table3101718192021[[#This Row],[*Program Code]],Program!B:B,0)),"")</calculatedColumnFormula>
    </tableColumn>
    <tableColumn id="4" xr3:uid="{00000000-0010-0000-0B00-000004000000}" name="*Item Description" dataDxfId="1802" totalsRowDxfId="1801"/>
    <tableColumn id="5" xr3:uid="{00000000-0010-0000-0B00-000005000000}" name="Existing Count" dataDxfId="1800" totalsRowDxfId="1799" dataCellStyle="Comma"/>
    <tableColumn id="6" xr3:uid="{00000000-0010-0000-0B00-000006000000}" name="*Quantity" dataDxfId="1798" totalsRowDxfId="1797"/>
    <tableColumn id="7" xr3:uid="{00000000-0010-0000-0B00-000007000000}" name="Unit of Measure" dataDxfId="1796" totalsRowDxfId="1795" dataCellStyle="Comma"/>
    <tableColumn id="8" xr3:uid="{00000000-0010-0000-0B00-000008000000}" name="*Unit Price" dataDxfId="1794" totalsRowDxfId="1793" dataCellStyle="Comma"/>
    <tableColumn id="9" xr3:uid="{00000000-0010-0000-0B00-000009000000}" name="Total Expenditure" totalsRowFunction="sum" dataDxfId="1792" totalsRowDxfId="1791" dataCellStyle="Comma">
      <calculatedColumnFormula>Table3101718192021[[#This Row],[*Unit Price]]*Table3101718192021[[#This Row],[*Quantity]]</calculatedColumnFormula>
    </tableColumn>
    <tableColumn id="10" xr3:uid="{00000000-0010-0000-0B00-00000A000000}" name="Justification" dataDxfId="1790" totalsRowDxfId="1789"/>
  </tableColumns>
  <tableStyleInfo name="TableStyleLight11" showFirstColumn="0" showLastColumn="0" showRowStripes="1" showColumnStripes="1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0C000000}" name="Table310171819202122" displayName="Table310171819202122" ref="B71:K79" totalsRowCount="1" headerRowDxfId="1788" dataDxfId="1787" totalsRowDxfId="1786">
  <autoFilter ref="B71:K78" xr:uid="{00000000-0009-0000-0100-000015000000}"/>
  <tableColumns count="10">
    <tableColumn id="1" xr3:uid="{00000000-0010-0000-0C00-000001000000}" name="#" totalsRowLabel="Total" dataDxfId="1785" totalsRowDxfId="1784"/>
    <tableColumn id="2" xr3:uid="{00000000-0010-0000-0C00-000002000000}" name="*Program Code" dataDxfId="1783" totalsRowDxfId="1782"/>
    <tableColumn id="3" xr3:uid="{00000000-0010-0000-0C00-000003000000}" name="Program Description" dataDxfId="1781" totalsRowDxfId="1780">
      <calculatedColumnFormula>_xlfn.IFNA(INDEX(Program!A:A,MATCH(Table310171819202122[[#This Row],[*Program Code]],Program!B:B,0)),"")</calculatedColumnFormula>
    </tableColumn>
    <tableColumn id="4" xr3:uid="{00000000-0010-0000-0C00-000004000000}" name="*Item Description" dataDxfId="1779" totalsRowDxfId="1778"/>
    <tableColumn id="5" xr3:uid="{00000000-0010-0000-0C00-000005000000}" name="Employee Count" dataDxfId="1777" totalsRowDxfId="1776" dataCellStyle="Comma"/>
    <tableColumn id="6" xr3:uid="{00000000-0010-0000-0C00-000006000000}" name="*Quantity" dataDxfId="1775" totalsRowDxfId="1774"/>
    <tableColumn id="7" xr3:uid="{00000000-0010-0000-0C00-000007000000}" name="Unit of Measure" dataDxfId="1773" totalsRowDxfId="1772" dataCellStyle="Comma"/>
    <tableColumn id="8" xr3:uid="{00000000-0010-0000-0C00-000008000000}" name="*Unit Price" dataDxfId="1771" totalsRowDxfId="1770" dataCellStyle="Comma"/>
    <tableColumn id="9" xr3:uid="{00000000-0010-0000-0C00-000009000000}" name="Total Expenditure" totalsRowFunction="sum" dataDxfId="1769" totalsRowDxfId="1768" dataCellStyle="Comma">
      <calculatedColumnFormula>Table310171819202122[[#This Row],[*Unit Price]]*Table310171819202122[[#This Row],[*Quantity]]</calculatedColumnFormula>
    </tableColumn>
    <tableColumn id="10" xr3:uid="{00000000-0010-0000-0C00-00000A000000}" name="Justification" dataDxfId="1767" totalsRowDxfId="1766"/>
  </tableColumns>
  <tableStyleInfo name="TableStyleLight11" showFirstColumn="0" showLastColumn="0" showRowStripes="1" showColumnStripes="1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0D000000}" name="Table31017181920212223" displayName="Table31017181920212223" ref="B82:K90" totalsRowCount="1" headerRowDxfId="1765" dataDxfId="1764" totalsRowDxfId="1763">
  <autoFilter ref="B82:K89" xr:uid="{00000000-0009-0000-0100-000016000000}"/>
  <tableColumns count="10">
    <tableColumn id="1" xr3:uid="{00000000-0010-0000-0D00-000001000000}" name="#" totalsRowLabel="Total" dataDxfId="1762" totalsRowDxfId="1761"/>
    <tableColumn id="2" xr3:uid="{00000000-0010-0000-0D00-000002000000}" name="*Program Code" dataDxfId="1760" totalsRowDxfId="1759"/>
    <tableColumn id="3" xr3:uid="{00000000-0010-0000-0D00-000003000000}" name="Program Description" dataDxfId="1758" totalsRowDxfId="1757">
      <calculatedColumnFormula>_xlfn.IFNA(INDEX(Program!A:A,MATCH(Table31017181920212223[[#This Row],[*Program Code]],Program!B:B,0)),"")</calculatedColumnFormula>
    </tableColumn>
    <tableColumn id="4" xr3:uid="{00000000-0010-0000-0D00-000004000000}" name="*Item Description" dataDxfId="1756" totalsRowDxfId="1755"/>
    <tableColumn id="5" xr3:uid="{00000000-0010-0000-0D00-000005000000}" name="Existing Count" dataDxfId="1754" totalsRowDxfId="1753" dataCellStyle="Comma"/>
    <tableColumn id="6" xr3:uid="{00000000-0010-0000-0D00-000006000000}" name="*Quantity" dataDxfId="1752" totalsRowDxfId="1751"/>
    <tableColumn id="7" xr3:uid="{00000000-0010-0000-0D00-000007000000}" name="Unit of Measure" dataDxfId="1750" totalsRowDxfId="1749" dataCellStyle="Comma"/>
    <tableColumn id="8" xr3:uid="{00000000-0010-0000-0D00-000008000000}" name="*Unit Price" dataDxfId="1748" totalsRowDxfId="1747" dataCellStyle="Comma"/>
    <tableColumn id="9" xr3:uid="{00000000-0010-0000-0D00-000009000000}" name="Total Expenditure" totalsRowFunction="sum" dataDxfId="1746" totalsRowDxfId="1745" dataCellStyle="Comma">
      <calculatedColumnFormula>Table31017181920212223[[#This Row],[*Unit Price]]*Table31017181920212223[[#This Row],[*Quantity]]</calculatedColumnFormula>
    </tableColumn>
    <tableColumn id="10" xr3:uid="{00000000-0010-0000-0D00-00000A000000}" name="Justification" dataDxfId="1744" totalsRowDxfId="1743"/>
  </tableColumns>
  <tableStyleInfo name="TableStyleLight11" showFirstColumn="0" showLastColumn="0" showRowStripes="1" showColumnStripes="1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0E000000}" name="Table3101718192021222324" displayName="Table3101718192021222324" ref="B93:K101" totalsRowCount="1" headerRowDxfId="1742" dataDxfId="1741" totalsRowDxfId="1740">
  <autoFilter ref="B93:K100" xr:uid="{00000000-0009-0000-0100-000017000000}"/>
  <tableColumns count="10">
    <tableColumn id="1" xr3:uid="{00000000-0010-0000-0E00-000001000000}" name="#" totalsRowLabel="Total" dataDxfId="1739" totalsRowDxfId="1738"/>
    <tableColumn id="2" xr3:uid="{00000000-0010-0000-0E00-000002000000}" name="*Program Code" dataDxfId="1737" totalsRowDxfId="1736"/>
    <tableColumn id="3" xr3:uid="{00000000-0010-0000-0E00-000003000000}" name="Program Description" dataDxfId="1735" totalsRowDxfId="1734">
      <calculatedColumnFormula>_xlfn.IFNA(INDEX(Program!A:A,MATCH(Table3101718192021222324[[#This Row],[*Program Code]],Program!B:B,0)),"")</calculatedColumnFormula>
    </tableColumn>
    <tableColumn id="4" xr3:uid="{00000000-0010-0000-0E00-000004000000}" name="*Item Description" dataDxfId="1733" totalsRowDxfId="1732"/>
    <tableColumn id="5" xr3:uid="{00000000-0010-0000-0E00-000005000000}" name="Existing Count" dataDxfId="1731" totalsRowDxfId="1730" dataCellStyle="Comma"/>
    <tableColumn id="6" xr3:uid="{00000000-0010-0000-0E00-000006000000}" name="*Quantity" dataDxfId="1729" totalsRowDxfId="1728"/>
    <tableColumn id="7" xr3:uid="{00000000-0010-0000-0E00-000007000000}" name="Unit of Measure" dataDxfId="1727" totalsRowDxfId="1726" dataCellStyle="Comma"/>
    <tableColumn id="8" xr3:uid="{00000000-0010-0000-0E00-000008000000}" name="*Unit Price" dataDxfId="1725" totalsRowDxfId="1724" dataCellStyle="Comma"/>
    <tableColumn id="9" xr3:uid="{00000000-0010-0000-0E00-000009000000}" name="Total Expenditure" totalsRowFunction="sum" dataDxfId="1723" totalsRowDxfId="1722" dataCellStyle="Comma">
      <calculatedColumnFormula>Table3101718192021222324[[#This Row],[*Unit Price]]*Table3101718192021222324[[#This Row],[*Quantity]]</calculatedColumnFormula>
    </tableColumn>
    <tableColumn id="10" xr3:uid="{00000000-0010-0000-0E00-00000A000000}" name="Justification" dataDxfId="1721" totalsRowDxfId="1720"/>
  </tableColumns>
  <tableStyleInfo name="TableStyleLight11" showFirstColumn="0" showLastColumn="0" showRowStripes="1" showColumnStripes="1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0F000000}" name="Table310171819202122232425" displayName="Table310171819202122232425" ref="B104:K112" totalsRowCount="1" headerRowDxfId="1719" dataDxfId="1718" totalsRowDxfId="1717">
  <autoFilter ref="B104:K111" xr:uid="{00000000-0009-0000-0100-000018000000}"/>
  <tableColumns count="10">
    <tableColumn id="1" xr3:uid="{00000000-0010-0000-0F00-000001000000}" name="#" totalsRowLabel="Total" dataDxfId="1716" totalsRowDxfId="1715"/>
    <tableColumn id="2" xr3:uid="{00000000-0010-0000-0F00-000002000000}" name="*Program Code" dataDxfId="1714" totalsRowDxfId="1713"/>
    <tableColumn id="3" xr3:uid="{00000000-0010-0000-0F00-000003000000}" name="Program Description" dataDxfId="1712" totalsRowDxfId="1711">
      <calculatedColumnFormula>_xlfn.IFNA(INDEX(Program!A:A,MATCH(Table310171819202122232425[[#This Row],[*Program Code]],Program!B:B,0)),"")</calculatedColumnFormula>
    </tableColumn>
    <tableColumn id="4" xr3:uid="{00000000-0010-0000-0F00-000004000000}" name="*Item Description" dataDxfId="1710" totalsRowDxfId="1709"/>
    <tableColumn id="5" xr3:uid="{00000000-0010-0000-0F00-000005000000}" name="Existing Count" dataDxfId="1708" totalsRowDxfId="1707" dataCellStyle="Comma"/>
    <tableColumn id="6" xr3:uid="{00000000-0010-0000-0F00-000006000000}" name="*Quantity" dataDxfId="1706" totalsRowDxfId="1705"/>
    <tableColumn id="7" xr3:uid="{00000000-0010-0000-0F00-000007000000}" name="Unit of Measure" dataDxfId="1704" totalsRowDxfId="1703" dataCellStyle="Comma"/>
    <tableColumn id="8" xr3:uid="{00000000-0010-0000-0F00-000008000000}" name="*Unit Price" dataDxfId="1702" totalsRowDxfId="1701" dataCellStyle="Comma"/>
    <tableColumn id="9" xr3:uid="{00000000-0010-0000-0F00-000009000000}" name="Total Expenditure" totalsRowFunction="sum" dataDxfId="1700" totalsRowDxfId="1699" dataCellStyle="Comma">
      <calculatedColumnFormula>Table310171819202122232425[[#This Row],[*Unit Price]]*Table310171819202122232425[[#This Row],[*Quantity]]</calculatedColumnFormula>
    </tableColumn>
    <tableColumn id="10" xr3:uid="{00000000-0010-0000-0F00-00000A000000}" name="Justification" dataDxfId="1698" totalsRowDxfId="1697"/>
  </tableColumns>
  <tableStyleInfo name="TableStyleLight11" showFirstColumn="0" showLastColumn="0" showRowStripes="1" showColumnStripes="1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0000000}" name="Table31017181920212223242526" displayName="Table31017181920212223242526" ref="B115:K123" totalsRowCount="1" headerRowDxfId="1696" dataDxfId="1695" totalsRowDxfId="1694">
  <autoFilter ref="B115:K122" xr:uid="{00000000-0009-0000-0100-000019000000}"/>
  <tableColumns count="10">
    <tableColumn id="1" xr3:uid="{00000000-0010-0000-1000-000001000000}" name="#" totalsRowLabel="Total" dataDxfId="1693" totalsRowDxfId="1692"/>
    <tableColumn id="2" xr3:uid="{00000000-0010-0000-1000-000002000000}" name="*Program Code" dataDxfId="1691" totalsRowDxfId="1690"/>
    <tableColumn id="3" xr3:uid="{00000000-0010-0000-1000-000003000000}" name="Program Description" dataDxfId="1689" totalsRowDxfId="1688">
      <calculatedColumnFormula>_xlfn.IFNA(INDEX(Program!A:A,MATCH(Table31017181920212223242526[[#This Row],[*Program Code]],Program!B:B,0)),"")</calculatedColumnFormula>
    </tableColumn>
    <tableColumn id="4" xr3:uid="{00000000-0010-0000-1000-000004000000}" name="*Item Description" dataDxfId="1687" totalsRowDxfId="1686"/>
    <tableColumn id="5" xr3:uid="{00000000-0010-0000-1000-000005000000}" name="Existing Count" dataDxfId="1685" totalsRowDxfId="1684" dataCellStyle="Comma"/>
    <tableColumn id="6" xr3:uid="{00000000-0010-0000-1000-000006000000}" name="*Quantity" dataDxfId="1683" totalsRowDxfId="1682"/>
    <tableColumn id="7" xr3:uid="{00000000-0010-0000-1000-000007000000}" name="Unit of Measure" dataDxfId="1681" totalsRowDxfId="1680" dataCellStyle="Comma"/>
    <tableColumn id="8" xr3:uid="{00000000-0010-0000-1000-000008000000}" name="*Unit Price" dataDxfId="1679" totalsRowDxfId="1678" dataCellStyle="Comma"/>
    <tableColumn id="9" xr3:uid="{00000000-0010-0000-1000-000009000000}" name="Total Expenditure" totalsRowFunction="sum" dataDxfId="1677" totalsRowDxfId="1676" dataCellStyle="Comma">
      <calculatedColumnFormula>Table31017181920212223242526[[#This Row],[*Unit Price]]*Table31017181920212223242526[[#This Row],[*Quantity]]</calculatedColumnFormula>
    </tableColumn>
    <tableColumn id="10" xr3:uid="{00000000-0010-0000-1000-00000A000000}" name="Justification" dataDxfId="1675" totalsRowDxfId="1674"/>
  </tableColumns>
  <tableStyleInfo name="TableStyleLight11" showFirstColumn="0" showLastColumn="0" showRowStripes="1" showColumnStripes="1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1000000}" name="Table3101718192021222324252627" displayName="Table3101718192021222324252627" ref="B126:K134" totalsRowCount="1" headerRowDxfId="1673" dataDxfId="1672" totalsRowDxfId="1671">
  <autoFilter ref="B126:K133" xr:uid="{00000000-0009-0000-0100-00001A000000}"/>
  <tableColumns count="10">
    <tableColumn id="1" xr3:uid="{00000000-0010-0000-1100-000001000000}" name="#" totalsRowLabel="Total" dataDxfId="1670" totalsRowDxfId="1669"/>
    <tableColumn id="2" xr3:uid="{00000000-0010-0000-1100-000002000000}" name="*Program Code" dataDxfId="1668" totalsRowDxfId="1667"/>
    <tableColumn id="3" xr3:uid="{00000000-0010-0000-1100-000003000000}" name="Program Description" dataDxfId="1666" totalsRowDxfId="1665">
      <calculatedColumnFormula>_xlfn.IFNA(INDEX(Program!A:A,MATCH(Table3101718192021222324252627[[#This Row],[*Program Code]],Program!B:B,0)),"")</calculatedColumnFormula>
    </tableColumn>
    <tableColumn id="4" xr3:uid="{00000000-0010-0000-1100-000004000000}" name="*Item Description" dataDxfId="1664" totalsRowDxfId="1663"/>
    <tableColumn id="5" xr3:uid="{00000000-0010-0000-1100-000005000000}" name="Existing Count" dataDxfId="1662" totalsRowDxfId="1661" dataCellStyle="Comma"/>
    <tableColumn id="6" xr3:uid="{00000000-0010-0000-1100-000006000000}" name="*Quantity" dataDxfId="1660" totalsRowDxfId="1659"/>
    <tableColumn id="7" xr3:uid="{00000000-0010-0000-1100-000007000000}" name="Unit of Measure" dataDxfId="1658" totalsRowDxfId="1657" dataCellStyle="Comma"/>
    <tableColumn id="8" xr3:uid="{00000000-0010-0000-1100-000008000000}" name="*Unit Price" dataDxfId="1656" totalsRowDxfId="1655" dataCellStyle="Comma"/>
    <tableColumn id="9" xr3:uid="{00000000-0010-0000-1100-000009000000}" name="Total Expenditure" totalsRowFunction="sum" dataDxfId="1654" totalsRowDxfId="1653" dataCellStyle="Comma">
      <calculatedColumnFormula>Table3101718192021222324252627[[#This Row],[*Unit Price]]*Table3101718192021222324252627[[#This Row],[*Quantity]]</calculatedColumnFormula>
    </tableColumn>
    <tableColumn id="10" xr3:uid="{00000000-0010-0000-1100-00000A000000}" name="Justification" dataDxfId="1652" totalsRowDxfId="1651"/>
  </tableColumns>
  <tableStyleInfo name="TableStyleLight11" showFirstColumn="0" showLastColumn="0" showRowStripes="1" showColumnStripes="1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2000000}" name="Table31028" displayName="Table31028" ref="B5:K13" totalsRowCount="1" headerRowDxfId="1650" dataDxfId="1649" totalsRowDxfId="1648">
  <autoFilter ref="B5:K12" xr:uid="{00000000-0009-0000-0100-00001B000000}"/>
  <tableColumns count="10">
    <tableColumn id="1" xr3:uid="{00000000-0010-0000-1200-000001000000}" name="#" totalsRowLabel="Total" dataDxfId="1647" totalsRowDxfId="1646"/>
    <tableColumn id="2" xr3:uid="{00000000-0010-0000-1200-000002000000}" name="*Program Code" dataDxfId="1645" totalsRowDxfId="1644"/>
    <tableColumn id="3" xr3:uid="{00000000-0010-0000-1200-000003000000}" name="Program Description" dataDxfId="1643" totalsRowDxfId="1642">
      <calculatedColumnFormula>_xlfn.IFNA(INDEX(Program!A:A,MATCH(Table31028[[#This Row],[*Program Code]],Program!B:B,0)),"")</calculatedColumnFormula>
    </tableColumn>
    <tableColumn id="4" xr3:uid="{00000000-0010-0000-1200-000004000000}" name="*Description" dataDxfId="1641" totalsRowDxfId="1640"/>
    <tableColumn id="5" xr3:uid="{00000000-0010-0000-1200-000005000000}" name="Location" dataDxfId="1639" totalsRowDxfId="1638" dataCellStyle="Comma"/>
    <tableColumn id="6" xr3:uid="{00000000-0010-0000-1200-000006000000}" name="*Service Provider" dataDxfId="1637" totalsRowDxfId="1636"/>
    <tableColumn id="7" xr3:uid="{00000000-0010-0000-1200-000007000000}" name="Type of Service" dataDxfId="1635" totalsRowDxfId="1634" dataCellStyle="Comma"/>
    <tableColumn id="8" xr3:uid="{00000000-0010-0000-1200-000008000000}" name="*Monthy Charge" dataDxfId="1633" totalsRowDxfId="1632" dataCellStyle="Comma"/>
    <tableColumn id="9" xr3:uid="{00000000-0010-0000-1200-000009000000}" name="Total Expenditure" totalsRowFunction="sum" dataDxfId="1631" totalsRowDxfId="1630" dataCellStyle="Comma">
      <calculatedColumnFormula>Table31028[[#This Row],[*Monthy Charge]]*12</calculatedColumnFormula>
    </tableColumn>
    <tableColumn id="10" xr3:uid="{00000000-0010-0000-1200-00000A000000}" name="Justification" dataDxfId="1629" totalsRowDxfId="1628"/>
  </tableColumns>
  <tableStyleInfo name="TableStyleLight11" showFirstColumn="0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Code_221002" displayName="Code_221002" ref="B16:K24" totalsRowCount="1" headerRowDxfId="2041" dataDxfId="2040" totalsRowDxfId="2039">
  <autoFilter ref="B16:K23" xr:uid="{00000000-0009-0000-0100-000004000000}"/>
  <tableColumns count="10">
    <tableColumn id="1" xr3:uid="{00000000-0010-0000-0100-000001000000}" name="#" totalsRowLabel="Total" dataDxfId="2038" totalsRowDxfId="2037"/>
    <tableColumn id="2" xr3:uid="{00000000-0010-0000-0100-000002000000}" name="*Program Code" dataDxfId="2036" totalsRowDxfId="2035"/>
    <tableColumn id="3" xr3:uid="{00000000-0010-0000-0100-000003000000}" name="Program Description" dataDxfId="2034" totalsRowDxfId="2033">
      <calculatedColumnFormula>_xlfn.IFNA(INDEX(Program!A:A,MATCH(Code_221002[[#This Row],[*Program Code]],Program!B:B,0)),"")</calculatedColumnFormula>
    </tableColumn>
    <tableColumn id="4" xr3:uid="{00000000-0010-0000-0100-000004000000}" name="*Purpose Of Travel" dataDxfId="2032" totalsRowDxfId="2031"/>
    <tableColumn id="5" xr3:uid="{00000000-0010-0000-0100-000005000000}" name="*No. Of Particpants" dataDxfId="2030" totalsRowDxfId="2029" dataCellStyle="Comma"/>
    <tableColumn id="6" xr3:uid="{00000000-0010-0000-0100-000006000000}" name="*Destination" dataDxfId="2028" totalsRowDxfId="2027"/>
    <tableColumn id="7" xr3:uid="{00000000-0010-0000-0100-000007000000}" name="*Expenditure Per Trip" dataDxfId="2026" totalsRowDxfId="2025" dataCellStyle="Comma"/>
    <tableColumn id="8" xr3:uid="{00000000-0010-0000-0100-000008000000}" name="*No. Of Trips" dataDxfId="2024" totalsRowDxfId="2023" dataCellStyle="Comma"/>
    <tableColumn id="9" xr3:uid="{00000000-0010-0000-0100-000009000000}" name="Total Expenditure" totalsRowFunction="sum" dataDxfId="2022" totalsRowDxfId="2021" dataCellStyle="Comma">
      <calculatedColumnFormula>Code_221002[[#This Row],[*No. Of Trips]]*Code_221002[[#This Row],[*Expenditure Per Trip]]</calculatedColumnFormula>
    </tableColumn>
    <tableColumn id="10" xr3:uid="{00000000-0010-0000-0100-00000A000000}" name="Justification" dataDxfId="2020" totalsRowDxfId="2019"/>
  </tableColumns>
  <tableStyleInfo name="TableStyleLight11" showFirstColumn="0" showLastColumn="0" showRowStripes="1" showColumnStripes="1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0000000-000C-0000-FFFF-FFFF13000000}" name="Table3102840" displayName="Table3102840" ref="B16:K24" totalsRowCount="1" headerRowDxfId="1627" dataDxfId="1626" totalsRowDxfId="1625">
  <autoFilter ref="B16:K23" xr:uid="{00000000-0009-0000-0100-000027000000}"/>
  <tableColumns count="10">
    <tableColumn id="1" xr3:uid="{00000000-0010-0000-1300-000001000000}" name="#" totalsRowLabel="Total" dataDxfId="1624" totalsRowDxfId="1623"/>
    <tableColumn id="2" xr3:uid="{00000000-0010-0000-1300-000002000000}" name="*Program Code" dataDxfId="1622" totalsRowDxfId="1621"/>
    <tableColumn id="3" xr3:uid="{00000000-0010-0000-1300-000003000000}" name="Program Description" dataDxfId="1620" totalsRowDxfId="1619">
      <calculatedColumnFormula>_xlfn.IFNA(INDEX(Program!A:A,MATCH(Table3102840[[#This Row],[*Program Code]],Program!B:B,0)),"")</calculatedColumnFormula>
    </tableColumn>
    <tableColumn id="4" xr3:uid="{00000000-0010-0000-1300-000004000000}" name="*Description" dataDxfId="1618" totalsRowDxfId="1617"/>
    <tableColumn id="5" xr3:uid="{00000000-0010-0000-1300-000005000000}" name="Location" dataDxfId="1616" totalsRowDxfId="1615" dataCellStyle="Comma"/>
    <tableColumn id="6" xr3:uid="{00000000-0010-0000-1300-000006000000}" name="*Service Provider" dataDxfId="1614" totalsRowDxfId="1613"/>
    <tableColumn id="7" xr3:uid="{00000000-0010-0000-1300-000007000000}" name="Type of Service" dataDxfId="1612" totalsRowDxfId="1611" dataCellStyle="Comma"/>
    <tableColumn id="8" xr3:uid="{00000000-0010-0000-1300-000008000000}" name="*Monthy Charge" dataDxfId="1610" totalsRowDxfId="1609" dataCellStyle="Comma"/>
    <tableColumn id="9" xr3:uid="{00000000-0010-0000-1300-000009000000}" name="Total Expenditure" totalsRowFunction="sum" dataDxfId="1608" totalsRowDxfId="1607" dataCellStyle="Comma">
      <calculatedColumnFormula>Table3102840[[#This Row],[*Monthy Charge]]*12</calculatedColumnFormula>
    </tableColumn>
    <tableColumn id="10" xr3:uid="{00000000-0010-0000-1300-00000A000000}" name="Justification" dataDxfId="1606" totalsRowDxfId="1605"/>
  </tableColumns>
  <tableStyleInfo name="TableStyleLight11" showFirstColumn="0" showLastColumn="0" showRowStripes="1" showColumnStripes="1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0000000-000C-0000-FFFF-FFFF14000000}" name="Table310284041" displayName="Table310284041" ref="B27:K35" totalsRowCount="1" headerRowDxfId="1604" dataDxfId="1603" totalsRowDxfId="1602">
  <autoFilter ref="B27:K34" xr:uid="{00000000-0009-0000-0100-000028000000}"/>
  <tableColumns count="10">
    <tableColumn id="1" xr3:uid="{00000000-0010-0000-1400-000001000000}" name="#" totalsRowLabel="Total" dataDxfId="1601" totalsRowDxfId="1600"/>
    <tableColumn id="2" xr3:uid="{00000000-0010-0000-1400-000002000000}" name="*Program Code" dataDxfId="1599" totalsRowDxfId="1598"/>
    <tableColumn id="3" xr3:uid="{00000000-0010-0000-1400-000003000000}" name="Program Description" dataDxfId="1597" totalsRowDxfId="1596">
      <calculatedColumnFormula>_xlfn.IFNA(INDEX(Program!A:A,MATCH(Table310284041[[#This Row],[*Program Code]],Program!B:B,0)),"")</calculatedColumnFormula>
    </tableColumn>
    <tableColumn id="4" xr3:uid="{00000000-0010-0000-1400-000004000000}" name="*Description" dataDxfId="1595" totalsRowDxfId="1594"/>
    <tableColumn id="5" xr3:uid="{00000000-0010-0000-1400-000005000000}" name="Location" dataDxfId="1593" totalsRowDxfId="1592" dataCellStyle="Comma"/>
    <tableColumn id="6" xr3:uid="{00000000-0010-0000-1400-000006000000}" name="*Service Provider" dataDxfId="1591" totalsRowDxfId="1590"/>
    <tableColumn id="7" xr3:uid="{00000000-0010-0000-1400-000007000000}" name="Type of Service" dataDxfId="1589" totalsRowDxfId="1588" dataCellStyle="Comma"/>
    <tableColumn id="8" xr3:uid="{00000000-0010-0000-1400-000008000000}" name="*Monthy Charge" dataDxfId="1587" totalsRowDxfId="1586" dataCellStyle="Comma"/>
    <tableColumn id="9" xr3:uid="{00000000-0010-0000-1400-000009000000}" name="Total Expenditure" totalsRowFunction="sum" dataDxfId="1585" totalsRowDxfId="1584" dataCellStyle="Comma">
      <calculatedColumnFormula>Table310284041[[#This Row],[*Monthy Charge]]*12</calculatedColumnFormula>
    </tableColumn>
    <tableColumn id="10" xr3:uid="{00000000-0010-0000-1400-00000A000000}" name="Justification" dataDxfId="1583" totalsRowDxfId="1582"/>
  </tableColumns>
  <tableStyleInfo name="TableStyleLight11" showFirstColumn="0" showLastColumn="0" showRowStripes="1" showColumnStripes="1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0000000-000C-0000-FFFF-FFFF15000000}" name="Table31028404142" displayName="Table31028404142" ref="B38:K46" totalsRowCount="1" headerRowDxfId="1581" dataDxfId="1580" totalsRowDxfId="1579">
  <autoFilter ref="B38:K45" xr:uid="{00000000-0009-0000-0100-000029000000}"/>
  <tableColumns count="10">
    <tableColumn id="1" xr3:uid="{00000000-0010-0000-1500-000001000000}" name="#" totalsRowLabel="Total" dataDxfId="1578" totalsRowDxfId="1577"/>
    <tableColumn id="2" xr3:uid="{00000000-0010-0000-1500-000002000000}" name="*Program Code" dataDxfId="1576" totalsRowDxfId="1575"/>
    <tableColumn id="3" xr3:uid="{00000000-0010-0000-1500-000003000000}" name="Program Description" dataDxfId="1574" totalsRowDxfId="1573">
      <calculatedColumnFormula>_xlfn.IFNA(INDEX(Program!A:A,MATCH(Table31028404142[[#This Row],[*Program Code]],Program!B:B,0)),"")</calculatedColumnFormula>
    </tableColumn>
    <tableColumn id="4" xr3:uid="{00000000-0010-0000-1500-000004000000}" name="*Description" dataDxfId="1572" totalsRowDxfId="1571"/>
    <tableColumn id="5" xr3:uid="{00000000-0010-0000-1500-000005000000}" name="Location" dataDxfId="1570" totalsRowDxfId="1569" dataCellStyle="Comma"/>
    <tableColumn id="6" xr3:uid="{00000000-0010-0000-1500-000006000000}" name="*Service Provider" dataDxfId="1568" totalsRowDxfId="1567"/>
    <tableColumn id="7" xr3:uid="{00000000-0010-0000-1500-000007000000}" name="Type of Service" dataDxfId="1566" totalsRowDxfId="1565" dataCellStyle="Comma"/>
    <tableColumn id="8" xr3:uid="{00000000-0010-0000-1500-000008000000}" name="*Monthy Charge" dataDxfId="1564" totalsRowDxfId="1563" dataCellStyle="Comma"/>
    <tableColumn id="9" xr3:uid="{00000000-0010-0000-1500-000009000000}" name="Total Expenditure" totalsRowFunction="sum" dataDxfId="1562" totalsRowDxfId="1561" dataCellStyle="Comma">
      <calculatedColumnFormula>Table31028404142[[#This Row],[*Monthy Charge]]*12</calculatedColumnFormula>
    </tableColumn>
    <tableColumn id="10" xr3:uid="{00000000-0010-0000-1500-00000A000000}" name="Justification" dataDxfId="1560" totalsRowDxfId="1559"/>
  </tableColumns>
  <tableStyleInfo name="TableStyleLight11" showFirstColumn="0" showLastColumn="0" showRowStripes="1" showColumnStripes="1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00000000-000C-0000-FFFF-FFFF16000000}" name="Table3102840414243" displayName="Table3102840414243" ref="B49:K57" totalsRowCount="1" headerRowDxfId="1558" dataDxfId="1557" totalsRowDxfId="1556">
  <autoFilter ref="B49:K56" xr:uid="{00000000-0009-0000-0100-00002A000000}"/>
  <tableColumns count="10">
    <tableColumn id="1" xr3:uid="{00000000-0010-0000-1600-000001000000}" name="#" totalsRowLabel="Total" dataDxfId="1555" totalsRowDxfId="1554"/>
    <tableColumn id="2" xr3:uid="{00000000-0010-0000-1600-000002000000}" name="*Program Code" dataDxfId="1553" totalsRowDxfId="1552"/>
    <tableColumn id="3" xr3:uid="{00000000-0010-0000-1600-000003000000}" name="Program Description" dataDxfId="1551" totalsRowDxfId="1550">
      <calculatedColumnFormula>_xlfn.IFNA(INDEX(Program!A:A,MATCH(Table3102840414243[[#This Row],[*Program Code]],Program!B:B,0)),"")</calculatedColumnFormula>
    </tableColumn>
    <tableColumn id="4" xr3:uid="{00000000-0010-0000-1600-000004000000}" name="*Reason For The Lease" dataDxfId="1549" totalsRowDxfId="1548"/>
    <tableColumn id="5" xr3:uid="{00000000-0010-0000-1600-000005000000}" name="*Location" dataDxfId="1547" totalsRowDxfId="1546" dataCellStyle="Comma"/>
    <tableColumn id="6" xr3:uid="{00000000-0010-0000-1600-000006000000}" name="*Quantity" dataDxfId="1545" totalsRowDxfId="1544"/>
    <tableColumn id="7" xr3:uid="{00000000-0010-0000-1600-000007000000}" name="*Unit of Measure" dataDxfId="1543" totalsRowDxfId="1542" dataCellStyle="Comma"/>
    <tableColumn id="8" xr3:uid="{00000000-0010-0000-1600-000008000000}" name="*Unit Price" dataDxfId="1541" totalsRowDxfId="1540" dataCellStyle="Comma"/>
    <tableColumn id="9" xr3:uid="{00000000-0010-0000-1600-000009000000}" name="Total Expenditure" totalsRowFunction="sum" dataDxfId="1539" totalsRowDxfId="1538" dataCellStyle="Comma">
      <calculatedColumnFormula>Table3102840414243[[#This Row],[*Unit Price]]*Table3102840414243[[#This Row],[*Quantity]]</calculatedColumnFormula>
    </tableColumn>
    <tableColumn id="10" xr3:uid="{00000000-0010-0000-1600-00000A000000}" name="Justification" dataDxfId="1537" totalsRowDxfId="1536"/>
  </tableColumns>
  <tableStyleInfo name="TableStyleLight11" showFirstColumn="0" showLastColumn="0" showRowStripes="1" showColumnStripes="1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00000000-000C-0000-FFFF-FFFF17000000}" name="Table310284041424344" displayName="Table310284041424344" ref="B60:K68" totalsRowCount="1" headerRowDxfId="1535" dataDxfId="1534" totalsRowDxfId="1533">
  <autoFilter ref="B60:K67" xr:uid="{00000000-0009-0000-0100-00002B000000}"/>
  <tableColumns count="10">
    <tableColumn id="1" xr3:uid="{00000000-0010-0000-1700-000001000000}" name="#" totalsRowLabel="Total" dataDxfId="1532" totalsRowDxfId="1531"/>
    <tableColumn id="2" xr3:uid="{00000000-0010-0000-1700-000002000000}" name="*Program Code" dataDxfId="1530" totalsRowDxfId="1529"/>
    <tableColumn id="3" xr3:uid="{00000000-0010-0000-1700-000003000000}" name="Program Description" dataDxfId="1528" totalsRowDxfId="1527">
      <calculatedColumnFormula>_xlfn.IFNA(INDEX(Program!A:A,MATCH(Table310284041424344[[#This Row],[*Program Code]],Program!B:B,0)),"")</calculatedColumnFormula>
    </tableColumn>
    <tableColumn id="4" xr3:uid="{00000000-0010-0000-1700-000004000000}" name="*Description" dataDxfId="1526" totalsRowDxfId="1525"/>
    <tableColumn id="5" xr3:uid="{00000000-0010-0000-1700-000005000000}" name="Purpose" dataDxfId="1524" totalsRowDxfId="1523" dataCellStyle="Comma"/>
    <tableColumn id="6" xr3:uid="{00000000-0010-0000-1700-000006000000}" name="*Quantity" dataDxfId="1522" totalsRowDxfId="1521"/>
    <tableColumn id="7" xr3:uid="{00000000-0010-0000-1700-000007000000}" name="Unit of Measure" dataDxfId="1520" totalsRowDxfId="1519" dataCellStyle="Comma"/>
    <tableColumn id="8" xr3:uid="{00000000-0010-0000-1700-000008000000}" name="*Unit Price" dataDxfId="1518" totalsRowDxfId="1517" dataCellStyle="Comma"/>
    <tableColumn id="9" xr3:uid="{00000000-0010-0000-1700-000009000000}" name="Total Expenditure" totalsRowFunction="sum" dataDxfId="1516" totalsRowDxfId="1515" dataCellStyle="Comma">
      <calculatedColumnFormula>Table310284041424344[[#This Row],[*Unit Price]]*Table310284041424344[[#This Row],[*Quantity]]</calculatedColumnFormula>
    </tableColumn>
    <tableColumn id="10" xr3:uid="{00000000-0010-0000-1700-00000A000000}" name="Justification" dataDxfId="1514" totalsRowDxfId="1513"/>
  </tableColumns>
  <tableStyleInfo name="TableStyleLight11" showFirstColumn="0" showLastColumn="0" showRowStripes="1" showColumnStripes="1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00000000-000C-0000-FFFF-FFFF18000000}" name="Table31028404142434445" displayName="Table31028404142434445" ref="B71:K79" totalsRowCount="1" headerRowDxfId="1512" dataDxfId="1511" totalsRowDxfId="1510">
  <autoFilter ref="B71:K78" xr:uid="{00000000-0009-0000-0100-00002C000000}"/>
  <tableColumns count="10">
    <tableColumn id="1" xr3:uid="{00000000-0010-0000-1800-000001000000}" name="#" totalsRowLabel="Total" dataDxfId="1509" totalsRowDxfId="1508"/>
    <tableColumn id="2" xr3:uid="{00000000-0010-0000-1800-000002000000}" name="*Program Code" dataDxfId="1507" totalsRowDxfId="1506"/>
    <tableColumn id="3" xr3:uid="{00000000-0010-0000-1800-000003000000}" name="Program Description" dataDxfId="1505" totalsRowDxfId="1504">
      <calculatedColumnFormula>_xlfn.IFNA(INDEX(Program!A:A,MATCH(Table31028404142434445[[#This Row],[*Program Code]],Program!B:B,0)),"")</calculatedColumnFormula>
    </tableColumn>
    <tableColumn id="4" xr3:uid="{00000000-0010-0000-1800-000004000000}" name="*Description" dataDxfId="1503" totalsRowDxfId="1502"/>
    <tableColumn id="5" xr3:uid="{00000000-0010-0000-1800-000005000000}" name="*Location" dataDxfId="1501" totalsRowDxfId="1500" dataCellStyle="Comma"/>
    <tableColumn id="6" xr3:uid="{00000000-0010-0000-1800-000006000000}" name="*Quantity" dataDxfId="1499" totalsRowDxfId="1498"/>
    <tableColumn id="7" xr3:uid="{00000000-0010-0000-1800-000007000000}" name="Unit of Measure" dataDxfId="1497" totalsRowDxfId="1496" dataCellStyle="Comma"/>
    <tableColumn id="8" xr3:uid="{00000000-0010-0000-1800-000008000000}" name="*Unit Price" dataDxfId="1495" totalsRowDxfId="1494" dataCellStyle="Comma"/>
    <tableColumn id="9" xr3:uid="{00000000-0010-0000-1800-000009000000}" name="Total Expenditure" totalsRowFunction="sum" dataDxfId="1493" totalsRowDxfId="1492" dataCellStyle="Comma">
      <calculatedColumnFormula>Table31028404142434445[[#This Row],[*Unit Price]]*Table31028404142434445[[#This Row],[*Quantity]]</calculatedColumnFormula>
    </tableColumn>
    <tableColumn id="10" xr3:uid="{00000000-0010-0000-1800-00000A000000}" name="Justification" dataDxfId="1491" totalsRowDxfId="1490"/>
  </tableColumns>
  <tableStyleInfo name="TableStyleLight11" showFirstColumn="0" showLastColumn="0" showRowStripes="1" showColumnStripes="1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00000000-000C-0000-FFFF-FFFF19000000}" name="Table3102840414243444546" displayName="Table3102840414243444546" ref="B82:K90" totalsRowCount="1" headerRowDxfId="1489" dataDxfId="1488" totalsRowDxfId="1487">
  <autoFilter ref="B82:K89" xr:uid="{00000000-0009-0000-0100-00002D000000}"/>
  <tableColumns count="10">
    <tableColumn id="1" xr3:uid="{00000000-0010-0000-1900-000001000000}" name="#" totalsRowLabel="Total" dataDxfId="1486" totalsRowDxfId="1485"/>
    <tableColumn id="2" xr3:uid="{00000000-0010-0000-1900-000002000000}" name="*Program Code" dataDxfId="1484" totalsRowDxfId="1483"/>
    <tableColumn id="3" xr3:uid="{00000000-0010-0000-1900-000003000000}" name="Program Description" dataDxfId="1482" totalsRowDxfId="1481">
      <calculatedColumnFormula>_xlfn.IFNA(INDEX(Program!A:A,MATCH(Table3102840414243444546[[#This Row],[*Program Code]],Program!B:B,0)),"")</calculatedColumnFormula>
    </tableColumn>
    <tableColumn id="4" xr3:uid="{00000000-0010-0000-1900-000004000000}" name="*Description" dataDxfId="1480" totalsRowDxfId="1479"/>
    <tableColumn id="5" xr3:uid="{00000000-0010-0000-1900-000005000000}" name="*Location" dataDxfId="1478" totalsRowDxfId="1477" dataCellStyle="Comma"/>
    <tableColumn id="6" xr3:uid="{00000000-0010-0000-1900-000006000000}" name="*Quantity" dataDxfId="1476" totalsRowDxfId="1475"/>
    <tableColumn id="7" xr3:uid="{00000000-0010-0000-1900-000007000000}" name="Unit of Measure" dataDxfId="1474" totalsRowDxfId="1473" dataCellStyle="Comma"/>
    <tableColumn id="8" xr3:uid="{00000000-0010-0000-1900-000008000000}" name="*Unit Price" dataDxfId="1472" totalsRowDxfId="1471" dataCellStyle="Comma"/>
    <tableColumn id="9" xr3:uid="{00000000-0010-0000-1900-000009000000}" name="Total Expenditure" totalsRowFunction="sum" dataDxfId="1470" totalsRowDxfId="1469" dataCellStyle="Comma">
      <calculatedColumnFormula>Table3102840414243444546[[#This Row],[*Unit Price]]*Table3102840414243444546[[#This Row],[*Quantity]]</calculatedColumnFormula>
    </tableColumn>
    <tableColumn id="10" xr3:uid="{00000000-0010-0000-1900-00000A000000}" name="Justification" dataDxfId="1468" totalsRowDxfId="1467"/>
  </tableColumns>
  <tableStyleInfo name="TableStyleLight11" showFirstColumn="0" showLastColumn="0" showRowStripes="1" showColumnStripes="1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00000000-000C-0000-FFFF-FFFF1A000000}" name="Table310284041424344454647" displayName="Table310284041424344454647" ref="B93:K101" totalsRowCount="1" headerRowDxfId="1466" dataDxfId="1465" totalsRowDxfId="1464">
  <autoFilter ref="B93:K100" xr:uid="{00000000-0009-0000-0100-00002E000000}"/>
  <tableColumns count="10">
    <tableColumn id="1" xr3:uid="{00000000-0010-0000-1A00-000001000000}" name="#" totalsRowLabel="Total" dataDxfId="1463" totalsRowDxfId="1462"/>
    <tableColumn id="2" xr3:uid="{00000000-0010-0000-1A00-000002000000}" name="*Program Code" dataDxfId="1461" totalsRowDxfId="1460"/>
    <tableColumn id="3" xr3:uid="{00000000-0010-0000-1A00-000003000000}" name="Program Description" dataDxfId="1459" totalsRowDxfId="1458">
      <calculatedColumnFormula>_xlfn.IFNA(INDEX(Program!A:A,MATCH(Table310284041424344454647[[#This Row],[*Program Code]],Program!B:B,0)),"")</calculatedColumnFormula>
    </tableColumn>
    <tableColumn id="4" xr3:uid="{00000000-0010-0000-1A00-000004000000}" name="*Description" dataDxfId="1457" totalsRowDxfId="1456"/>
    <tableColumn id="5" xr3:uid="{00000000-0010-0000-1A00-000005000000}" name="Purpose" dataDxfId="1455" totalsRowDxfId="1454" dataCellStyle="Comma"/>
    <tableColumn id="6" xr3:uid="{00000000-0010-0000-1A00-000006000000}" name="*Quantity" dataDxfId="1453" totalsRowDxfId="1452"/>
    <tableColumn id="7" xr3:uid="{00000000-0010-0000-1A00-000007000000}" name="Unit of Measure" dataDxfId="1451" totalsRowDxfId="1450" dataCellStyle="Comma"/>
    <tableColumn id="8" xr3:uid="{00000000-0010-0000-1A00-000008000000}" name="*Unit Price" dataDxfId="1449" totalsRowDxfId="1448" dataCellStyle="Comma"/>
    <tableColumn id="9" xr3:uid="{00000000-0010-0000-1A00-000009000000}" name="Total Expenditure" totalsRowFunction="sum" dataDxfId="1447" totalsRowDxfId="1446" dataCellStyle="Comma">
      <calculatedColumnFormula>Table310284041424344454647[[#This Row],[*Unit Price]]*Table310284041424344454647[[#This Row],[*Quantity]]</calculatedColumnFormula>
    </tableColumn>
    <tableColumn id="10" xr3:uid="{00000000-0010-0000-1A00-00000A000000}" name="Justification" dataDxfId="1445" totalsRowDxfId="1444"/>
  </tableColumns>
  <tableStyleInfo name="TableStyleLight11" showFirstColumn="0" showLastColumn="0" showRowStripes="1" showColumnStripes="1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00000000-000C-0000-FFFF-FFFF1B000000}" name="Table31028404142434445464748" displayName="Table31028404142434445464748" ref="B104:K112" totalsRowCount="1" headerRowDxfId="1443" dataDxfId="1442" totalsRowDxfId="1441">
  <autoFilter ref="B104:K111" xr:uid="{00000000-0009-0000-0100-00002F000000}"/>
  <tableColumns count="10">
    <tableColumn id="1" xr3:uid="{00000000-0010-0000-1B00-000001000000}" name="#" totalsRowLabel="Total" dataDxfId="1440" totalsRowDxfId="1439"/>
    <tableColumn id="2" xr3:uid="{00000000-0010-0000-1B00-000002000000}" name="*Program Code" dataDxfId="1438" totalsRowDxfId="1437"/>
    <tableColumn id="3" xr3:uid="{00000000-0010-0000-1B00-000003000000}" name="Program Description" dataDxfId="1436" totalsRowDxfId="1435">
      <calculatedColumnFormula>_xlfn.IFNA(INDEX(Program!A:A,MATCH(Table31028404142434445464748[[#This Row],[*Program Code]],Program!B:B,0)),"")</calculatedColumnFormula>
    </tableColumn>
    <tableColumn id="4" xr3:uid="{00000000-0010-0000-1B00-000004000000}" name="*Description" dataDxfId="1434" totalsRowDxfId="1433"/>
    <tableColumn id="5" xr3:uid="{00000000-0010-0000-1B00-000005000000}" name="Purpose" dataDxfId="1432" totalsRowDxfId="1431" dataCellStyle="Comma"/>
    <tableColumn id="6" xr3:uid="{00000000-0010-0000-1B00-000006000000}" name="*Quantity" dataDxfId="1430" totalsRowDxfId="1429"/>
    <tableColumn id="7" xr3:uid="{00000000-0010-0000-1B00-000007000000}" name="Unit of Measure" dataDxfId="1428" totalsRowDxfId="1427" dataCellStyle="Comma"/>
    <tableColumn id="8" xr3:uid="{00000000-0010-0000-1B00-000008000000}" name="*Unit Price" dataDxfId="1426" totalsRowDxfId="1425" dataCellStyle="Comma"/>
    <tableColumn id="9" xr3:uid="{00000000-0010-0000-1B00-000009000000}" name="Total Expenditure" totalsRowFunction="sum" dataDxfId="1424" totalsRowDxfId="1423" dataCellStyle="Comma">
      <calculatedColumnFormula>Table31028404142434445464748[[#This Row],[*Unit Price]]*Table31028404142434445464748[[#This Row],[*Quantity]]</calculatedColumnFormula>
    </tableColumn>
    <tableColumn id="10" xr3:uid="{00000000-0010-0000-1B00-00000A000000}" name="Justification" dataDxfId="1422" totalsRowDxfId="1421"/>
  </tableColumns>
  <tableStyleInfo name="TableStyleLight11" showFirstColumn="0" showLastColumn="0" showRowStripes="1" showColumnStripes="1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00000000-000C-0000-FFFF-FFFF1C000000}" name="Table3102840414243444546474849" displayName="Table3102840414243444546474849" ref="B115:K123" totalsRowCount="1" headerRowDxfId="1420" dataDxfId="1419" totalsRowDxfId="1418">
  <autoFilter ref="B115:K122" xr:uid="{00000000-0009-0000-0100-000030000000}"/>
  <tableColumns count="10">
    <tableColumn id="1" xr3:uid="{00000000-0010-0000-1C00-000001000000}" name="#" totalsRowLabel="Total" dataDxfId="1417" totalsRowDxfId="1416"/>
    <tableColumn id="2" xr3:uid="{00000000-0010-0000-1C00-000002000000}" name="*Program Code" dataDxfId="1415" totalsRowDxfId="1414"/>
    <tableColumn id="3" xr3:uid="{00000000-0010-0000-1C00-000003000000}" name="Program Description" dataDxfId="1413" totalsRowDxfId="1412">
      <calculatedColumnFormula>_xlfn.IFNA(INDEX(Program!A:A,MATCH(Table3102840414243444546474849[[#This Row],[*Program Code]],Program!B:B,0)),"")</calculatedColumnFormula>
    </tableColumn>
    <tableColumn id="4" xr3:uid="{00000000-0010-0000-1C00-000004000000}" name="*Description" dataDxfId="1411" totalsRowDxfId="1410"/>
    <tableColumn id="5" xr3:uid="{00000000-0010-0000-1C00-000005000000}" name="Purpose" dataDxfId="1409" totalsRowDxfId="1408" dataCellStyle="Comma"/>
    <tableColumn id="6" xr3:uid="{00000000-0010-0000-1C00-000006000000}" name="*Quantity" dataDxfId="1407" totalsRowDxfId="1406"/>
    <tableColumn id="7" xr3:uid="{00000000-0010-0000-1C00-000007000000}" name="Unit of Measure" dataDxfId="1405" totalsRowDxfId="1404" dataCellStyle="Comma"/>
    <tableColumn id="8" xr3:uid="{00000000-0010-0000-1C00-000008000000}" name="*Unit Price" dataDxfId="1403" totalsRowDxfId="1402" dataCellStyle="Comma"/>
    <tableColumn id="9" xr3:uid="{00000000-0010-0000-1C00-000009000000}" name="Total Expenditure" totalsRowFunction="sum" dataDxfId="1401" totalsRowDxfId="1400" dataCellStyle="Comma">
      <calculatedColumnFormula>Table3102840414243444546474849[[#This Row],[*Unit Price]]*Table3102840414243444546474849[[#This Row],[*Quantity]]</calculatedColumnFormula>
    </tableColumn>
    <tableColumn id="10" xr3:uid="{00000000-0010-0000-1C00-00000A000000}" name="Justification" dataDxfId="1399" totalsRowDxfId="1398"/>
  </tableColumns>
  <tableStyleInfo name="TableStyleLight11" showFirstColumn="0" showLastColumn="0" showRowStripes="1" showColumnStripes="1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Code_221003" displayName="Code_221003" ref="B27:K35" totalsRowCount="1" headerRowDxfId="2018" dataDxfId="2017" totalsRowDxfId="2016">
  <autoFilter ref="B27:K34" xr:uid="{00000000-0009-0000-0100-000005000000}"/>
  <tableColumns count="10">
    <tableColumn id="1" xr3:uid="{00000000-0010-0000-0200-000001000000}" name="#" totalsRowLabel="Total" dataDxfId="2015" totalsRowDxfId="2014"/>
    <tableColumn id="2" xr3:uid="{00000000-0010-0000-0200-000002000000}" name="*Program Code" dataDxfId="2013" totalsRowDxfId="2012"/>
    <tableColumn id="3" xr3:uid="{00000000-0010-0000-0200-000003000000}" name="Program Description" dataDxfId="2011" totalsRowDxfId="2010">
      <calculatedColumnFormula>_xlfn.IFNA(INDEX(Program!A:A,MATCH(Code_221003[[#This Row],[*Program Code]],Program!B:B,0)),"")</calculatedColumnFormula>
    </tableColumn>
    <tableColumn id="4" xr3:uid="{00000000-0010-0000-0200-000004000000}" name="*Purpose Of Travel" dataDxfId="2009" totalsRowDxfId="2008"/>
    <tableColumn id="5" xr3:uid="{00000000-0010-0000-0200-000005000000}" name="*No. Of Particpants" dataDxfId="2007" totalsRowDxfId="2006" dataCellStyle="Comma"/>
    <tableColumn id="6" xr3:uid="{00000000-0010-0000-0200-000006000000}" name="*Destination" dataDxfId="2005" totalsRowDxfId="2004"/>
    <tableColumn id="7" xr3:uid="{00000000-0010-0000-0200-000007000000}" name="*Expenditure Per Trip" dataDxfId="2003" totalsRowDxfId="2002" dataCellStyle="Comma"/>
    <tableColumn id="8" xr3:uid="{00000000-0010-0000-0200-000008000000}" name="*No. Of Trips" dataDxfId="2001" totalsRowDxfId="2000" dataCellStyle="Comma"/>
    <tableColumn id="9" xr3:uid="{00000000-0010-0000-0200-000009000000}" name="Total Expenditure" totalsRowFunction="sum" dataDxfId="1999" totalsRowDxfId="1998" dataCellStyle="Comma">
      <calculatedColumnFormula>Code_221003[[#This Row],[*No. Of Trips]]*Code_221003[[#This Row],[*Expenditure Per Trip]]</calculatedColumnFormula>
    </tableColumn>
    <tableColumn id="10" xr3:uid="{00000000-0010-0000-0200-00000A000000}" name="Justification" dataDxfId="1997" totalsRowDxfId="1996"/>
  </tableColumns>
  <tableStyleInfo name="TableStyleLight11" showFirstColumn="0" showLastColumn="0" showRowStripes="1" showColumnStripes="1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00000000-000C-0000-FFFF-FFFF1D000000}" name="Table310284041424344454647484950" displayName="Table310284041424344454647484950" ref="B126:K134" totalsRowCount="1" headerRowDxfId="1397" dataDxfId="1396" totalsRowDxfId="1395">
  <autoFilter ref="B126:K133" xr:uid="{00000000-0009-0000-0100-000031000000}"/>
  <tableColumns count="10">
    <tableColumn id="1" xr3:uid="{00000000-0010-0000-1D00-000001000000}" name="#" totalsRowLabel="Total" dataDxfId="1394" totalsRowDxfId="1393"/>
    <tableColumn id="2" xr3:uid="{00000000-0010-0000-1D00-000002000000}" name="*Program Code" dataDxfId="1392" totalsRowDxfId="1391"/>
    <tableColumn id="3" xr3:uid="{00000000-0010-0000-1D00-000003000000}" name="Program Description" dataDxfId="1390" totalsRowDxfId="1389">
      <calculatedColumnFormula>_xlfn.IFNA(INDEX(Program!A:A,MATCH(Table310284041424344454647484950[[#This Row],[*Program Code]],Program!B:B,0)),"")</calculatedColumnFormula>
    </tableColumn>
    <tableColumn id="4" xr3:uid="{00000000-0010-0000-1D00-000004000000}" name="*Description" dataDxfId="1388" totalsRowDxfId="1387"/>
    <tableColumn id="5" xr3:uid="{00000000-0010-0000-1D00-000005000000}" name="Purpose" dataDxfId="1386" totalsRowDxfId="1385" dataCellStyle="Comma"/>
    <tableColumn id="6" xr3:uid="{00000000-0010-0000-1D00-000006000000}" name="*Quantity" dataDxfId="1384" totalsRowDxfId="1383"/>
    <tableColumn id="7" xr3:uid="{00000000-0010-0000-1D00-000007000000}" name="Unit of Measure" dataDxfId="1382" totalsRowDxfId="1381" dataCellStyle="Comma"/>
    <tableColumn id="8" xr3:uid="{00000000-0010-0000-1D00-000008000000}" name="*Unit Price" dataDxfId="1380" totalsRowDxfId="1379" dataCellStyle="Comma"/>
    <tableColumn id="9" xr3:uid="{00000000-0010-0000-1D00-000009000000}" name="Total Expenditure" totalsRowFunction="sum" dataDxfId="1378" totalsRowDxfId="1377" dataCellStyle="Comma">
      <calculatedColumnFormula>Table310284041424344454647484950[[#This Row],[*Unit Price]]*Table310284041424344454647484950[[#This Row],[*Quantity]]</calculatedColumnFormula>
    </tableColumn>
    <tableColumn id="10" xr3:uid="{00000000-0010-0000-1D00-00000A000000}" name="Justification" dataDxfId="1376" totalsRowDxfId="1375"/>
  </tableColumns>
  <tableStyleInfo name="TableStyleLight11" showFirstColumn="0" showLastColumn="0" showRowStripes="1" showColumnStripes="1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00000000-000C-0000-FFFF-FFFF1E000000}" name="Table31028404142434445464748495051" displayName="Table31028404142434445464748495051" ref="B137:K145" totalsRowCount="1" headerRowDxfId="1374" dataDxfId="1373" totalsRowDxfId="1372">
  <autoFilter ref="B137:K144" xr:uid="{00000000-0009-0000-0100-000032000000}"/>
  <tableColumns count="10">
    <tableColumn id="1" xr3:uid="{00000000-0010-0000-1E00-000001000000}" name="#" totalsRowLabel="Total" dataDxfId="1371" totalsRowDxfId="1370"/>
    <tableColumn id="2" xr3:uid="{00000000-0010-0000-1E00-000002000000}" name="*Program Code" dataDxfId="1369" totalsRowDxfId="1368"/>
    <tableColumn id="3" xr3:uid="{00000000-0010-0000-1E00-000003000000}" name="Program Description" dataDxfId="1367" totalsRowDxfId="1366">
      <calculatedColumnFormula>_xlfn.IFNA(INDEX(Program!A:A,MATCH(Table31028404142434445464748495051[[#This Row],[*Program Code]],Program!B:B,0)),"")</calculatedColumnFormula>
    </tableColumn>
    <tableColumn id="4" xr3:uid="{00000000-0010-0000-1E00-000004000000}" name="Competition/Ceremony Name" dataDxfId="1365" totalsRowDxfId="1364"/>
    <tableColumn id="5" xr3:uid="{00000000-0010-0000-1E00-000005000000}" name="Purpose" dataDxfId="1363" totalsRowDxfId="1362" dataCellStyle="Comma"/>
    <tableColumn id="6" xr3:uid="{00000000-0010-0000-1E00-000006000000}" name="*Quantity" dataDxfId="1361" totalsRowDxfId="1360"/>
    <tableColumn id="7" xr3:uid="{00000000-0010-0000-1E00-000007000000}" name="Unit of Measure" dataDxfId="1359" totalsRowDxfId="1358" dataCellStyle="Comma"/>
    <tableColumn id="8" xr3:uid="{00000000-0010-0000-1E00-000008000000}" name="*Unit Price" dataDxfId="1357" totalsRowDxfId="1356" dataCellStyle="Comma"/>
    <tableColumn id="9" xr3:uid="{00000000-0010-0000-1E00-000009000000}" name="Total Expenditure" totalsRowFunction="sum" dataDxfId="1355" totalsRowDxfId="1354" dataCellStyle="Comma">
      <calculatedColumnFormula>Table31028404142434445464748495051[[#This Row],[*Unit Price]]*Table31028404142434445464748495051[[#This Row],[*Quantity]]</calculatedColumnFormula>
    </tableColumn>
    <tableColumn id="10" xr3:uid="{00000000-0010-0000-1E00-00000A000000}" name="Justification" dataDxfId="1353" totalsRowDxfId="1352"/>
  </tableColumns>
  <tableStyleInfo name="TableStyleLight11" showFirstColumn="0" showLastColumn="0" showRowStripes="1" showColumnStripes="1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00000000-000C-0000-FFFF-FFFF1F000000}" name="Table3102840414243444546474849505152" displayName="Table3102840414243444546474849505152" ref="B148:K156" totalsRowCount="1" headerRowDxfId="1351" dataDxfId="1350" totalsRowDxfId="1349">
  <autoFilter ref="B148:K155" xr:uid="{00000000-0009-0000-0100-000033000000}"/>
  <tableColumns count="10">
    <tableColumn id="1" xr3:uid="{00000000-0010-0000-1F00-000001000000}" name="#" totalsRowLabel="Total" dataDxfId="1348" totalsRowDxfId="1347"/>
    <tableColumn id="2" xr3:uid="{00000000-0010-0000-1F00-000002000000}" name="*Program Code" dataDxfId="1346" totalsRowDxfId="1345"/>
    <tableColumn id="3" xr3:uid="{00000000-0010-0000-1F00-000003000000}" name="Program Description" dataDxfId="1344" totalsRowDxfId="1343">
      <calculatedColumnFormula>_xlfn.IFNA(INDEX(Program!A:A,MATCH(Table3102840414243444546474849505152[[#This Row],[*Program Code]],Program!B:B,0)),"")</calculatedColumnFormula>
    </tableColumn>
    <tableColumn id="4" xr3:uid="{00000000-0010-0000-1F00-000004000000}" name="*Event Name" dataDxfId="1342" totalsRowDxfId="1341"/>
    <tableColumn id="5" xr3:uid="{00000000-0010-0000-1F00-000005000000}" name="Purpose" dataDxfId="1340" totalsRowDxfId="1339" dataCellStyle="Comma"/>
    <tableColumn id="6" xr3:uid="{00000000-0010-0000-1F00-000006000000}" name="*Quantity" dataDxfId="1338" totalsRowDxfId="1337"/>
    <tableColumn id="7" xr3:uid="{00000000-0010-0000-1F00-000007000000}" name="Unit of Measure" dataDxfId="1336" totalsRowDxfId="1335" dataCellStyle="Comma"/>
    <tableColumn id="8" xr3:uid="{00000000-0010-0000-1F00-000008000000}" name="*Unit Price" dataDxfId="1334" totalsRowDxfId="1333" dataCellStyle="Comma"/>
    <tableColumn id="9" xr3:uid="{00000000-0010-0000-1F00-000009000000}" name="Total Expenditure" totalsRowFunction="sum" dataDxfId="1332" totalsRowDxfId="1331" dataCellStyle="Comma">
      <calculatedColumnFormula>Table3102840414243444546474849505152[[#This Row],[*Unit Price]]*Table3102840414243444546474849505152[[#This Row],[*Quantity]]</calculatedColumnFormula>
    </tableColumn>
    <tableColumn id="10" xr3:uid="{00000000-0010-0000-1F00-00000A000000}" name="Justification" dataDxfId="1330" totalsRowDxfId="1329"/>
  </tableColumns>
  <tableStyleInfo name="TableStyleLight11" showFirstColumn="0" showLastColumn="0" showRowStripes="1" showColumnStripes="1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00000000-000C-0000-FFFF-FFFF20000000}" name="Table310284041424344454647484950515253" displayName="Table310284041424344454647484950515253" ref="B159:K167" totalsRowCount="1" headerRowDxfId="1328" dataDxfId="1327" totalsRowDxfId="1326">
  <autoFilter ref="B159:K166" xr:uid="{00000000-0009-0000-0100-000034000000}"/>
  <tableColumns count="10">
    <tableColumn id="1" xr3:uid="{00000000-0010-0000-2000-000001000000}" name="#" totalsRowLabel="Total" dataDxfId="1325" totalsRowDxfId="1324"/>
    <tableColumn id="2" xr3:uid="{00000000-0010-0000-2000-000002000000}" name="*Program Code" dataDxfId="1323" totalsRowDxfId="1322"/>
    <tableColumn id="3" xr3:uid="{00000000-0010-0000-2000-000003000000}" name="Program Description" dataDxfId="1321" totalsRowDxfId="1320">
      <calculatedColumnFormula>_xlfn.IFNA(INDEX(Program!A:A,MATCH(Table310284041424344454647484950515253[[#This Row],[*Program Code]],Program!B:B,0)),"")</calculatedColumnFormula>
    </tableColumn>
    <tableColumn id="4" xr3:uid="{00000000-0010-0000-2000-000004000000}" name="*Exam Name" dataDxfId="1319" totalsRowDxfId="1318"/>
    <tableColumn id="5" xr3:uid="{00000000-0010-0000-2000-000005000000}" name="Purpose" dataDxfId="1317" totalsRowDxfId="1316" dataCellStyle="Comma"/>
    <tableColumn id="6" xr3:uid="{00000000-0010-0000-2000-000006000000}" name="*Quantity" dataDxfId="1315" totalsRowDxfId="1314"/>
    <tableColumn id="7" xr3:uid="{00000000-0010-0000-2000-000007000000}" name="Unit of Measure" dataDxfId="1313" totalsRowDxfId="1312" dataCellStyle="Comma"/>
    <tableColumn id="8" xr3:uid="{00000000-0010-0000-2000-000008000000}" name="*Unit Price" dataDxfId="1311" totalsRowDxfId="1310" dataCellStyle="Comma"/>
    <tableColumn id="9" xr3:uid="{00000000-0010-0000-2000-000009000000}" name="Total Expenditure" totalsRowFunction="sum" dataDxfId="1309" totalsRowDxfId="1308" dataCellStyle="Comma">
      <calculatedColumnFormula>Table310284041424344454647484950515253[[#This Row],[*Unit Price]]*Table310284041424344454647484950515253[[#This Row],[*Quantity]]</calculatedColumnFormula>
    </tableColumn>
    <tableColumn id="10" xr3:uid="{00000000-0010-0000-2000-00000A000000}" name="Justification" dataDxfId="1307" totalsRowDxfId="1306"/>
  </tableColumns>
  <tableStyleInfo name="TableStyleLight11" showFirstColumn="0" showLastColumn="0" showRowStripes="1" showColumnStripes="1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00000000-000C-0000-FFFF-FFFF21000000}" name="Table31028404142434445464748495051525354" displayName="Table31028404142434445464748495051525354" ref="B170:K178" totalsRowCount="1" headerRowDxfId="1305" dataDxfId="1304" totalsRowDxfId="1303">
  <autoFilter ref="B170:K177" xr:uid="{00000000-0009-0000-0100-000035000000}"/>
  <tableColumns count="10">
    <tableColumn id="1" xr3:uid="{00000000-0010-0000-2100-000001000000}" name="#" totalsRowLabel="Total" dataDxfId="1302" totalsRowDxfId="1301"/>
    <tableColumn id="2" xr3:uid="{00000000-0010-0000-2100-000002000000}" name="*Program Code" dataDxfId="1300" totalsRowDxfId="1299"/>
    <tableColumn id="3" xr3:uid="{00000000-0010-0000-2100-000003000000}" name="Program Description" dataDxfId="1298" totalsRowDxfId="1297">
      <calculatedColumnFormula>_xlfn.IFNA(INDEX(Program!A:A,MATCH(Table31028404142434445464748495051525354[[#This Row],[*Program Code]],Program!B:B,0)),"")</calculatedColumnFormula>
    </tableColumn>
    <tableColumn id="4" xr3:uid="{00000000-0010-0000-2100-000004000000}" name="*Description" dataDxfId="1296" totalsRowDxfId="1295"/>
    <tableColumn id="5" xr3:uid="{00000000-0010-0000-2100-000005000000}" name="Purpose" dataDxfId="1294" totalsRowDxfId="1293" dataCellStyle="Comma"/>
    <tableColumn id="6" xr3:uid="{00000000-0010-0000-2100-000006000000}" name="*Quantity" dataDxfId="1292" totalsRowDxfId="1291"/>
    <tableColumn id="7" xr3:uid="{00000000-0010-0000-2100-000007000000}" name="Unit of Measure" dataDxfId="1290" totalsRowDxfId="1289" dataCellStyle="Comma"/>
    <tableColumn id="8" xr3:uid="{00000000-0010-0000-2100-000008000000}" name="*Unit Price" dataDxfId="1288" totalsRowDxfId="1287" dataCellStyle="Comma"/>
    <tableColumn id="9" xr3:uid="{00000000-0010-0000-2100-000009000000}" name="Total Expenditure" totalsRowFunction="sum" dataDxfId="1286" totalsRowDxfId="1285" dataCellStyle="Comma">
      <calculatedColumnFormula>Table31028404142434445464748495051525354[[#This Row],[*Unit Price]]*Table31028404142434445464748495051525354[[#This Row],[*Quantity]]</calculatedColumnFormula>
    </tableColumn>
    <tableColumn id="10" xr3:uid="{00000000-0010-0000-2100-00000A000000}" name="Justification" dataDxfId="1284" totalsRowDxfId="1283"/>
  </tableColumns>
  <tableStyleInfo name="TableStyleLight11" showFirstColumn="0" showLastColumn="0" showRowStripes="1" showColumnStripes="1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00000000-000C-0000-FFFF-FFFF22000000}" name="Table3102840414243444546474849505152535455" displayName="Table3102840414243444546474849505152535455" ref="B181:K189" totalsRowCount="1" headerRowDxfId="1282" dataDxfId="1281" totalsRowDxfId="1280">
  <autoFilter ref="B181:K188" xr:uid="{00000000-0009-0000-0100-000036000000}"/>
  <tableColumns count="10">
    <tableColumn id="1" xr3:uid="{00000000-0010-0000-2200-000001000000}" name="#" totalsRowLabel="Total" dataDxfId="1279" totalsRowDxfId="1278"/>
    <tableColumn id="2" xr3:uid="{00000000-0010-0000-2200-000002000000}" name="*Program Code" dataDxfId="1277" totalsRowDxfId="1276"/>
    <tableColumn id="3" xr3:uid="{00000000-0010-0000-2200-000003000000}" name="Program Description" dataDxfId="1275" totalsRowDxfId="1274">
      <calculatedColumnFormula>_xlfn.IFNA(INDEX(Program!A:A,MATCH(Table3102840414243444546474849505152535455[[#This Row],[*Program Code]],Program!B:B,0)),"")</calculatedColumnFormula>
    </tableColumn>
    <tableColumn id="4" xr3:uid="{00000000-0010-0000-2200-000004000000}" name="*Description" dataDxfId="1273" totalsRowDxfId="1272"/>
    <tableColumn id="5" xr3:uid="{00000000-0010-0000-2200-000005000000}" name="Purpose" dataDxfId="1271" totalsRowDxfId="1270" dataCellStyle="Comma"/>
    <tableColumn id="6" xr3:uid="{00000000-0010-0000-2200-000006000000}" name="*Quantity" dataDxfId="1269" totalsRowDxfId="1268"/>
    <tableColumn id="7" xr3:uid="{00000000-0010-0000-2200-000007000000}" name="Unit of Measure" dataDxfId="1267" totalsRowDxfId="1266" dataCellStyle="Comma"/>
    <tableColumn id="8" xr3:uid="{00000000-0010-0000-2200-000008000000}" name="*Unit Price" dataDxfId="1265" totalsRowDxfId="1264" dataCellStyle="Comma"/>
    <tableColumn id="9" xr3:uid="{00000000-0010-0000-2200-000009000000}" name="Total Expenditure" totalsRowFunction="sum" dataDxfId="1263" totalsRowDxfId="1262" dataCellStyle="Comma">
      <calculatedColumnFormula>Table3102840414243444546474849505152535455[[#This Row],[*Unit Price]]*Table3102840414243444546474849505152535455[[#This Row],[*Quantity]]</calculatedColumnFormula>
    </tableColumn>
    <tableColumn id="10" xr3:uid="{00000000-0010-0000-2200-00000A000000}" name="Justification" dataDxfId="1261" totalsRowDxfId="1260"/>
  </tableColumns>
  <tableStyleInfo name="TableStyleLight11" showFirstColumn="0" showLastColumn="0" showRowStripes="1" showColumnStripes="1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00000000-000C-0000-FFFF-FFFF23000000}" name="Table310284041424344454647484950515253545556" displayName="Table310284041424344454647484950515253545556" ref="B192:K200" totalsRowCount="1" headerRowDxfId="1259" dataDxfId="1258" totalsRowDxfId="1257">
  <autoFilter ref="B192:K199" xr:uid="{00000000-0009-0000-0100-000037000000}"/>
  <tableColumns count="10">
    <tableColumn id="1" xr3:uid="{00000000-0010-0000-2300-000001000000}" name="#" totalsRowLabel="Total" dataDxfId="1256" totalsRowDxfId="1255"/>
    <tableColumn id="2" xr3:uid="{00000000-0010-0000-2300-000002000000}" name="*Program Code" dataDxfId="1254" totalsRowDxfId="1253"/>
    <tableColumn id="3" xr3:uid="{00000000-0010-0000-2300-000003000000}" name="Program Description" dataDxfId="1252" totalsRowDxfId="1251">
      <calculatedColumnFormula>_xlfn.IFNA(INDEX(Program!A:A,MATCH(Table310284041424344454647484950515253545556[[#This Row],[*Program Code]],Program!B:B,0)),"")</calculatedColumnFormula>
    </tableColumn>
    <tableColumn id="4" xr3:uid="{00000000-0010-0000-2300-000004000000}" name="*Description" dataDxfId="1250" totalsRowDxfId="1249"/>
    <tableColumn id="5" xr3:uid="{00000000-0010-0000-2300-000005000000}" name="Purpose" dataDxfId="1248" totalsRowDxfId="1247" dataCellStyle="Comma"/>
    <tableColumn id="6" xr3:uid="{00000000-0010-0000-2300-000006000000}" name="*Quantity" dataDxfId="1246" totalsRowDxfId="1245"/>
    <tableColumn id="7" xr3:uid="{00000000-0010-0000-2300-000007000000}" name="Unit of Measure" dataDxfId="1244" totalsRowDxfId="1243" dataCellStyle="Comma"/>
    <tableColumn id="8" xr3:uid="{00000000-0010-0000-2300-000008000000}" name="*Unit Price" dataDxfId="1242" totalsRowDxfId="1241" dataCellStyle="Comma"/>
    <tableColumn id="9" xr3:uid="{00000000-0010-0000-2300-000009000000}" name="Total Expenditure" totalsRowFunction="sum" dataDxfId="1240" totalsRowDxfId="1239" dataCellStyle="Comma">
      <calculatedColumnFormula>Table310284041424344454647484950515253545556[[#This Row],[*Unit Price]]*Table310284041424344454647484950515253545556[[#This Row],[*Quantity]]</calculatedColumnFormula>
    </tableColumn>
    <tableColumn id="10" xr3:uid="{00000000-0010-0000-2300-00000A000000}" name="Justification" dataDxfId="1238" totalsRowDxfId="1237"/>
  </tableColumns>
  <tableStyleInfo name="TableStyleLight11" showFirstColumn="0" showLastColumn="0" showRowStripes="1" showColumnStripes="1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00000000-000C-0000-FFFF-FFFF24000000}" name="Table31028404142434445464748495051525354555657" displayName="Table31028404142434445464748495051525354555657" ref="B203:K211" totalsRowCount="1" headerRowDxfId="1236" dataDxfId="1235" totalsRowDxfId="1234">
  <autoFilter ref="B203:K210" xr:uid="{00000000-0009-0000-0100-000038000000}"/>
  <tableColumns count="10">
    <tableColumn id="1" xr3:uid="{00000000-0010-0000-2400-000001000000}" name="#" totalsRowLabel="Total" dataDxfId="1233" totalsRowDxfId="1232"/>
    <tableColumn id="2" xr3:uid="{00000000-0010-0000-2400-000002000000}" name="*Program Code" dataDxfId="1231" totalsRowDxfId="1230"/>
    <tableColumn id="3" xr3:uid="{00000000-0010-0000-2400-000003000000}" name="Program Description" dataDxfId="1229" totalsRowDxfId="1228">
      <calculatedColumnFormula>_xlfn.IFNA(INDEX(Program!A:A,MATCH(Table31028404142434445464748495051525354555657[[#This Row],[*Program Code]],Program!B:B,0)),"")</calculatedColumnFormula>
    </tableColumn>
    <tableColumn id="4" xr3:uid="{00000000-0010-0000-2400-000004000000}" name="*Description" dataDxfId="1227" totalsRowDxfId="1226"/>
    <tableColumn id="5" xr3:uid="{00000000-0010-0000-2400-000005000000}" name="Govt. Agency" dataDxfId="1225" totalsRowDxfId="1224" dataCellStyle="Comma"/>
    <tableColumn id="6" xr3:uid="{00000000-0010-0000-2400-000006000000}" name="*Quantity" dataDxfId="1223" totalsRowDxfId="1222"/>
    <tableColumn id="7" xr3:uid="{00000000-0010-0000-2400-000007000000}" name="Unit of Measure" dataDxfId="1221" totalsRowDxfId="1220" dataCellStyle="Comma"/>
    <tableColumn id="8" xr3:uid="{00000000-0010-0000-2400-000008000000}" name="*Unit Price" dataDxfId="1219" totalsRowDxfId="1218" dataCellStyle="Comma"/>
    <tableColumn id="9" xr3:uid="{00000000-0010-0000-2400-000009000000}" name="Total Expenditure" totalsRowFunction="sum" dataDxfId="1217" totalsRowDxfId="1216" dataCellStyle="Comma">
      <calculatedColumnFormula>Table31028404142434445464748495051525354555657[[#This Row],[*Unit Price]]*Table31028404142434445464748495051525354555657[[#This Row],[*Quantity]]</calculatedColumnFormula>
    </tableColumn>
    <tableColumn id="10" xr3:uid="{00000000-0010-0000-2400-00000A000000}" name="Justification" dataDxfId="1215" totalsRowDxfId="1214"/>
  </tableColumns>
  <tableStyleInfo name="TableStyleLight11" showFirstColumn="0" showLastColumn="0" showRowStripes="1" showColumnStripes="1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00000000-000C-0000-FFFF-FFFF25000000}" name="Table3102840414243444546474849505152535455565758" displayName="Table3102840414243444546474849505152535455565758" ref="B214:K222" totalsRowCount="1" headerRowDxfId="1213" dataDxfId="1212" totalsRowDxfId="1211">
  <autoFilter ref="B214:K221" xr:uid="{00000000-0009-0000-0100-000039000000}"/>
  <tableColumns count="10">
    <tableColumn id="1" xr3:uid="{00000000-0010-0000-2500-000001000000}" name="#" totalsRowLabel="Total" dataDxfId="1210" totalsRowDxfId="1209"/>
    <tableColumn id="2" xr3:uid="{00000000-0010-0000-2500-000002000000}" name="*Program Code" dataDxfId="1208" totalsRowDxfId="1207"/>
    <tableColumn id="3" xr3:uid="{00000000-0010-0000-2500-000003000000}" name="Program Description" dataDxfId="1206" totalsRowDxfId="1205">
      <calculatedColumnFormula>_xlfn.IFNA(INDEX(Program!A:A,MATCH(Table3102840414243444546474849505152535455565758[[#This Row],[*Program Code]],Program!B:B,0)),"")</calculatedColumnFormula>
    </tableColumn>
    <tableColumn id="4" xr3:uid="{00000000-0010-0000-2500-000004000000}" name="*Description" dataDxfId="1204" totalsRowDxfId="1203"/>
    <tableColumn id="5" xr3:uid="{00000000-0010-0000-2500-000005000000}" name="Purpose" dataDxfId="1202" totalsRowDxfId="1201" dataCellStyle="Comma"/>
    <tableColumn id="6" xr3:uid="{00000000-0010-0000-2500-000006000000}" name="*Quantity" dataDxfId="1200" totalsRowDxfId="1199"/>
    <tableColumn id="7" xr3:uid="{00000000-0010-0000-2500-000007000000}" name="Unit of Measure" dataDxfId="1198" totalsRowDxfId="1197" dataCellStyle="Comma"/>
    <tableColumn id="8" xr3:uid="{00000000-0010-0000-2500-000008000000}" name="*Unit Price" dataDxfId="1196" totalsRowDxfId="1195" dataCellStyle="Comma"/>
    <tableColumn id="9" xr3:uid="{00000000-0010-0000-2500-000009000000}" name="Total Expenditure" totalsRowFunction="sum" dataDxfId="1194" totalsRowDxfId="1193" dataCellStyle="Comma">
      <calculatedColumnFormula>Table3102840414243444546474849505152535455565758[[#This Row],[*Unit Price]]*Table3102840414243444546474849505152535455565758[[#This Row],[*Quantity]]</calculatedColumnFormula>
    </tableColumn>
    <tableColumn id="10" xr3:uid="{00000000-0010-0000-2500-00000A000000}" name="Justification" dataDxfId="1192" totalsRowDxfId="1191"/>
  </tableColumns>
  <tableStyleInfo name="TableStyleLight11" showFirstColumn="0" showLastColumn="0" showRowStripes="1" showColumnStripes="1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00000000-000C-0000-FFFF-FFFF26000000}" name="Table310284041424344454647484950515253545556575859" displayName="Table310284041424344454647484950515253545556575859" ref="B225:K233" totalsRowCount="1" headerRowDxfId="1190" dataDxfId="1189" totalsRowDxfId="1188">
  <autoFilter ref="B225:K232" xr:uid="{00000000-0009-0000-0100-00003A000000}"/>
  <tableColumns count="10">
    <tableColumn id="1" xr3:uid="{00000000-0010-0000-2600-000001000000}" name="#" totalsRowLabel="Total" dataDxfId="1187" totalsRowDxfId="1186"/>
    <tableColumn id="2" xr3:uid="{00000000-0010-0000-2600-000002000000}" name="*Program Code" dataDxfId="1185" totalsRowDxfId="1184"/>
    <tableColumn id="3" xr3:uid="{00000000-0010-0000-2600-000003000000}" name="Program Description" dataDxfId="1183" totalsRowDxfId="1182">
      <calculatedColumnFormula>_xlfn.IFNA(INDEX(Program!A:A,MATCH(Table310284041424344454647484950515253545556575859[[#This Row],[*Program Code]],Program!B:B,0)),"")</calculatedColumnFormula>
    </tableColumn>
    <tableColumn id="4" xr3:uid="{00000000-0010-0000-2600-000004000000}" name="*Description" dataDxfId="1181" totalsRowDxfId="1180"/>
    <tableColumn id="5" xr3:uid="{00000000-0010-0000-2600-000005000000}" name="Purpose" dataDxfId="1179" totalsRowDxfId="1178" dataCellStyle="Comma"/>
    <tableColumn id="6" xr3:uid="{00000000-0010-0000-2600-000006000000}" name="*Quantity" dataDxfId="1177" totalsRowDxfId="1176"/>
    <tableColumn id="7" xr3:uid="{00000000-0010-0000-2600-000007000000}" name="Unit of Measure" dataDxfId="1175" totalsRowDxfId="1174" dataCellStyle="Comma"/>
    <tableColumn id="8" xr3:uid="{00000000-0010-0000-2600-000008000000}" name="*Unit Price" dataDxfId="1173" totalsRowDxfId="1172" dataCellStyle="Comma"/>
    <tableColumn id="9" xr3:uid="{00000000-0010-0000-2600-000009000000}" name="Total Expenditure" totalsRowFunction="sum" dataDxfId="1171" totalsRowDxfId="1170" dataCellStyle="Comma">
      <calculatedColumnFormula>Table310284041424344454647484950515253545556575859[[#This Row],[*Unit Price]]*Table310284041424344454647484950515253545556575859[[#This Row],[*Quantity]]</calculatedColumnFormula>
    </tableColumn>
    <tableColumn id="10" xr3:uid="{00000000-0010-0000-2600-00000A000000}" name="Justification" dataDxfId="1169" totalsRowDxfId="1168"/>
  </tableColumns>
  <tableStyleInfo name="TableStyleLight11" showFirstColumn="0" showLastColumn="0" showRowStripes="1" showColumnStripes="1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able3567" displayName="Table3567" ref="B38:K46" totalsRowCount="1" headerRowDxfId="1995" dataDxfId="1994" totalsRowDxfId="1993">
  <autoFilter ref="B38:K45" xr:uid="{00000000-0009-0000-0100-000006000000}"/>
  <tableColumns count="10">
    <tableColumn id="1" xr3:uid="{00000000-0010-0000-0300-000001000000}" name="#" totalsRowLabel="Total" dataDxfId="1992" totalsRowDxfId="1991"/>
    <tableColumn id="2" xr3:uid="{00000000-0010-0000-0300-000002000000}" name="*Program Code" dataDxfId="1990" totalsRowDxfId="1989"/>
    <tableColumn id="3" xr3:uid="{00000000-0010-0000-0300-000003000000}" name="Program Description" dataDxfId="1988" totalsRowDxfId="1987">
      <calculatedColumnFormula>_xlfn.IFNA(INDEX(Program!A:A,MATCH(Table3567[[#This Row],[*Program Code]],Program!B:B,0)),"")</calculatedColumnFormula>
    </tableColumn>
    <tableColumn id="4" xr3:uid="{00000000-0010-0000-0300-000004000000}" name="*Purpose Of Travel" dataDxfId="1986" totalsRowDxfId="1985"/>
    <tableColumn id="5" xr3:uid="{00000000-0010-0000-0300-000005000000}" name="*No. Of Particpants" dataDxfId="1984" totalsRowDxfId="1983" dataCellStyle="Comma"/>
    <tableColumn id="6" xr3:uid="{00000000-0010-0000-0300-000006000000}" name="*Destination" dataDxfId="1982" totalsRowDxfId="1981"/>
    <tableColumn id="7" xr3:uid="{00000000-0010-0000-0300-000007000000}" name="*Expenditure Per Trip" dataDxfId="1980" totalsRowDxfId="1979" dataCellStyle="Comma"/>
    <tableColumn id="8" xr3:uid="{00000000-0010-0000-0300-000008000000}" name="*No. Of Trips" dataDxfId="1978" totalsRowDxfId="1977" dataCellStyle="Comma"/>
    <tableColumn id="9" xr3:uid="{00000000-0010-0000-0300-000009000000}" name="Total Expenditure" totalsRowFunction="sum" dataDxfId="1976" totalsRowDxfId="1975" dataCellStyle="Comma">
      <calculatedColumnFormula>Table3567[[#This Row],[*No. Of Trips]]*Table3567[[#This Row],[*Expenditure Per Trip]]</calculatedColumnFormula>
    </tableColumn>
    <tableColumn id="10" xr3:uid="{00000000-0010-0000-0300-00000A000000}" name="Justification" dataDxfId="1974" totalsRowDxfId="1973"/>
  </tableColumns>
  <tableStyleInfo name="TableStyleLight11" showFirstColumn="0" showLastColumn="0" showRowStripes="1" showColumnStripes="1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00000000-000C-0000-FFFF-FFFF27000000}" name="Table31028404142434445464748495051525354555657585960" displayName="Table31028404142434445464748495051525354555657585960" ref="B236:K244" totalsRowCount="1" headerRowDxfId="1167" dataDxfId="1166" totalsRowDxfId="1165">
  <autoFilter ref="B236:K243" xr:uid="{00000000-0009-0000-0100-00003B000000}"/>
  <tableColumns count="10">
    <tableColumn id="1" xr3:uid="{00000000-0010-0000-2700-000001000000}" name="#" totalsRowLabel="Total" dataDxfId="1164" totalsRowDxfId="1163"/>
    <tableColumn id="2" xr3:uid="{00000000-0010-0000-2700-000002000000}" name="*Program Code" dataDxfId="1162" totalsRowDxfId="1161"/>
    <tableColumn id="3" xr3:uid="{00000000-0010-0000-2700-000003000000}" name="Program Description" dataDxfId="1160" totalsRowDxfId="1159">
      <calculatedColumnFormula>_xlfn.IFNA(INDEX(Program!A:A,MATCH(Table31028404142434445464748495051525354555657585960[[#This Row],[*Program Code]],Program!B:B,0)),"")</calculatedColumnFormula>
    </tableColumn>
    <tableColumn id="4" xr3:uid="{00000000-0010-0000-2700-000004000000}" name="*Description" dataDxfId="1158" totalsRowDxfId="1157"/>
    <tableColumn id="5" xr3:uid="{00000000-0010-0000-2700-000005000000}" name="Purpose" dataDxfId="1156" totalsRowDxfId="1155" dataCellStyle="Comma"/>
    <tableColumn id="6" xr3:uid="{00000000-0010-0000-2700-000006000000}" name="*Quantity" dataDxfId="1154" totalsRowDxfId="1153"/>
    <tableColumn id="7" xr3:uid="{00000000-0010-0000-2700-000007000000}" name="Unit of Measure" dataDxfId="1152" totalsRowDxfId="1151" dataCellStyle="Comma"/>
    <tableColumn id="8" xr3:uid="{00000000-0010-0000-2700-000008000000}" name="*Unit Price" dataDxfId="1150" totalsRowDxfId="1149" dataCellStyle="Comma"/>
    <tableColumn id="9" xr3:uid="{00000000-0010-0000-2700-000009000000}" name="Total Expenditure" totalsRowFunction="sum" dataDxfId="1148" totalsRowDxfId="1147" dataCellStyle="Comma">
      <calculatedColumnFormula>Table31028404142434445464748495051525354555657585960[[#This Row],[*Unit Price]]*Table31028404142434445464748495051525354555657585960[[#This Row],[*Quantity]]</calculatedColumnFormula>
    </tableColumn>
    <tableColumn id="10" xr3:uid="{00000000-0010-0000-2700-00000A000000}" name="Justification" dataDxfId="1146" totalsRowDxfId="1145"/>
  </tableColumns>
  <tableStyleInfo name="TableStyleLight11" showFirstColumn="0" showLastColumn="0" showRowStripes="1" showColumnStripes="1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00000000-000C-0000-FFFF-FFFF28000000}" name="Table3102840414243444546474849505152535455565758596061" displayName="Table3102840414243444546474849505152535455565758596061" ref="B247:K255" totalsRowCount="1" headerRowDxfId="1144" dataDxfId="1143" totalsRowDxfId="1142">
  <autoFilter ref="B247:K254" xr:uid="{00000000-0009-0000-0100-00003C000000}"/>
  <tableColumns count="10">
    <tableColumn id="1" xr3:uid="{00000000-0010-0000-2800-000001000000}" name="#" totalsRowLabel="Total" dataDxfId="1141" totalsRowDxfId="1140"/>
    <tableColumn id="2" xr3:uid="{00000000-0010-0000-2800-000002000000}" name="*Program Code" dataDxfId="1139" totalsRowDxfId="1138"/>
    <tableColumn id="3" xr3:uid="{00000000-0010-0000-2800-000003000000}" name="Program Description" dataDxfId="1137" totalsRowDxfId="1136">
      <calculatedColumnFormula>_xlfn.IFNA(INDEX(Program!A:A,MATCH(Table3102840414243444546474849505152535455565758596061[[#This Row],[*Program Code]],Program!B:B,0)),"")</calculatedColumnFormula>
    </tableColumn>
    <tableColumn id="4" xr3:uid="{00000000-0010-0000-2800-000004000000}" name="*Description" dataDxfId="1135" totalsRowDxfId="1134"/>
    <tableColumn id="5" xr3:uid="{00000000-0010-0000-2800-000005000000}" name="Destination" dataDxfId="1133" totalsRowDxfId="1132" dataCellStyle="Comma"/>
    <tableColumn id="6" xr3:uid="{00000000-0010-0000-2800-000006000000}" name="*Quantity" dataDxfId="1131" totalsRowDxfId="1130"/>
    <tableColumn id="7" xr3:uid="{00000000-0010-0000-2800-000007000000}" name="Unit of Measure" dataDxfId="1129" totalsRowDxfId="1128" dataCellStyle="Comma"/>
    <tableColumn id="8" xr3:uid="{00000000-0010-0000-2800-000008000000}" name="*Unit Price" dataDxfId="1127" totalsRowDxfId="1126" dataCellStyle="Comma"/>
    <tableColumn id="9" xr3:uid="{00000000-0010-0000-2800-000009000000}" name="Total Expenditure" totalsRowFunction="sum" dataDxfId="1125" totalsRowDxfId="1124" dataCellStyle="Comma">
      <calculatedColumnFormula>Table3102840414243444546474849505152535455565758596061[[#This Row],[*Unit Price]]*Table3102840414243444546474849505152535455565758596061[[#This Row],[*Quantity]]</calculatedColumnFormula>
    </tableColumn>
    <tableColumn id="10" xr3:uid="{00000000-0010-0000-2800-00000A000000}" name="Justification" dataDxfId="1123" totalsRowDxfId="1122"/>
  </tableColumns>
  <tableStyleInfo name="TableStyleLight11" showFirstColumn="0" showLastColumn="0" showRowStripes="1" showColumnStripes="1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00000000-000C-0000-FFFF-FFFF29000000}" name="Table310284041424344454647484950515253545556575859606162" displayName="Table310284041424344454647484950515253545556575859606162" ref="B258:K266" totalsRowCount="1" headerRowDxfId="1121" dataDxfId="1120" totalsRowDxfId="1119">
  <autoFilter ref="B258:K265" xr:uid="{00000000-0009-0000-0100-00003D000000}"/>
  <tableColumns count="10">
    <tableColumn id="1" xr3:uid="{00000000-0010-0000-2900-000001000000}" name="#" totalsRowLabel="Total" dataDxfId="1118" totalsRowDxfId="1117"/>
    <tableColumn id="2" xr3:uid="{00000000-0010-0000-2900-000002000000}" name="*Program Code" dataDxfId="1116" totalsRowDxfId="1115"/>
    <tableColumn id="3" xr3:uid="{00000000-0010-0000-2900-000003000000}" name="Program Description" dataDxfId="1114" totalsRowDxfId="1113">
      <calculatedColumnFormula>_xlfn.IFNA(INDEX(Program!A:A,MATCH(Table310284041424344454647484950515253545556575859606162[[#This Row],[*Program Code]],Program!B:B,0)),"")</calculatedColumnFormula>
    </tableColumn>
    <tableColumn id="4" xr3:uid="{00000000-0010-0000-2900-000004000000}" name="*Description" dataDxfId="1112" totalsRowDxfId="1111"/>
    <tableColumn id="5" xr3:uid="{00000000-0010-0000-2900-000005000000}" name="Purpose" dataDxfId="1110" totalsRowDxfId="1109" dataCellStyle="Comma"/>
    <tableColumn id="6" xr3:uid="{00000000-0010-0000-2900-000006000000}" name="*Quantity" dataDxfId="1108" totalsRowDxfId="1107"/>
    <tableColumn id="7" xr3:uid="{00000000-0010-0000-2900-000007000000}" name="Unit of Measure" dataDxfId="1106" totalsRowDxfId="1105" dataCellStyle="Comma"/>
    <tableColumn id="8" xr3:uid="{00000000-0010-0000-2900-000008000000}" name="*Unit Price" dataDxfId="1104" totalsRowDxfId="1103" dataCellStyle="Comma"/>
    <tableColumn id="9" xr3:uid="{00000000-0010-0000-2900-000009000000}" name="Total Expenditure" totalsRowFunction="sum" dataDxfId="1102" totalsRowDxfId="1101" dataCellStyle="Comma">
      <calculatedColumnFormula>Table310284041424344454647484950515253545556575859606162[[#This Row],[*Unit Price]]*Table310284041424344454647484950515253545556575859606162[[#This Row],[*Quantity]]</calculatedColumnFormula>
    </tableColumn>
    <tableColumn id="10" xr3:uid="{00000000-0010-0000-2900-00000A000000}" name="Justification" dataDxfId="1100" totalsRowDxfId="1099"/>
  </tableColumns>
  <tableStyleInfo name="TableStyleLight11" showFirstColumn="0" showLastColumn="0" showRowStripes="1" showColumnStripes="1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2" xr:uid="{00000000-000C-0000-FFFF-FFFF2A000000}" name="Table31028404142434445464748495051525354555657585960616263" displayName="Table31028404142434445464748495051525354555657585960616263" ref="B269:K277" totalsRowCount="1" headerRowDxfId="1098" dataDxfId="1097" totalsRowDxfId="1096">
  <autoFilter ref="B269:K276" xr:uid="{00000000-0009-0000-0100-00003E000000}"/>
  <tableColumns count="10">
    <tableColumn id="1" xr3:uid="{00000000-0010-0000-2A00-000001000000}" name="#" totalsRowLabel="Total" dataDxfId="1095" totalsRowDxfId="1094"/>
    <tableColumn id="2" xr3:uid="{00000000-0010-0000-2A00-000002000000}" name="*Program Code" dataDxfId="1093" totalsRowDxfId="1092"/>
    <tableColumn id="3" xr3:uid="{00000000-0010-0000-2A00-000003000000}" name="Program Description" dataDxfId="1091" totalsRowDxfId="1090">
      <calculatedColumnFormula>_xlfn.IFNA(INDEX(Program!A:A,MATCH(Table31028404142434445464748495051525354555657585960616263[[#This Row],[*Program Code]],Program!B:B,0)),"")</calculatedColumnFormula>
    </tableColumn>
    <tableColumn id="4" xr3:uid="{00000000-0010-0000-2A00-000004000000}" name="*Description" dataDxfId="1089" totalsRowDxfId="1088"/>
    <tableColumn id="5" xr3:uid="{00000000-0010-0000-2A00-000005000000}" name="Purpose" dataDxfId="1087" totalsRowDxfId="1086" dataCellStyle="Comma"/>
    <tableColumn id="6" xr3:uid="{00000000-0010-0000-2A00-000006000000}" name="*Quantity" dataDxfId="1085" totalsRowDxfId="1084"/>
    <tableColumn id="7" xr3:uid="{00000000-0010-0000-2A00-000007000000}" name="Unit of Measure" dataDxfId="1083" totalsRowDxfId="1082" dataCellStyle="Comma"/>
    <tableColumn id="8" xr3:uid="{00000000-0010-0000-2A00-000008000000}" name="*Unit Price" dataDxfId="1081" totalsRowDxfId="1080" dataCellStyle="Comma"/>
    <tableColumn id="9" xr3:uid="{00000000-0010-0000-2A00-000009000000}" name="Total Expenditure" totalsRowFunction="sum" dataDxfId="1079" totalsRowDxfId="1078" dataCellStyle="Comma">
      <calculatedColumnFormula>Table31028404142434445464748495051525354555657585960616263[[#This Row],[*Unit Price]]*Table31028404142434445464748495051525354555657585960616263[[#This Row],[*Quantity]]</calculatedColumnFormula>
    </tableColumn>
    <tableColumn id="10" xr3:uid="{00000000-0010-0000-2A00-00000A000000}" name="Justification" dataDxfId="1077" totalsRowDxfId="1076"/>
  </tableColumns>
  <tableStyleInfo name="TableStyleLight11" showFirstColumn="0" showLastColumn="0" showRowStripes="1" showColumnStripes="1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00000000-000C-0000-FFFF-FFFF2B000000}" name="Table3102840414243444546474849505152535455565758596061626364" displayName="Table3102840414243444546474849505152535455565758596061626364" ref="B291:K299" totalsRowCount="1" headerRowDxfId="1075" dataDxfId="1074" totalsRowDxfId="1073">
  <autoFilter ref="B291:K298" xr:uid="{00000000-0009-0000-0100-00003F000000}"/>
  <tableColumns count="10">
    <tableColumn id="1" xr3:uid="{00000000-0010-0000-2B00-000001000000}" name="#" totalsRowLabel="Total" dataDxfId="1072" totalsRowDxfId="1071"/>
    <tableColumn id="2" xr3:uid="{00000000-0010-0000-2B00-000002000000}" name="*Program Code" dataDxfId="1070" totalsRowDxfId="1069"/>
    <tableColumn id="3" xr3:uid="{00000000-0010-0000-2B00-000003000000}" name="Program Description" dataDxfId="1068" totalsRowDxfId="1067">
      <calculatedColumnFormula>_xlfn.IFNA(INDEX(Program!A:A,MATCH(Table3102840414243444546474849505152535455565758596061626364[[#This Row],[*Program Code]],Program!B:B,0)),"")</calculatedColumnFormula>
    </tableColumn>
    <tableColumn id="4" xr3:uid="{00000000-0010-0000-2B00-000004000000}" name="*Description" dataDxfId="1066" totalsRowDxfId="1065"/>
    <tableColumn id="5" xr3:uid="{00000000-0010-0000-2B00-000005000000}" name="Purpose" dataDxfId="1064" totalsRowDxfId="1063" dataCellStyle="Comma"/>
    <tableColumn id="6" xr3:uid="{00000000-0010-0000-2B00-000006000000}" name="*Quantity" dataDxfId="1062" totalsRowDxfId="1061"/>
    <tableColumn id="7" xr3:uid="{00000000-0010-0000-2B00-000007000000}" name="Unit of Measure" dataDxfId="1060" totalsRowDxfId="1059" dataCellStyle="Comma"/>
    <tableColumn id="8" xr3:uid="{00000000-0010-0000-2B00-000008000000}" name="*Unit Price" dataDxfId="1058" totalsRowDxfId="1057" dataCellStyle="Comma"/>
    <tableColumn id="9" xr3:uid="{00000000-0010-0000-2B00-000009000000}" name="Total Expenditure" totalsRowFunction="sum" dataDxfId="1056" totalsRowDxfId="1055" dataCellStyle="Comma">
      <calculatedColumnFormula>Table3102840414243444546474849505152535455565758596061626364[[#This Row],[*Unit Price]]*Table3102840414243444546474849505152535455565758596061626364[[#This Row],[*Quantity]]</calculatedColumnFormula>
    </tableColumn>
    <tableColumn id="10" xr3:uid="{00000000-0010-0000-2B00-00000A000000}" name="Justification" dataDxfId="1054" totalsRowDxfId="1053"/>
  </tableColumns>
  <tableStyleInfo name="TableStyleLight11" showFirstColumn="0" showLastColumn="0" showRowStripes="1" showColumnStripes="1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1A6BFFE7-5A03-4341-86BB-86F51FC5864A}" name="Table3102840414243444546474849505152535455565758596061626312" displayName="Table3102840414243444546474849505152535455565758596061626312" ref="B280:K288" totalsRowCount="1" headerRowDxfId="1052" dataDxfId="1051" totalsRowDxfId="1050">
  <autoFilter ref="B280:K287" xr:uid="{56AD54A9-5F77-4D46-8397-72270E680744}"/>
  <tableColumns count="10">
    <tableColumn id="1" xr3:uid="{28F66071-96CE-4556-B5C1-0AD911A9C8BA}" name="#" totalsRowLabel="Total" dataDxfId="1049" totalsRowDxfId="1048"/>
    <tableColumn id="2" xr3:uid="{CEEE35D6-C02F-4CEF-B6CB-1545FA0ED4FC}" name="*Program Code" dataDxfId="1047" totalsRowDxfId="1046"/>
    <tableColumn id="3" xr3:uid="{411683C8-4802-47E3-BFB5-B32F262C758F}" name="Program Description" dataDxfId="1045" totalsRowDxfId="1044">
      <calculatedColumnFormula>_xlfn.IFNA(INDEX(Program!A:A,MATCH(Table3102840414243444546474849505152535455565758596061626312[[#This Row],[*Program Code]],Program!B:B,0)),"")</calculatedColumnFormula>
    </tableColumn>
    <tableColumn id="4" xr3:uid="{EA3056E2-A6F3-48FC-91A1-2CE427F5A3B6}" name="*Description" dataDxfId="1043" totalsRowDxfId="1042"/>
    <tableColumn id="5" xr3:uid="{EA3B4415-F478-4004-B58C-C8E6D2B33E7C}" name="Purpose" dataDxfId="1041" totalsRowDxfId="1040" dataCellStyle="Comma"/>
    <tableColumn id="6" xr3:uid="{59999083-1141-42CC-87C0-33E37AF1A812}" name="*Quantity" dataDxfId="1039" totalsRowDxfId="1038"/>
    <tableColumn id="7" xr3:uid="{2CF883E9-3A38-4B5A-BE8C-0306E211DF22}" name="Unit of Measure" dataDxfId="1037" totalsRowDxfId="1036" dataCellStyle="Comma"/>
    <tableColumn id="8" xr3:uid="{BB67B4B7-9F2E-4248-80FB-CC7810FFCD3C}" name="*Unit Price" dataDxfId="1035" totalsRowDxfId="1034" dataCellStyle="Comma"/>
    <tableColumn id="9" xr3:uid="{18C5F3DE-CB15-44E0-A7DC-32A5A652FFE5}" name="Total Expenditure" totalsRowFunction="sum" dataDxfId="1033" totalsRowDxfId="1032" dataCellStyle="Comma">
      <calculatedColumnFormula>Table3102840414243444546474849505152535455565758596061626312[[#This Row],[*Unit Price]]*Table3102840414243444546474849505152535455565758596061626312[[#This Row],[*Quantity]]</calculatedColumnFormula>
    </tableColumn>
    <tableColumn id="10" xr3:uid="{7DC086BE-51AC-4A21-9A1F-41C0DAC82F70}" name="Justification" dataDxfId="1031" totalsRowDxfId="1030"/>
  </tableColumns>
  <tableStyleInfo name="TableStyleLight11" showFirstColumn="0" showLastColumn="0" showRowStripes="1" showColumnStripes="1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00000000-000C-0000-FFFF-FFFF2C000000}" name="Table3102865" displayName="Table3102865" ref="B5:K13" totalsRowCount="1" headerRowDxfId="1029" dataDxfId="1028" totalsRowDxfId="1027">
  <autoFilter ref="B5:K12" xr:uid="{00000000-0009-0000-0100-000040000000}"/>
  <tableColumns count="10">
    <tableColumn id="1" xr3:uid="{00000000-0010-0000-2C00-000001000000}" name="#" totalsRowLabel="Total" dataDxfId="1026" totalsRowDxfId="1025"/>
    <tableColumn id="2" xr3:uid="{00000000-0010-0000-2C00-000002000000}" name="*Program Code" dataDxfId="1024" totalsRowDxfId="1023"/>
    <tableColumn id="3" xr3:uid="{00000000-0010-0000-2C00-000003000000}" name="Program Description" dataDxfId="1022" totalsRowDxfId="1021">
      <calculatedColumnFormula>_xlfn.IFNA(INDEX(Program!A:A,MATCH(Table3102865[[#This Row],[*Program Code]],Program!B:B,0)),"")</calculatedColumnFormula>
    </tableColumn>
    <tableColumn id="4" xr3:uid="{00000000-0010-0000-2C00-000004000000}" name="*Item Description" dataDxfId="1020" totalsRowDxfId="1019"/>
    <tableColumn id="5" xr3:uid="{00000000-0010-0000-2C00-000005000000}" name="Purpose" dataDxfId="1018" totalsRowDxfId="1017" dataCellStyle="Comma"/>
    <tableColumn id="6" xr3:uid="{00000000-0010-0000-2C00-000006000000}" name="*Quantity" dataDxfId="1016" totalsRowDxfId="1015"/>
    <tableColumn id="7" xr3:uid="{00000000-0010-0000-2C00-000007000000}" name="Unit of Measure" dataDxfId="1014" totalsRowDxfId="1013" dataCellStyle="Comma"/>
    <tableColumn id="8" xr3:uid="{00000000-0010-0000-2C00-000008000000}" name="*Unit Price" dataDxfId="1012" totalsRowDxfId="1011" dataCellStyle="Comma"/>
    <tableColumn id="9" xr3:uid="{00000000-0010-0000-2C00-000009000000}" name="Total Expenditure" totalsRowFunction="sum" dataDxfId="1010" totalsRowDxfId="1009" dataCellStyle="Comma">
      <calculatedColumnFormula>Table3102865[[#This Row],[*Unit Price]]*Table3102865[[#This Row],[*Quantity]]</calculatedColumnFormula>
    </tableColumn>
    <tableColumn id="10" xr3:uid="{00000000-0010-0000-2C00-00000A000000}" name="Justification" dataDxfId="1008" totalsRowDxfId="1007"/>
  </tableColumns>
  <tableStyleInfo name="TableStyleLight11" showFirstColumn="0" showLastColumn="0" showRowStripes="1" showColumnStripes="1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0" xr:uid="{00000000-000C-0000-FFFF-FFFF2D000000}" name="Table310286591" displayName="Table310286591" ref="B16:K24" totalsRowCount="1" headerRowDxfId="1006" dataDxfId="1005" totalsRowDxfId="1004">
  <autoFilter ref="B16:K23" xr:uid="{00000000-0009-0000-0100-00005A000000}"/>
  <tableColumns count="10">
    <tableColumn id="1" xr3:uid="{00000000-0010-0000-2D00-000001000000}" name="#" totalsRowLabel="Total" dataDxfId="1003" totalsRowDxfId="1002"/>
    <tableColumn id="2" xr3:uid="{00000000-0010-0000-2D00-000002000000}" name="*Program Code" dataDxfId="1001" totalsRowDxfId="1000"/>
    <tableColumn id="3" xr3:uid="{00000000-0010-0000-2D00-000003000000}" name="Program Description" dataDxfId="999" totalsRowDxfId="998">
      <calculatedColumnFormula>_xlfn.IFNA(INDEX(Program!A:A,MATCH(Table310286591[[#This Row],[*Program Code]],Program!B:B,0)),"")</calculatedColumnFormula>
    </tableColumn>
    <tableColumn id="4" xr3:uid="{00000000-0010-0000-2D00-000004000000}" name="*Item Description" dataDxfId="997" totalsRowDxfId="996"/>
    <tableColumn id="5" xr3:uid="{00000000-0010-0000-2D00-000005000000}" name="Purpose" dataDxfId="995" totalsRowDxfId="994" dataCellStyle="Comma"/>
    <tableColumn id="6" xr3:uid="{00000000-0010-0000-2D00-000006000000}" name="*Quantity" dataDxfId="993" totalsRowDxfId="992"/>
    <tableColumn id="7" xr3:uid="{00000000-0010-0000-2D00-000007000000}" name="Unit of Measure" dataDxfId="991" totalsRowDxfId="990" dataCellStyle="Comma"/>
    <tableColumn id="8" xr3:uid="{00000000-0010-0000-2D00-000008000000}" name="*Unit Price" dataDxfId="989" totalsRowDxfId="988" dataCellStyle="Comma"/>
    <tableColumn id="9" xr3:uid="{00000000-0010-0000-2D00-000009000000}" name="Total Expenditure" totalsRowFunction="sum" dataDxfId="987" totalsRowDxfId="986" dataCellStyle="Comma">
      <calculatedColumnFormula>Table310286591[[#This Row],[*Unit Price]]*Table310286591[[#This Row],[*Quantity]]</calculatedColumnFormula>
    </tableColumn>
    <tableColumn id="10" xr3:uid="{00000000-0010-0000-2D00-00000A000000}" name="Justification" dataDxfId="985" totalsRowDxfId="984"/>
  </tableColumns>
  <tableStyleInfo name="TableStyleLight11" showFirstColumn="0" showLastColumn="0" showRowStripes="1" showColumnStripes="1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1" xr:uid="{00000000-000C-0000-FFFF-FFFF2E000000}" name="Table31028659192" displayName="Table31028659192" ref="B27:K35" totalsRowCount="1" headerRowDxfId="983" dataDxfId="982" totalsRowDxfId="981">
  <autoFilter ref="B27:K34" xr:uid="{00000000-0009-0000-0100-00005B000000}"/>
  <tableColumns count="10">
    <tableColumn id="1" xr3:uid="{00000000-0010-0000-2E00-000001000000}" name="#" totalsRowLabel="Total" dataDxfId="980" totalsRowDxfId="979"/>
    <tableColumn id="2" xr3:uid="{00000000-0010-0000-2E00-000002000000}" name="*Program Code" dataDxfId="978" totalsRowDxfId="977"/>
    <tableColumn id="3" xr3:uid="{00000000-0010-0000-2E00-000003000000}" name="Program Description" dataDxfId="976" totalsRowDxfId="975">
      <calculatedColumnFormula>_xlfn.IFNA(INDEX(Program!A:A,MATCH(Table31028659192[[#This Row],[*Program Code]],Program!B:B,0)),"")</calculatedColumnFormula>
    </tableColumn>
    <tableColumn id="4" xr3:uid="{00000000-0010-0000-2E00-000004000000}" name="*Meal Type" dataDxfId="974" totalsRowDxfId="973"/>
    <tableColumn id="5" xr3:uid="{00000000-0010-0000-2E00-000005000000}" name="Detainees Count" dataDxfId="972" totalsRowDxfId="971" dataCellStyle="Comma"/>
    <tableColumn id="6" xr3:uid="{00000000-0010-0000-2E00-000006000000}" name="*Quantity" dataDxfId="970" totalsRowDxfId="969"/>
    <tableColumn id="7" xr3:uid="{00000000-0010-0000-2E00-000007000000}" name="Unit of Measure" dataDxfId="968" totalsRowDxfId="967" dataCellStyle="Comma"/>
    <tableColumn id="8" xr3:uid="{00000000-0010-0000-2E00-000008000000}" name="*Unit Price" dataDxfId="966" totalsRowDxfId="965" dataCellStyle="Comma"/>
    <tableColumn id="9" xr3:uid="{00000000-0010-0000-2E00-000009000000}" name="Total Expenditure" totalsRowFunction="sum" dataDxfId="964" totalsRowDxfId="963" dataCellStyle="Comma">
      <calculatedColumnFormula>Table31028659192[[#This Row],[*Unit Price]]*Table31028659192[[#This Row],[*Quantity]]</calculatedColumnFormula>
    </tableColumn>
    <tableColumn id="10" xr3:uid="{00000000-0010-0000-2E00-00000A000000}" name="Justification" dataDxfId="962" totalsRowDxfId="961"/>
  </tableColumns>
  <tableStyleInfo name="TableStyleLight11" showFirstColumn="0" showLastColumn="0" showRowStripes="1" showColumnStripes="1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2" xr:uid="{00000000-000C-0000-FFFF-FFFF2F000000}" name="Table3102865919293" displayName="Table3102865919293" ref="B38:K46" totalsRowCount="1" headerRowDxfId="960" dataDxfId="959" totalsRowDxfId="958">
  <autoFilter ref="B38:K45" xr:uid="{00000000-0009-0000-0100-00005C000000}"/>
  <tableColumns count="10">
    <tableColumn id="1" xr3:uid="{00000000-0010-0000-2F00-000001000000}" name="#" totalsRowLabel="Total" dataDxfId="957" totalsRowDxfId="956"/>
    <tableColumn id="2" xr3:uid="{00000000-0010-0000-2F00-000002000000}" name="*Program Code" dataDxfId="955" totalsRowDxfId="954"/>
    <tableColumn id="3" xr3:uid="{00000000-0010-0000-2F00-000003000000}" name="Program Description" dataDxfId="953" totalsRowDxfId="952">
      <calculatedColumnFormula>_xlfn.IFNA(INDEX(Program!A:A,MATCH(Table3102865919293[[#This Row],[*Program Code]],Program!B:B,0)),"")</calculatedColumnFormula>
    </tableColumn>
    <tableColumn id="4" xr3:uid="{00000000-0010-0000-2F00-000004000000}" name="*Item Description" dataDxfId="951" totalsRowDxfId="950"/>
    <tableColumn id="5" xr3:uid="{00000000-0010-0000-2F00-000005000000}" name="Detainees Count" dataDxfId="949" totalsRowDxfId="948" dataCellStyle="Comma"/>
    <tableColumn id="6" xr3:uid="{00000000-0010-0000-2F00-000006000000}" name="*Quantity" dataDxfId="947" totalsRowDxfId="946"/>
    <tableColumn id="7" xr3:uid="{00000000-0010-0000-2F00-000007000000}" name="Unit of Measure" dataDxfId="945" totalsRowDxfId="944" dataCellStyle="Comma"/>
    <tableColumn id="8" xr3:uid="{00000000-0010-0000-2F00-000008000000}" name="*Unit Price" dataDxfId="943" totalsRowDxfId="942" dataCellStyle="Comma"/>
    <tableColumn id="9" xr3:uid="{00000000-0010-0000-2F00-000009000000}" name="Total Expenditure" totalsRowFunction="sum" dataDxfId="941" totalsRowDxfId="940" dataCellStyle="Comma">
      <calculatedColumnFormula>Table3102865919293[[#This Row],[*Unit Price]]*Table3102865919293[[#This Row],[*Quantity]]</calculatedColumnFormula>
    </tableColumn>
    <tableColumn id="10" xr3:uid="{00000000-0010-0000-2F00-00000A000000}" name="Justification" dataDxfId="939" totalsRowDxfId="938"/>
  </tableColumns>
  <tableStyleInfo name="TableStyleLight11" showFirstColumn="0" showLastColumn="0" showRowStripes="1" showColumnStripes="1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Table35678" displayName="Table35678" ref="B49:K57" totalsRowCount="1" headerRowDxfId="1972" dataDxfId="1971" totalsRowDxfId="1970">
  <autoFilter ref="B49:K56" xr:uid="{00000000-0009-0000-0100-000007000000}"/>
  <tableColumns count="10">
    <tableColumn id="1" xr3:uid="{00000000-0010-0000-0400-000001000000}" name="#" totalsRowLabel="Total" dataDxfId="1969" totalsRowDxfId="1968"/>
    <tableColumn id="2" xr3:uid="{00000000-0010-0000-0400-000002000000}" name="*Program Code" dataDxfId="1967" totalsRowDxfId="1966"/>
    <tableColumn id="3" xr3:uid="{00000000-0010-0000-0400-000003000000}" name="Program Description" dataDxfId="1965" totalsRowDxfId="1964">
      <calculatedColumnFormula>_xlfn.IFNA(INDEX(Program!A:A,MATCH(Table35678[[#This Row],[*Program Code]],Program!B:B,0)),"")</calculatedColumnFormula>
    </tableColumn>
    <tableColumn id="4" xr3:uid="{00000000-0010-0000-0400-000004000000}" name="*Purpose Of Travel" dataDxfId="1963" totalsRowDxfId="1962"/>
    <tableColumn id="5" xr3:uid="{00000000-0010-0000-0400-000005000000}" name="*No. Of Particpants" dataDxfId="1961" totalsRowDxfId="1960" dataCellStyle="Comma"/>
    <tableColumn id="6" xr3:uid="{00000000-0010-0000-0400-000006000000}" name="*Destination" dataDxfId="1959" totalsRowDxfId="1958"/>
    <tableColumn id="7" xr3:uid="{00000000-0010-0000-0400-000007000000}" name="*Expenditure Per Trip" dataDxfId="1957" totalsRowDxfId="1956" dataCellStyle="Comma"/>
    <tableColumn id="8" xr3:uid="{00000000-0010-0000-0400-000008000000}" name="*No. Of Trips" dataDxfId="1955" totalsRowDxfId="1954" dataCellStyle="Comma"/>
    <tableColumn id="9" xr3:uid="{00000000-0010-0000-0400-000009000000}" name="Total Expenditure" totalsRowFunction="sum" dataDxfId="1953" totalsRowDxfId="1952" dataCellStyle="Comma">
      <calculatedColumnFormula>Table35678[[#This Row],[*No. Of Trips]]*Table35678[[#This Row],[*Expenditure Per Trip]]</calculatedColumnFormula>
    </tableColumn>
    <tableColumn id="10" xr3:uid="{00000000-0010-0000-0400-00000A000000}" name="Justification" dataDxfId="1951" totalsRowDxfId="1950"/>
  </tableColumns>
  <tableStyleInfo name="TableStyleLight11" showFirstColumn="0" showLastColumn="0" showRowStripes="1" showColumnStripes="1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3" xr:uid="{00000000-000C-0000-FFFF-FFFF30000000}" name="Table310286591929394" displayName="Table310286591929394" ref="B49:K57" totalsRowCount="1" headerRowDxfId="937" dataDxfId="936" totalsRowDxfId="935">
  <autoFilter ref="B49:K56" xr:uid="{00000000-0009-0000-0100-00005D000000}"/>
  <tableColumns count="10">
    <tableColumn id="1" xr3:uid="{00000000-0010-0000-3000-000001000000}" name="#" totalsRowLabel="Total" dataDxfId="934" totalsRowDxfId="933"/>
    <tableColumn id="2" xr3:uid="{00000000-0010-0000-3000-000002000000}" name="*Program Code" dataDxfId="932" totalsRowDxfId="931"/>
    <tableColumn id="3" xr3:uid="{00000000-0010-0000-3000-000003000000}" name="Program Description" dataDxfId="930" totalsRowDxfId="929">
      <calculatedColumnFormula>_xlfn.IFNA(INDEX(Program!A:A,MATCH(Table310286591929394[[#This Row],[*Program Code]],Program!B:B,0)),"")</calculatedColumnFormula>
    </tableColumn>
    <tableColumn id="4" xr3:uid="{00000000-0010-0000-3000-000004000000}" name="*Item Description" dataDxfId="928" totalsRowDxfId="927"/>
    <tableColumn id="5" xr3:uid="{00000000-0010-0000-3000-000005000000}" name="Purpose" dataDxfId="926" totalsRowDxfId="925" dataCellStyle="Comma"/>
    <tableColumn id="6" xr3:uid="{00000000-0010-0000-3000-000006000000}" name="*Quantity" dataDxfId="924" totalsRowDxfId="923"/>
    <tableColumn id="7" xr3:uid="{00000000-0010-0000-3000-000007000000}" name="Unit of Measure" dataDxfId="922" totalsRowDxfId="921" dataCellStyle="Comma"/>
    <tableColumn id="8" xr3:uid="{00000000-0010-0000-3000-000008000000}" name="*Unit Price" dataDxfId="920" totalsRowDxfId="919" dataCellStyle="Comma"/>
    <tableColumn id="9" xr3:uid="{00000000-0010-0000-3000-000009000000}" name="Total Expenditure" totalsRowFunction="sum" dataDxfId="918" totalsRowDxfId="917" dataCellStyle="Comma">
      <calculatedColumnFormula>Table310286591929394[[#This Row],[*Unit Price]]*Table310286591929394[[#This Row],[*Quantity]]</calculatedColumnFormula>
    </tableColumn>
    <tableColumn id="10" xr3:uid="{00000000-0010-0000-3000-00000A000000}" name="Justification" dataDxfId="916" totalsRowDxfId="915"/>
  </tableColumns>
  <tableStyleInfo name="TableStyleLight11" showFirstColumn="0" showLastColumn="0" showRowStripes="1" showColumnStripes="1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4" xr:uid="{00000000-000C-0000-FFFF-FFFF31000000}" name="Table310286595" displayName="Table310286595" ref="B5:K13" totalsRowCount="1" headerRowDxfId="914" dataDxfId="913" totalsRowDxfId="912">
  <autoFilter ref="B5:K12" xr:uid="{00000000-0009-0000-0100-00005E000000}"/>
  <tableColumns count="10">
    <tableColumn id="1" xr3:uid="{00000000-0010-0000-3100-000001000000}" name="#" totalsRowLabel="Total" dataDxfId="911" totalsRowDxfId="910"/>
    <tableColumn id="2" xr3:uid="{00000000-0010-0000-3100-000002000000}" name="*Program Code" dataDxfId="909" totalsRowDxfId="908"/>
    <tableColumn id="3" xr3:uid="{00000000-0010-0000-3100-000003000000}" name="Program Description" dataDxfId="907" totalsRowDxfId="906">
      <calculatedColumnFormula>_xlfn.IFNA(INDEX(Program!A:A,MATCH(Table310286595[[#This Row],[*Program Code]],Program!B:B,0)),"")</calculatedColumnFormula>
    </tableColumn>
    <tableColumn id="4" xr3:uid="{00000000-0010-0000-3100-000004000000}" name="*Allowance Name" dataDxfId="905" totalsRowDxfId="904"/>
    <tableColumn id="5" xr3:uid="{00000000-0010-0000-3100-000005000000}" name="*Course Name" dataDxfId="903" totalsRowDxfId="902" dataCellStyle="Comma"/>
    <tableColumn id="6" xr3:uid="{00000000-0010-0000-3100-000006000000}" name="*No. of Participants" dataDxfId="901" totalsRowDxfId="900"/>
    <tableColumn id="7" xr3:uid="{00000000-0010-0000-3100-000007000000}" name="Unit of Measure" dataDxfId="899" totalsRowDxfId="898" dataCellStyle="Comma"/>
    <tableColumn id="8" xr3:uid="{00000000-0010-0000-3100-000008000000}" name="*Unit Price" dataDxfId="897" totalsRowDxfId="896" dataCellStyle="Comma"/>
    <tableColumn id="9" xr3:uid="{00000000-0010-0000-3100-000009000000}" name="Total Expenditure" totalsRowFunction="sum" dataDxfId="895" totalsRowDxfId="894" dataCellStyle="Comma">
      <calculatedColumnFormula>Table310286595[[#This Row],[*Unit Price]]*Table310286595[[#This Row],[*No. of Participants]]</calculatedColumnFormula>
    </tableColumn>
    <tableColumn id="10" xr3:uid="{00000000-0010-0000-3100-00000A000000}" name="Justification" dataDxfId="893" totalsRowDxfId="892"/>
  </tableColumns>
  <tableStyleInfo name="TableStyleLight11" showFirstColumn="0" showLastColumn="0" showRowStripes="1" showColumnStripes="1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9" xr:uid="{00000000-000C-0000-FFFF-FFFF32000000}" name="Table310286595100" displayName="Table310286595100" ref="B16:K24" totalsRowCount="1" headerRowDxfId="891" dataDxfId="890" totalsRowDxfId="889">
  <autoFilter ref="B16:K23" xr:uid="{00000000-0009-0000-0100-000063000000}"/>
  <tableColumns count="10">
    <tableColumn id="1" xr3:uid="{00000000-0010-0000-3200-000001000000}" name="#" totalsRowLabel="Total" dataDxfId="888" totalsRowDxfId="887"/>
    <tableColumn id="2" xr3:uid="{00000000-0010-0000-3200-000002000000}" name="*Program Code" dataDxfId="886" totalsRowDxfId="885"/>
    <tableColumn id="3" xr3:uid="{00000000-0010-0000-3200-000003000000}" name="Program Description" dataDxfId="884" totalsRowDxfId="883">
      <calculatedColumnFormula>_xlfn.IFNA(INDEX(Program!A:A,MATCH(Table310286595100[[#This Row],[*Program Code]],Program!B:B,0)),"")</calculatedColumnFormula>
    </tableColumn>
    <tableColumn id="4" xr3:uid="{00000000-0010-0000-3200-000004000000}" name="*Allowance Name" dataDxfId="882" totalsRowDxfId="881"/>
    <tableColumn id="5" xr3:uid="{00000000-0010-0000-3200-000005000000}" name="*Course Name" dataDxfId="880" totalsRowDxfId="879" dataCellStyle="Comma"/>
    <tableColumn id="6" xr3:uid="{00000000-0010-0000-3200-000006000000}" name="*No. of Participants" dataDxfId="878" totalsRowDxfId="877"/>
    <tableColumn id="7" xr3:uid="{00000000-0010-0000-3200-000007000000}" name="Unit of Measure" dataDxfId="876" totalsRowDxfId="875" dataCellStyle="Comma"/>
    <tableColumn id="8" xr3:uid="{00000000-0010-0000-3200-000008000000}" name="*Unit Price" dataDxfId="874" totalsRowDxfId="873" dataCellStyle="Comma"/>
    <tableColumn id="9" xr3:uid="{00000000-0010-0000-3200-000009000000}" name="Total Expenditure" totalsRowFunction="sum" dataDxfId="872" totalsRowDxfId="871" dataCellStyle="Comma">
      <calculatedColumnFormula>Table310286595100[[#This Row],[*Unit Price]]*Table310286595100[[#This Row],[*No. of Participants]]</calculatedColumnFormula>
    </tableColumn>
    <tableColumn id="10" xr3:uid="{00000000-0010-0000-3200-00000A000000}" name="Justification" dataDxfId="870" totalsRowDxfId="869"/>
  </tableColumns>
  <tableStyleInfo name="TableStyleLight11" showFirstColumn="0" showLastColumn="0" showRowStripes="1" showColumnStripes="1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0" xr:uid="{00000000-000C-0000-FFFF-FFFF33000000}" name="Table310286595100101" displayName="Table310286595100101" ref="B27:K35" totalsRowCount="1" headerRowDxfId="868" dataDxfId="867" totalsRowDxfId="866">
  <autoFilter ref="B27:K34" xr:uid="{00000000-0009-0000-0100-000064000000}"/>
  <tableColumns count="10">
    <tableColumn id="1" xr3:uid="{00000000-0010-0000-3300-000001000000}" name="#" totalsRowLabel="Total" dataDxfId="865" totalsRowDxfId="864"/>
    <tableColumn id="2" xr3:uid="{00000000-0010-0000-3300-000002000000}" name="*Program Code" dataDxfId="863" totalsRowDxfId="862"/>
    <tableColumn id="3" xr3:uid="{00000000-0010-0000-3300-000003000000}" name="Program Description" dataDxfId="861" totalsRowDxfId="860">
      <calculatedColumnFormula>_xlfn.IFNA(INDEX(Program!A:A,MATCH(Table310286595100101[[#This Row],[*Program Code]],Program!B:B,0)),"")</calculatedColumnFormula>
    </tableColumn>
    <tableColumn id="4" xr3:uid="{00000000-0010-0000-3300-000004000000}" name="*Allowance Name" dataDxfId="859" totalsRowDxfId="858"/>
    <tableColumn id="5" xr3:uid="{00000000-0010-0000-3300-000005000000}" name="*Workshop Name" dataDxfId="857" totalsRowDxfId="856" dataCellStyle="Comma"/>
    <tableColumn id="6" xr3:uid="{00000000-0010-0000-3300-000006000000}" name="*No. of Participants" dataDxfId="855" totalsRowDxfId="854"/>
    <tableColumn id="7" xr3:uid="{00000000-0010-0000-3300-000007000000}" name="Unit of Measure" dataDxfId="853" totalsRowDxfId="852" dataCellStyle="Comma"/>
    <tableColumn id="8" xr3:uid="{00000000-0010-0000-3300-000008000000}" name="*Unit Price" dataDxfId="851" totalsRowDxfId="850" dataCellStyle="Comma"/>
    <tableColumn id="9" xr3:uid="{00000000-0010-0000-3300-000009000000}" name="Total Expenditure" totalsRowFunction="sum" dataDxfId="849" totalsRowDxfId="848" dataCellStyle="Comma">
      <calculatedColumnFormula>Table310286595100101[[#This Row],[*Unit Price]]*Table310286595100101[[#This Row],[*No. of Participants]]</calculatedColumnFormula>
    </tableColumn>
    <tableColumn id="10" xr3:uid="{00000000-0010-0000-3300-00000A000000}" name="Justification" dataDxfId="847" totalsRowDxfId="846"/>
  </tableColumns>
  <tableStyleInfo name="TableStyleLight11" showFirstColumn="0" showLastColumn="0" showRowStripes="1" showColumnStripes="1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1" xr:uid="{00000000-000C-0000-FFFF-FFFF34000000}" name="Table310286595100101102" displayName="Table310286595100101102" ref="B38:K46" totalsRowCount="1" headerRowDxfId="845" dataDxfId="844" totalsRowDxfId="843">
  <autoFilter ref="B38:K45" xr:uid="{00000000-0009-0000-0100-000065000000}"/>
  <tableColumns count="10">
    <tableColumn id="1" xr3:uid="{00000000-0010-0000-3400-000001000000}" name="#" totalsRowLabel="Total" dataDxfId="842" totalsRowDxfId="841"/>
    <tableColumn id="2" xr3:uid="{00000000-0010-0000-3400-000002000000}" name="*Program Code" dataDxfId="840" totalsRowDxfId="839"/>
    <tableColumn id="3" xr3:uid="{00000000-0010-0000-3400-000003000000}" name="Program Description" dataDxfId="838" totalsRowDxfId="837">
      <calculatedColumnFormula>_xlfn.IFNA(INDEX(Program!A:A,MATCH(Table310286595100101102[[#This Row],[*Program Code]],Program!B:B,0)),"")</calculatedColumnFormula>
    </tableColumn>
    <tableColumn id="4" xr3:uid="{00000000-0010-0000-3400-000004000000}" name="*Allowance Name" dataDxfId="836" totalsRowDxfId="835"/>
    <tableColumn id="5" xr3:uid="{00000000-0010-0000-3400-000005000000}" name="*Course Name" dataDxfId="834" totalsRowDxfId="833" dataCellStyle="Comma"/>
    <tableColumn id="6" xr3:uid="{00000000-0010-0000-3400-000006000000}" name="*No. of Participants" dataDxfId="832" totalsRowDxfId="831"/>
    <tableColumn id="7" xr3:uid="{00000000-0010-0000-3400-000007000000}" name="Unit of Measure" dataDxfId="830" totalsRowDxfId="829" dataCellStyle="Comma"/>
    <tableColumn id="8" xr3:uid="{00000000-0010-0000-3400-000008000000}" name="*Unit Price" dataDxfId="828" totalsRowDxfId="827" dataCellStyle="Comma"/>
    <tableColumn id="9" xr3:uid="{00000000-0010-0000-3400-000009000000}" name="Total Expenditure" totalsRowFunction="sum" dataDxfId="826" totalsRowDxfId="825" dataCellStyle="Comma">
      <calculatedColumnFormula>Table310286595100101102[[#This Row],[*Unit Price]]*Table310286595100101102[[#This Row],[*No. of Participants]]</calculatedColumnFormula>
    </tableColumn>
    <tableColumn id="10" xr3:uid="{00000000-0010-0000-3400-00000A000000}" name="Justification" dataDxfId="824" totalsRowDxfId="823"/>
  </tableColumns>
  <tableStyleInfo name="TableStyleLight11" showFirstColumn="0" showLastColumn="0" showRowStripes="1" showColumnStripes="1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2" xr:uid="{00000000-000C-0000-FFFF-FFFF35000000}" name="Table310286595100101102103" displayName="Table310286595100101102103" ref="B49:K57" totalsRowCount="1" headerRowDxfId="822" dataDxfId="821" totalsRowDxfId="820">
  <autoFilter ref="B49:K56" xr:uid="{00000000-0009-0000-0100-000066000000}"/>
  <tableColumns count="10">
    <tableColumn id="1" xr3:uid="{00000000-0010-0000-3500-000001000000}" name="#" totalsRowLabel="Total" dataDxfId="819" totalsRowDxfId="818"/>
    <tableColumn id="2" xr3:uid="{00000000-0010-0000-3500-000002000000}" name="*Program Code" dataDxfId="817" totalsRowDxfId="816"/>
    <tableColumn id="3" xr3:uid="{00000000-0010-0000-3500-000003000000}" name="Program Description" dataDxfId="815" totalsRowDxfId="814">
      <calculatedColumnFormula>_xlfn.IFNA(INDEX(Program!A:A,MATCH(Table310286595100101102103[[#This Row],[*Program Code]],Program!B:B,0)),"")</calculatedColumnFormula>
    </tableColumn>
    <tableColumn id="4" xr3:uid="{00000000-0010-0000-3500-000004000000}" name="*Course Name" dataDxfId="813" totalsRowDxfId="812"/>
    <tableColumn id="5" xr3:uid="{00000000-0010-0000-3500-000005000000}" name="Type of Expense" dataDxfId="811" totalsRowDxfId="810" dataCellStyle="Comma"/>
    <tableColumn id="6" xr3:uid="{00000000-0010-0000-3500-000006000000}" name="*No. of Participants" dataDxfId="809" totalsRowDxfId="808"/>
    <tableColumn id="7" xr3:uid="{00000000-0010-0000-3500-000007000000}" name="Unit of Measure" dataDxfId="807" totalsRowDxfId="806" dataCellStyle="Comma"/>
    <tableColumn id="8" xr3:uid="{00000000-0010-0000-3500-000008000000}" name="*Unit Price" dataDxfId="805" totalsRowDxfId="804" dataCellStyle="Comma"/>
    <tableColumn id="9" xr3:uid="{00000000-0010-0000-3500-000009000000}" name="Total Expenditure" totalsRowFunction="sum" dataDxfId="803" totalsRowDxfId="802" dataCellStyle="Comma">
      <calculatedColumnFormula>Table310286595100101102103[[#This Row],[*Unit Price]]*Table310286595100101102103[[#This Row],[*No. of Participants]]</calculatedColumnFormula>
    </tableColumn>
    <tableColumn id="10" xr3:uid="{00000000-0010-0000-3500-00000A000000}" name="Justification" dataDxfId="801" totalsRowDxfId="800"/>
  </tableColumns>
  <tableStyleInfo name="TableStyleLight11" showFirstColumn="0" showLastColumn="0" showRowStripes="1" showColumnStripes="1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3" xr:uid="{00000000-000C-0000-FFFF-FFFF36000000}" name="Table310286595100101102103104" displayName="Table310286595100101102103104" ref="B60:K68" totalsRowCount="1" headerRowDxfId="799" dataDxfId="798" totalsRowDxfId="797">
  <autoFilter ref="B60:K67" xr:uid="{00000000-0009-0000-0100-000067000000}"/>
  <tableColumns count="10">
    <tableColumn id="1" xr3:uid="{00000000-0010-0000-3600-000001000000}" name="#" totalsRowLabel="Total" dataDxfId="796" totalsRowDxfId="795"/>
    <tableColumn id="2" xr3:uid="{00000000-0010-0000-3600-000002000000}" name="*Program Code" dataDxfId="794" totalsRowDxfId="793"/>
    <tableColumn id="3" xr3:uid="{00000000-0010-0000-3600-000003000000}" name="Program Description" dataDxfId="792" totalsRowDxfId="791">
      <calculatedColumnFormula>_xlfn.IFNA(INDEX(Program!A:A,MATCH(Table310286595100101102103104[[#This Row],[*Program Code]],Program!B:B,0)),"")</calculatedColumnFormula>
    </tableColumn>
    <tableColumn id="4" xr3:uid="{00000000-0010-0000-3600-000004000000}" name="*Allowance Name" dataDxfId="790" totalsRowDxfId="789"/>
    <tableColumn id="5" xr3:uid="{00000000-0010-0000-3600-000005000000}" name="*Training Name" dataDxfId="788" totalsRowDxfId="787" dataCellStyle="Comma"/>
    <tableColumn id="6" xr3:uid="{00000000-0010-0000-3600-000006000000}" name="*No. of Staff" dataDxfId="786" totalsRowDxfId="785"/>
    <tableColumn id="7" xr3:uid="{00000000-0010-0000-3600-000007000000}" name="Unit of Measure" dataDxfId="784" totalsRowDxfId="783" dataCellStyle="Comma"/>
    <tableColumn id="8" xr3:uid="{00000000-0010-0000-3600-000008000000}" name="*Unit Price" dataDxfId="782" totalsRowDxfId="781" dataCellStyle="Comma"/>
    <tableColumn id="9" xr3:uid="{00000000-0010-0000-3600-000009000000}" name="Total Expenditure" totalsRowFunction="sum" dataDxfId="780" totalsRowDxfId="779" dataCellStyle="Comma">
      <calculatedColumnFormula>Table310286595100101102103104[[#This Row],[*Unit Price]]*Table310286595100101102103104[[#This Row],[*No. of Staff]]</calculatedColumnFormula>
    </tableColumn>
    <tableColumn id="10" xr3:uid="{00000000-0010-0000-3600-00000A000000}" name="Justification" dataDxfId="778" totalsRowDxfId="777"/>
  </tableColumns>
  <tableStyleInfo name="TableStyleLight11" showFirstColumn="0" showLastColumn="0" showRowStripes="1" showColumnStripes="1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4" xr:uid="{00000000-000C-0000-FFFF-FFFF37000000}" name="Table310286595105" displayName="Table310286595105" ref="B5:J13" totalsRowCount="1" headerRowDxfId="776" dataDxfId="775" totalsRowDxfId="774">
  <autoFilter ref="B5:J12" xr:uid="{00000000-0009-0000-0100-000068000000}"/>
  <tableColumns count="9">
    <tableColumn id="1" xr3:uid="{00000000-0010-0000-3700-000001000000}" name="#" totalsRowLabel="Total" dataDxfId="773" totalsRowDxfId="772"/>
    <tableColumn id="2" xr3:uid="{00000000-0010-0000-3700-000002000000}" name="*Program Code" dataDxfId="771" totalsRowDxfId="770"/>
    <tableColumn id="3" xr3:uid="{00000000-0010-0000-3700-000003000000}" name="Program Description" dataDxfId="769" totalsRowDxfId="768">
      <calculatedColumnFormula>_xlfn.IFNA(INDEX(Program!A:A,MATCH(Table310286595105[[#This Row],[*Program Code]],Program!B:B,0)),"")</calculatedColumnFormula>
    </tableColumn>
    <tableColumn id="4" xr3:uid="{00000000-0010-0000-3700-000004000000}" name="*Description" dataDxfId="767" totalsRowDxfId="766"/>
    <tableColumn id="5" xr3:uid="{00000000-0010-0000-3700-000005000000}" name="*Location" dataDxfId="765" totalsRowDxfId="764" dataCellStyle="Comma"/>
    <tableColumn id="6" xr3:uid="{00000000-0010-0000-3700-000006000000}" name="*Quantity" dataDxfId="763" totalsRowDxfId="762"/>
    <tableColumn id="8" xr3:uid="{00000000-0010-0000-3700-000008000000}" name="*Price" dataDxfId="761" totalsRowDxfId="760" dataCellStyle="Comma"/>
    <tableColumn id="9" xr3:uid="{00000000-0010-0000-3700-000009000000}" name="Total Expenditure" totalsRowFunction="sum" dataDxfId="759" totalsRowDxfId="758" dataCellStyle="Comma">
      <calculatedColumnFormula>Table310286595105[[#This Row],[*Price]]*Table310286595105[[#This Row],[*Quantity]]</calculatedColumnFormula>
    </tableColumn>
    <tableColumn id="10" xr3:uid="{00000000-0010-0000-3700-00000A000000}" name="Justification" dataDxfId="757" totalsRowDxfId="756"/>
  </tableColumns>
  <tableStyleInfo name="TableStyleLight11" showFirstColumn="0" showLastColumn="0" showRowStripes="1" showColumnStripes="1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0" xr:uid="{00000000-000C-0000-FFFF-FFFF38000000}" name="Table310286595105111" displayName="Table310286595105111" ref="B16:J24" totalsRowCount="1" headerRowDxfId="755" dataDxfId="754" totalsRowDxfId="753">
  <autoFilter ref="B16:J23" xr:uid="{00000000-0009-0000-0100-00006E000000}"/>
  <tableColumns count="9">
    <tableColumn id="1" xr3:uid="{00000000-0010-0000-3800-000001000000}" name="#" totalsRowLabel="Total" dataDxfId="752" totalsRowDxfId="751"/>
    <tableColumn id="2" xr3:uid="{00000000-0010-0000-3800-000002000000}" name="*Program Code" dataDxfId="750" totalsRowDxfId="749"/>
    <tableColumn id="3" xr3:uid="{00000000-0010-0000-3800-000003000000}" name="Program Description" dataDxfId="748" totalsRowDxfId="747">
      <calculatedColumnFormula>_xlfn.IFNA(INDEX(Program!A:A,MATCH(Table310286595105111[[#This Row],[*Program Code]],Program!B:B,0)),"")</calculatedColumnFormula>
    </tableColumn>
    <tableColumn id="4" xr3:uid="{00000000-0010-0000-3800-000004000000}" name="*Description" dataDxfId="746" totalsRowDxfId="745"/>
    <tableColumn id="5" xr3:uid="{00000000-0010-0000-3800-000005000000}" name="*Location" dataDxfId="744" totalsRowDxfId="743" dataCellStyle="Comma"/>
    <tableColumn id="6" xr3:uid="{00000000-0010-0000-3800-000006000000}" name="*Quantity" dataDxfId="742" totalsRowDxfId="741"/>
    <tableColumn id="8" xr3:uid="{00000000-0010-0000-3800-000008000000}" name="*Price" dataDxfId="740" totalsRowDxfId="739" dataCellStyle="Comma"/>
    <tableColumn id="9" xr3:uid="{00000000-0010-0000-3800-000009000000}" name="Total Expenditure" totalsRowFunction="sum" dataDxfId="738" totalsRowDxfId="737" dataCellStyle="Comma">
      <calculatedColumnFormula>Table310286595105111[[#This Row],[*Price]]*Table310286595105111[[#This Row],[*Quantity]]</calculatedColumnFormula>
    </tableColumn>
    <tableColumn id="10" xr3:uid="{00000000-0010-0000-3800-00000A000000}" name="Justification" dataDxfId="736" totalsRowDxfId="735"/>
  </tableColumns>
  <tableStyleInfo name="TableStyleLight11" showFirstColumn="0" showLastColumn="0" showRowStripes="1" showColumnStripes="1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1" xr:uid="{00000000-000C-0000-FFFF-FFFF39000000}" name="Table310286595105111112" displayName="Table310286595105111112" ref="B27:J35" totalsRowCount="1" headerRowDxfId="734" dataDxfId="733" totalsRowDxfId="732">
  <autoFilter ref="B27:J34" xr:uid="{00000000-0009-0000-0100-00006F000000}"/>
  <tableColumns count="9">
    <tableColumn id="1" xr3:uid="{00000000-0010-0000-3900-000001000000}" name="#" totalsRowLabel="Total" dataDxfId="731" totalsRowDxfId="730"/>
    <tableColumn id="2" xr3:uid="{00000000-0010-0000-3900-000002000000}" name="*Program Code" dataDxfId="729" totalsRowDxfId="728"/>
    <tableColumn id="3" xr3:uid="{00000000-0010-0000-3900-000003000000}" name="Program Description" dataDxfId="727" totalsRowDxfId="726">
      <calculatedColumnFormula>_xlfn.IFNA(INDEX(Program!A:A,MATCH(Table310286595105111112[[#This Row],[*Program Code]],Program!B:B,0)),"")</calculatedColumnFormula>
    </tableColumn>
    <tableColumn id="4" xr3:uid="{00000000-0010-0000-3900-000004000000}" name="*Description" dataDxfId="725" totalsRowDxfId="724"/>
    <tableColumn id="5" xr3:uid="{00000000-0010-0000-3900-000005000000}" name="*Location" dataDxfId="723" totalsRowDxfId="722" dataCellStyle="Comma"/>
    <tableColumn id="6" xr3:uid="{00000000-0010-0000-3900-000006000000}" name="*Quantity" dataDxfId="721" totalsRowDxfId="720"/>
    <tableColumn id="8" xr3:uid="{00000000-0010-0000-3900-000008000000}" name="*Price" dataDxfId="719" totalsRowDxfId="718" dataCellStyle="Comma"/>
    <tableColumn id="9" xr3:uid="{00000000-0010-0000-3900-000009000000}" name="Total Expenditure" totalsRowFunction="sum" dataDxfId="717" totalsRowDxfId="716" dataCellStyle="Comma">
      <calculatedColumnFormula>Table310286595105111112[[#This Row],[*Price]]*Table310286595105111112[[#This Row],[*Quantity]]</calculatedColumnFormula>
    </tableColumn>
    <tableColumn id="10" xr3:uid="{00000000-0010-0000-3900-00000A000000}" name="Justification" dataDxfId="715" totalsRowDxfId="714"/>
  </tableColumns>
  <tableStyleInfo name="TableStyleLight11" showFirstColumn="0" showLastColumn="0" showRowStripes="1" showColumnStripes="1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5000000}" name="Table356789" displayName="Table356789" ref="B60:K68" totalsRowCount="1" headerRowDxfId="1949" dataDxfId="1948" totalsRowDxfId="1947">
  <autoFilter ref="B60:K67" xr:uid="{00000000-0009-0000-0100-000008000000}"/>
  <tableColumns count="10">
    <tableColumn id="1" xr3:uid="{00000000-0010-0000-0500-000001000000}" name="#" totalsRowLabel="Total" dataDxfId="1946" totalsRowDxfId="1945"/>
    <tableColumn id="2" xr3:uid="{00000000-0010-0000-0500-000002000000}" name="*Program Code" dataDxfId="1944" totalsRowDxfId="1943"/>
    <tableColumn id="3" xr3:uid="{00000000-0010-0000-0500-000003000000}" name="Program Description" dataDxfId="1942" totalsRowDxfId="1941">
      <calculatedColumnFormula>_xlfn.IFNA(INDEX(Program!A:A,MATCH(Table356789[[#This Row],[*Program Code]],Program!B:B,0)),"")</calculatedColumnFormula>
    </tableColumn>
    <tableColumn id="4" xr3:uid="{00000000-0010-0000-0500-000004000000}" name="*Purpose Of Travel" dataDxfId="1940" totalsRowDxfId="1939"/>
    <tableColumn id="5" xr3:uid="{00000000-0010-0000-0500-000005000000}" name="*No. Of Particpants" dataDxfId="1938" totalsRowDxfId="1937" dataCellStyle="Comma"/>
    <tableColumn id="6" xr3:uid="{00000000-0010-0000-0500-000006000000}" name="*Destination" dataDxfId="1936" totalsRowDxfId="1935"/>
    <tableColumn id="7" xr3:uid="{00000000-0010-0000-0500-000007000000}" name="*Expenditure Per Trip" dataDxfId="1934" totalsRowDxfId="1933" dataCellStyle="Comma"/>
    <tableColumn id="8" xr3:uid="{00000000-0010-0000-0500-000008000000}" name="*No. Of Trips" dataDxfId="1932" totalsRowDxfId="1931" dataCellStyle="Comma"/>
    <tableColumn id="9" xr3:uid="{00000000-0010-0000-0500-000009000000}" name="Total Expenditure" totalsRowFunction="sum" dataDxfId="1930" totalsRowDxfId="1929" dataCellStyle="Comma">
      <calculatedColumnFormula>Table356789[[#This Row],[*No. Of Trips]]*Table356789[[#This Row],[*Expenditure Per Trip]]</calculatedColumnFormula>
    </tableColumn>
    <tableColumn id="10" xr3:uid="{00000000-0010-0000-0500-00000A000000}" name="Justification" dataDxfId="1928" totalsRowDxfId="1927"/>
  </tableColumns>
  <tableStyleInfo name="TableStyleLight11" showFirstColumn="0" showLastColumn="0" showRowStripes="1" showColumnStripes="1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2" xr:uid="{00000000-000C-0000-FFFF-FFFF3A000000}" name="Table310286595105111112113" displayName="Table310286595105111112113" ref="B38:J46" totalsRowCount="1" headerRowDxfId="713" dataDxfId="712" totalsRowDxfId="711">
  <autoFilter ref="B38:J45" xr:uid="{00000000-0009-0000-0100-000070000000}"/>
  <tableColumns count="9">
    <tableColumn id="1" xr3:uid="{00000000-0010-0000-3A00-000001000000}" name="#" totalsRowLabel="Total" dataDxfId="710" totalsRowDxfId="709"/>
    <tableColumn id="2" xr3:uid="{00000000-0010-0000-3A00-000002000000}" name="*Program Code" dataDxfId="708" totalsRowDxfId="707"/>
    <tableColumn id="3" xr3:uid="{00000000-0010-0000-3A00-000003000000}" name="Program Description" dataDxfId="706" totalsRowDxfId="705">
      <calculatedColumnFormula>_xlfn.IFNA(INDEX(Program!A:A,MATCH(Table310286595105111112113[[#This Row],[*Program Code]],Program!B:B,0)),"")</calculatedColumnFormula>
    </tableColumn>
    <tableColumn id="4" xr3:uid="{00000000-0010-0000-3A00-000004000000}" name="*Description" dataDxfId="704" totalsRowDxfId="703"/>
    <tableColumn id="5" xr3:uid="{00000000-0010-0000-3A00-000005000000}" name="*Location" dataDxfId="702" totalsRowDxfId="701" dataCellStyle="Comma"/>
    <tableColumn id="6" xr3:uid="{00000000-0010-0000-3A00-000006000000}" name="*Quantity" dataDxfId="700" totalsRowDxfId="699"/>
    <tableColumn id="8" xr3:uid="{00000000-0010-0000-3A00-000008000000}" name="*Price" dataDxfId="698" totalsRowDxfId="697" dataCellStyle="Comma"/>
    <tableColumn id="9" xr3:uid="{00000000-0010-0000-3A00-000009000000}" name="Total Expenditure" totalsRowFunction="sum" dataDxfId="696" totalsRowDxfId="695" dataCellStyle="Comma">
      <calculatedColumnFormula>Table310286595105111112113[[#This Row],[*Price]]*Table310286595105111112113[[#This Row],[*Quantity]]</calculatedColumnFormula>
    </tableColumn>
    <tableColumn id="10" xr3:uid="{00000000-0010-0000-3A00-00000A000000}" name="Justification" dataDxfId="694" totalsRowDxfId="693"/>
  </tableColumns>
  <tableStyleInfo name="TableStyleLight11" showFirstColumn="0" showLastColumn="0" showRowStripes="1" showColumnStripes="1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3" xr:uid="{00000000-000C-0000-FFFF-FFFF3B000000}" name="Table310286595105111112113114" displayName="Table310286595105111112113114" ref="B49:J57" totalsRowCount="1" headerRowDxfId="692" dataDxfId="691" totalsRowDxfId="690">
  <autoFilter ref="B49:J56" xr:uid="{00000000-0009-0000-0100-000071000000}"/>
  <tableColumns count="9">
    <tableColumn id="1" xr3:uid="{00000000-0010-0000-3B00-000001000000}" name="#" totalsRowLabel="Total" dataDxfId="689" totalsRowDxfId="688"/>
    <tableColumn id="2" xr3:uid="{00000000-0010-0000-3B00-000002000000}" name="*Program Code" dataDxfId="687" totalsRowDxfId="686"/>
    <tableColumn id="3" xr3:uid="{00000000-0010-0000-3B00-000003000000}" name="Program Description" dataDxfId="685" totalsRowDxfId="684">
      <calculatedColumnFormula>_xlfn.IFNA(INDEX(Program!A:A,MATCH(Table310286595105111112113114[[#This Row],[*Program Code]],Program!B:B,0)),"")</calculatedColumnFormula>
    </tableColumn>
    <tableColumn id="4" xr3:uid="{00000000-0010-0000-3B00-000004000000}" name="*Description" dataDxfId="683" totalsRowDxfId="682"/>
    <tableColumn id="5" xr3:uid="{00000000-0010-0000-3B00-000005000000}" name="*Location" dataDxfId="681" totalsRowDxfId="680" dataCellStyle="Comma"/>
    <tableColumn id="6" xr3:uid="{00000000-0010-0000-3B00-000006000000}" name="*Quantity" dataDxfId="679" totalsRowDxfId="678"/>
    <tableColumn id="8" xr3:uid="{00000000-0010-0000-3B00-000008000000}" name="*Price" dataDxfId="677" totalsRowDxfId="676" dataCellStyle="Comma"/>
    <tableColumn id="9" xr3:uid="{00000000-0010-0000-3B00-000009000000}" name="Total Expenditure" totalsRowFunction="sum" dataDxfId="675" totalsRowDxfId="674" dataCellStyle="Comma">
      <calculatedColumnFormula>Table310286595105111112113114[[#This Row],[*Price]]*Table310286595105111112113114[[#This Row],[*Quantity]]</calculatedColumnFormula>
    </tableColumn>
    <tableColumn id="10" xr3:uid="{00000000-0010-0000-3B00-00000A000000}" name="Justification" dataDxfId="673" totalsRowDxfId="672"/>
  </tableColumns>
  <tableStyleInfo name="TableStyleLight11" showFirstColumn="0" showLastColumn="0" showRowStripes="1" showColumnStripes="1"/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4" xr:uid="{00000000-000C-0000-FFFF-FFFF3C000000}" name="Table310286595105111112113114115" displayName="Table310286595105111112113114115" ref="B60:J68" totalsRowCount="1" headerRowDxfId="671" dataDxfId="670" totalsRowDxfId="669">
  <autoFilter ref="B60:J67" xr:uid="{00000000-0009-0000-0100-000072000000}"/>
  <tableColumns count="9">
    <tableColumn id="1" xr3:uid="{00000000-0010-0000-3C00-000001000000}" name="#" totalsRowLabel="Total" dataDxfId="668" totalsRowDxfId="667"/>
    <tableColumn id="2" xr3:uid="{00000000-0010-0000-3C00-000002000000}" name="*Program Code" dataDxfId="666" totalsRowDxfId="665"/>
    <tableColumn id="3" xr3:uid="{00000000-0010-0000-3C00-000003000000}" name="Program Description" dataDxfId="664" totalsRowDxfId="663">
      <calculatedColumnFormula>_xlfn.IFNA(INDEX(Program!A:A,MATCH(Table310286595105111112113114115[[#This Row],[*Program Code]],Program!B:B,0)),"")</calculatedColumnFormula>
    </tableColumn>
    <tableColumn id="4" xr3:uid="{00000000-0010-0000-3C00-000004000000}" name="*Description" dataDxfId="662" totalsRowDxfId="661"/>
    <tableColumn id="5" xr3:uid="{00000000-0010-0000-3C00-000005000000}" name="*Location" dataDxfId="660" totalsRowDxfId="659" dataCellStyle="Comma"/>
    <tableColumn id="6" xr3:uid="{00000000-0010-0000-3C00-000006000000}" name="*Quantity" dataDxfId="658" totalsRowDxfId="657"/>
    <tableColumn id="8" xr3:uid="{00000000-0010-0000-3C00-000008000000}" name="*Price" dataDxfId="656" totalsRowDxfId="655" dataCellStyle="Comma"/>
    <tableColumn id="9" xr3:uid="{00000000-0010-0000-3C00-000009000000}" name="Total Expenditure" totalsRowFunction="sum" dataDxfId="654" totalsRowDxfId="653" dataCellStyle="Comma">
      <calculatedColumnFormula>Table310286595105111112113114115[[#This Row],[*Price]]*Table310286595105111112113114115[[#This Row],[*Quantity]]</calculatedColumnFormula>
    </tableColumn>
    <tableColumn id="10" xr3:uid="{00000000-0010-0000-3C00-00000A000000}" name="Justification" dataDxfId="652" totalsRowDxfId="651"/>
  </tableColumns>
  <tableStyleInfo name="TableStyleLight11" showFirstColumn="0" showLastColumn="0" showRowStripes="1" showColumnStripes="1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5" xr:uid="{00000000-000C-0000-FFFF-FFFF3D000000}" name="Table310286595105111112113114115116" displayName="Table310286595105111112113114115116" ref="B71:J79" totalsRowCount="1" headerRowDxfId="650" dataDxfId="649" totalsRowDxfId="648">
  <autoFilter ref="B71:J78" xr:uid="{00000000-0009-0000-0100-000073000000}"/>
  <tableColumns count="9">
    <tableColumn id="1" xr3:uid="{00000000-0010-0000-3D00-000001000000}" name="#" totalsRowLabel="Total" dataDxfId="647" totalsRowDxfId="646"/>
    <tableColumn id="2" xr3:uid="{00000000-0010-0000-3D00-000002000000}" name="*Program Code" dataDxfId="645" totalsRowDxfId="644"/>
    <tableColumn id="3" xr3:uid="{00000000-0010-0000-3D00-000003000000}" name="Program Description" dataDxfId="643" totalsRowDxfId="642">
      <calculatedColumnFormula>_xlfn.IFNA(INDEX(Program!A:A,MATCH(Table310286595105111112113114115116[[#This Row],[*Program Code]],Program!B:B,0)),"")</calculatedColumnFormula>
    </tableColumn>
    <tableColumn id="4" xr3:uid="{00000000-0010-0000-3D00-000004000000}" name="*Description" dataDxfId="641" totalsRowDxfId="640"/>
    <tableColumn id="5" xr3:uid="{00000000-0010-0000-3D00-000005000000}" name="*Location" dataDxfId="639" totalsRowDxfId="638" dataCellStyle="Comma"/>
    <tableColumn id="6" xr3:uid="{00000000-0010-0000-3D00-000006000000}" name="*Quantity" dataDxfId="637" totalsRowDxfId="636"/>
    <tableColumn id="8" xr3:uid="{00000000-0010-0000-3D00-000008000000}" name="*Price" dataDxfId="635" totalsRowDxfId="634" dataCellStyle="Comma"/>
    <tableColumn id="9" xr3:uid="{00000000-0010-0000-3D00-000009000000}" name="Total Expenditure" totalsRowFunction="sum" dataDxfId="633" totalsRowDxfId="632" dataCellStyle="Comma">
      <calculatedColumnFormula>Table310286595105111112113114115116[[#This Row],[*Price]]*Table310286595105111112113114115116[[#This Row],[*Quantity]]</calculatedColumnFormula>
    </tableColumn>
    <tableColumn id="10" xr3:uid="{00000000-0010-0000-3D00-00000A000000}" name="Justification" dataDxfId="631" totalsRowDxfId="630"/>
  </tableColumns>
  <tableStyleInfo name="TableStyleLight11" showFirstColumn="0" showLastColumn="0" showRowStripes="1" showColumnStripes="1"/>
</table>
</file>

<file path=xl/tables/table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6" xr:uid="{00000000-000C-0000-FFFF-FFFF3E000000}" name="Table310286595105111112113114115116117" displayName="Table310286595105111112113114115116117" ref="B82:J90" totalsRowCount="1" headerRowDxfId="629" dataDxfId="628" totalsRowDxfId="627">
  <autoFilter ref="B82:J89" xr:uid="{00000000-0009-0000-0100-000074000000}"/>
  <tableColumns count="9">
    <tableColumn id="1" xr3:uid="{00000000-0010-0000-3E00-000001000000}" name="#" totalsRowLabel="Total" dataDxfId="626" totalsRowDxfId="625"/>
    <tableColumn id="2" xr3:uid="{00000000-0010-0000-3E00-000002000000}" name="*Program Code" dataDxfId="624" totalsRowDxfId="623"/>
    <tableColumn id="3" xr3:uid="{00000000-0010-0000-3E00-000003000000}" name="Program Description" dataDxfId="622" totalsRowDxfId="621">
      <calculatedColumnFormula>_xlfn.IFNA(INDEX(Program!A:A,MATCH(Table310286595105111112113114115116117[[#This Row],[*Program Code]],Program!B:B,0)),"")</calculatedColumnFormula>
    </tableColumn>
    <tableColumn id="4" xr3:uid="{00000000-0010-0000-3E00-000004000000}" name="*Description" dataDxfId="620" totalsRowDxfId="619"/>
    <tableColumn id="5" xr3:uid="{00000000-0010-0000-3E00-000005000000}" name="*Location" dataDxfId="618" totalsRowDxfId="617" dataCellStyle="Comma"/>
    <tableColumn id="6" xr3:uid="{00000000-0010-0000-3E00-000006000000}" name="*Quantity" dataDxfId="616" totalsRowDxfId="615"/>
    <tableColumn id="8" xr3:uid="{00000000-0010-0000-3E00-000008000000}" name="*Price" dataDxfId="614" totalsRowDxfId="613" dataCellStyle="Comma"/>
    <tableColumn id="9" xr3:uid="{00000000-0010-0000-3E00-000009000000}" name="Total Expenditure" totalsRowFunction="sum" dataDxfId="612" totalsRowDxfId="611" dataCellStyle="Comma">
      <calculatedColumnFormula>Table310286595105111112113114115116117[[#This Row],[*Price]]*Table310286595105111112113114115116117[[#This Row],[*Quantity]]</calculatedColumnFormula>
    </tableColumn>
    <tableColumn id="10" xr3:uid="{00000000-0010-0000-3E00-00000A000000}" name="Justification" dataDxfId="610" totalsRowDxfId="609"/>
  </tableColumns>
  <tableStyleInfo name="TableStyleLight11" showFirstColumn="0" showLastColumn="0" showRowStripes="1" showColumnStripes="1"/>
</table>
</file>

<file path=xl/tables/table6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7" xr:uid="{00000000-000C-0000-FFFF-FFFF3F000000}" name="Table310286595105111112113114115116117118" displayName="Table310286595105111112113114115116117118" ref="B93:J101" totalsRowCount="1" headerRowDxfId="608" dataDxfId="607" totalsRowDxfId="606">
  <autoFilter ref="B93:J100" xr:uid="{00000000-0009-0000-0100-000075000000}"/>
  <tableColumns count="9">
    <tableColumn id="1" xr3:uid="{00000000-0010-0000-3F00-000001000000}" name="#" totalsRowLabel="Total" dataDxfId="605" totalsRowDxfId="604"/>
    <tableColumn id="2" xr3:uid="{00000000-0010-0000-3F00-000002000000}" name="*Program Code" dataDxfId="603" totalsRowDxfId="602"/>
    <tableColumn id="3" xr3:uid="{00000000-0010-0000-3F00-000003000000}" name="Program Description" dataDxfId="601" totalsRowDxfId="600">
      <calculatedColumnFormula>_xlfn.IFNA(INDEX(Program!A:A,MATCH(Table310286595105111112113114115116117118[[#This Row],[*Program Code]],Program!B:B,0)),"")</calculatedColumnFormula>
    </tableColumn>
    <tableColumn id="4" xr3:uid="{00000000-0010-0000-3F00-000004000000}" name="*Description" dataDxfId="599" totalsRowDxfId="598"/>
    <tableColumn id="5" xr3:uid="{00000000-0010-0000-3F00-000005000000}" name="*Location" dataDxfId="597" totalsRowDxfId="596" dataCellStyle="Comma"/>
    <tableColumn id="6" xr3:uid="{00000000-0010-0000-3F00-000006000000}" name="*Quantity" dataDxfId="595" totalsRowDxfId="594"/>
    <tableColumn id="8" xr3:uid="{00000000-0010-0000-3F00-000008000000}" name="*Price" dataDxfId="593" totalsRowDxfId="592" dataCellStyle="Comma"/>
    <tableColumn id="9" xr3:uid="{00000000-0010-0000-3F00-000009000000}" name="Total Expenditure" totalsRowFunction="sum" dataDxfId="591" totalsRowDxfId="590" dataCellStyle="Comma">
      <calculatedColumnFormula>Table310286595105111112113114115116117118[[#This Row],[*Price]]*Table310286595105111112113114115116117118[[#This Row],[*Quantity]]</calculatedColumnFormula>
    </tableColumn>
    <tableColumn id="10" xr3:uid="{00000000-0010-0000-3F00-00000A000000}" name="Justification" dataDxfId="589" totalsRowDxfId="588"/>
  </tableColumns>
  <tableStyleInfo name="TableStyleLight11" showFirstColumn="0" showLastColumn="0" showRowStripes="1" showColumnStripes="1"/>
</table>
</file>

<file path=xl/tables/table6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8" xr:uid="{00000000-000C-0000-FFFF-FFFF40000000}" name="Table310286595105111112113114115116117118119" displayName="Table310286595105111112113114115116117118119" ref="B104:J112" totalsRowCount="1" headerRowDxfId="587" dataDxfId="586" totalsRowDxfId="585">
  <autoFilter ref="B104:J111" xr:uid="{00000000-0009-0000-0100-000076000000}"/>
  <tableColumns count="9">
    <tableColumn id="1" xr3:uid="{00000000-0010-0000-4000-000001000000}" name="#" totalsRowLabel="Total" dataDxfId="584" totalsRowDxfId="583"/>
    <tableColumn id="2" xr3:uid="{00000000-0010-0000-4000-000002000000}" name="*Program Code" dataDxfId="582" totalsRowDxfId="581"/>
    <tableColumn id="3" xr3:uid="{00000000-0010-0000-4000-000003000000}" name="Program Description" dataDxfId="580" totalsRowDxfId="579">
      <calculatedColumnFormula>_xlfn.IFNA(INDEX(Program!A:A,MATCH(Table310286595105111112113114115116117118119[[#This Row],[*Program Code]],Program!B:B,0)),"")</calculatedColumnFormula>
    </tableColumn>
    <tableColumn id="4" xr3:uid="{00000000-0010-0000-4000-000004000000}" name="*Description" dataDxfId="578" totalsRowDxfId="577"/>
    <tableColumn id="5" xr3:uid="{00000000-0010-0000-4000-000005000000}" name="*Location" dataDxfId="576" totalsRowDxfId="575" dataCellStyle="Comma"/>
    <tableColumn id="6" xr3:uid="{00000000-0010-0000-4000-000006000000}" name="*Quantity" dataDxfId="574" totalsRowDxfId="573"/>
    <tableColumn id="8" xr3:uid="{00000000-0010-0000-4000-000008000000}" name="*Price" dataDxfId="572" totalsRowDxfId="571" dataCellStyle="Comma"/>
    <tableColumn id="9" xr3:uid="{00000000-0010-0000-4000-000009000000}" name="Total Expenditure" totalsRowFunction="sum" dataDxfId="570" totalsRowDxfId="569" dataCellStyle="Comma">
      <calculatedColumnFormula>Table310286595105111112113114115116117118119[[#This Row],[*Price]]*Table310286595105111112113114115116117118119[[#This Row],[*Quantity]]</calculatedColumnFormula>
    </tableColumn>
    <tableColumn id="10" xr3:uid="{00000000-0010-0000-4000-00000A000000}" name="Justification" dataDxfId="568" totalsRowDxfId="567"/>
  </tableColumns>
  <tableStyleInfo name="TableStyleLight11" showFirstColumn="0" showLastColumn="0" showRowStripes="1" showColumnStripes="1"/>
</table>
</file>

<file path=xl/tables/table6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9" xr:uid="{00000000-000C-0000-FFFF-FFFF41000000}" name="Table310286595105111112113114115116117118119120" displayName="Table310286595105111112113114115116117118119120" ref="B115:J123" totalsRowCount="1" headerRowDxfId="566" dataDxfId="565" totalsRowDxfId="564">
  <autoFilter ref="B115:J122" xr:uid="{00000000-0009-0000-0100-000077000000}"/>
  <tableColumns count="9">
    <tableColumn id="1" xr3:uid="{00000000-0010-0000-4100-000001000000}" name="#" totalsRowLabel="Total" dataDxfId="563" totalsRowDxfId="562"/>
    <tableColumn id="2" xr3:uid="{00000000-0010-0000-4100-000002000000}" name="*Program Code" dataDxfId="561" totalsRowDxfId="560"/>
    <tableColumn id="3" xr3:uid="{00000000-0010-0000-4100-000003000000}" name="Program Description" dataDxfId="559" totalsRowDxfId="558">
      <calculatedColumnFormula>_xlfn.IFNA(INDEX(Program!A:A,MATCH(Table310286595105111112113114115116117118119120[[#This Row],[*Program Code]],Program!B:B,0)),"")</calculatedColumnFormula>
    </tableColumn>
    <tableColumn id="4" xr3:uid="{00000000-0010-0000-4100-000004000000}" name="*Description" dataDxfId="557" totalsRowDxfId="556"/>
    <tableColumn id="5" xr3:uid="{00000000-0010-0000-4100-000005000000}" name="*Location" dataDxfId="555" totalsRowDxfId="554" dataCellStyle="Comma"/>
    <tableColumn id="6" xr3:uid="{00000000-0010-0000-4100-000006000000}" name="*Quantity" dataDxfId="553" totalsRowDxfId="552"/>
    <tableColumn id="8" xr3:uid="{00000000-0010-0000-4100-000008000000}" name="*Price" dataDxfId="551" totalsRowDxfId="550" dataCellStyle="Comma"/>
    <tableColumn id="9" xr3:uid="{00000000-0010-0000-4100-000009000000}" name="Total Expenditure" totalsRowFunction="sum" dataDxfId="549" totalsRowDxfId="548" dataCellStyle="Comma">
      <calculatedColumnFormula>Table310286595105111112113114115116117118119120[[#This Row],[*Price]]*Table310286595105111112113114115116117118119120[[#This Row],[*Quantity]]</calculatedColumnFormula>
    </tableColumn>
    <tableColumn id="10" xr3:uid="{00000000-0010-0000-4100-00000A000000}" name="Justification" dataDxfId="547" totalsRowDxfId="546"/>
  </tableColumns>
  <tableStyleInfo name="TableStyleLight11" showFirstColumn="0" showLastColumn="0" showRowStripes="1" showColumnStripes="1"/>
</table>
</file>

<file path=xl/tables/table6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0" xr:uid="{00000000-000C-0000-FFFF-FFFF42000000}" name="Table310286595105111112113114115116117118119120121" displayName="Table310286595105111112113114115116117118119120121" ref="B126:J134" totalsRowCount="1" headerRowDxfId="545" dataDxfId="544" totalsRowDxfId="543">
  <autoFilter ref="B126:J133" xr:uid="{00000000-0009-0000-0100-000078000000}"/>
  <tableColumns count="9">
    <tableColumn id="1" xr3:uid="{00000000-0010-0000-4200-000001000000}" name="#" totalsRowLabel="Total" dataDxfId="542" totalsRowDxfId="541"/>
    <tableColumn id="2" xr3:uid="{00000000-0010-0000-4200-000002000000}" name="*Program Code" dataDxfId="540" totalsRowDxfId="539"/>
    <tableColumn id="3" xr3:uid="{00000000-0010-0000-4200-000003000000}" name="Program Description" dataDxfId="538" totalsRowDxfId="537">
      <calculatedColumnFormula>_xlfn.IFNA(INDEX(Program!A:A,MATCH(Table310286595105111112113114115116117118119120121[[#This Row],[*Program Code]],Program!B:B,0)),"")</calculatedColumnFormula>
    </tableColumn>
    <tableColumn id="4" xr3:uid="{00000000-0010-0000-4200-000004000000}" name="*Description" dataDxfId="536" totalsRowDxfId="535"/>
    <tableColumn id="5" xr3:uid="{00000000-0010-0000-4200-000005000000}" name="*Location" dataDxfId="534" totalsRowDxfId="533" dataCellStyle="Comma"/>
    <tableColumn id="6" xr3:uid="{00000000-0010-0000-4200-000006000000}" name="*Quantity" dataDxfId="532" totalsRowDxfId="531"/>
    <tableColumn id="8" xr3:uid="{00000000-0010-0000-4200-000008000000}" name="*Price" dataDxfId="530" totalsRowDxfId="529" dataCellStyle="Comma"/>
    <tableColumn id="9" xr3:uid="{00000000-0010-0000-4200-000009000000}" name="Total Expenditure" totalsRowFunction="sum" dataDxfId="528" totalsRowDxfId="527" dataCellStyle="Comma">
      <calculatedColumnFormula>Table310286595105111112113114115116117118119120121[[#This Row],[*Price]]*Table310286595105111112113114115116117118119120121[[#This Row],[*Quantity]]</calculatedColumnFormula>
    </tableColumn>
    <tableColumn id="10" xr3:uid="{00000000-0010-0000-4200-00000A000000}" name="Justification" dataDxfId="526" totalsRowDxfId="525"/>
  </tableColumns>
  <tableStyleInfo name="TableStyleLight11" showFirstColumn="0" showLastColumn="0" showRowStripes="1" showColumnStripes="1"/>
</table>
</file>

<file path=xl/tables/table6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1" xr:uid="{00000000-000C-0000-FFFF-FFFF43000000}" name="Table310286595105111112113114115116117118119120121122" displayName="Table310286595105111112113114115116117118119120121122" ref="B137:J145" totalsRowCount="1" headerRowDxfId="524" dataDxfId="523" totalsRowDxfId="522">
  <autoFilter ref="B137:J144" xr:uid="{00000000-0009-0000-0100-000079000000}"/>
  <tableColumns count="9">
    <tableColumn id="1" xr3:uid="{00000000-0010-0000-4300-000001000000}" name="#" totalsRowLabel="Total" dataDxfId="521" totalsRowDxfId="520"/>
    <tableColumn id="2" xr3:uid="{00000000-0010-0000-4300-000002000000}" name="*Program Code" dataDxfId="519" totalsRowDxfId="518"/>
    <tableColumn id="3" xr3:uid="{00000000-0010-0000-4300-000003000000}" name="Program Description" dataDxfId="517" totalsRowDxfId="516">
      <calculatedColumnFormula>_xlfn.IFNA(INDEX(Program!A:A,MATCH(Table310286595105111112113114115116117118119120121122[[#This Row],[*Program Code]],Program!B:B,0)),"")</calculatedColumnFormula>
    </tableColumn>
    <tableColumn id="4" xr3:uid="{00000000-0010-0000-4300-000004000000}" name="*Description" dataDxfId="515" totalsRowDxfId="514"/>
    <tableColumn id="5" xr3:uid="{00000000-0010-0000-4300-000005000000}" name="*Location" dataDxfId="513" totalsRowDxfId="512" dataCellStyle="Comma"/>
    <tableColumn id="6" xr3:uid="{00000000-0010-0000-4300-000006000000}" name="*Quantity" dataDxfId="511" totalsRowDxfId="510"/>
    <tableColumn id="8" xr3:uid="{00000000-0010-0000-4300-000008000000}" name="*Price" dataDxfId="509" totalsRowDxfId="508" dataCellStyle="Comma"/>
    <tableColumn id="9" xr3:uid="{00000000-0010-0000-4300-000009000000}" name="Total Expenditure" totalsRowFunction="sum" dataDxfId="507" totalsRowDxfId="506" dataCellStyle="Comma">
      <calculatedColumnFormula>Table310286595105111112113114115116117118119120121122[[#This Row],[*Price]]*Table310286595105111112113114115116117118119120121122[[#This Row],[*Quantity]]</calculatedColumnFormula>
    </tableColumn>
    <tableColumn id="10" xr3:uid="{00000000-0010-0000-4300-00000A000000}" name="Justification" dataDxfId="505" totalsRowDxfId="504"/>
  </tableColumns>
  <tableStyleInfo name="TableStyleLight11" showFirstColumn="0" showLastColumn="0" showRowStripes="1" showColumnStripes="1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6000000}" name="Table310" displayName="Table310" ref="B5:K13" totalsRowCount="1" headerRowDxfId="1926" dataDxfId="1925" totalsRowDxfId="1924">
  <autoFilter ref="B5:K12" xr:uid="{00000000-0009-0000-0100-000009000000}"/>
  <tableColumns count="10">
    <tableColumn id="1" xr3:uid="{00000000-0010-0000-0600-000001000000}" name="#" totalsRowLabel="Total" dataDxfId="1923" totalsRowDxfId="1922"/>
    <tableColumn id="2" xr3:uid="{00000000-0010-0000-0600-000002000000}" name="*Program Code" dataDxfId="1921" totalsRowDxfId="1920"/>
    <tableColumn id="3" xr3:uid="{00000000-0010-0000-0600-000003000000}" name="Program Description" dataDxfId="1919" totalsRowDxfId="1918">
      <calculatedColumnFormula>_xlfn.IFNA(INDEX(Program!A:A,MATCH(Table310[[#This Row],[*Program Code]],Program!B:B,0)),"")</calculatedColumnFormula>
    </tableColumn>
    <tableColumn id="4" xr3:uid="{00000000-0010-0000-0600-000004000000}" name="*Item Description" dataDxfId="1917" totalsRowDxfId="1916"/>
    <tableColumn id="5" xr3:uid="{00000000-0010-0000-0600-000005000000}" name="Existing Count" dataDxfId="1915" totalsRowDxfId="1914" dataCellStyle="Comma"/>
    <tableColumn id="6" xr3:uid="{00000000-0010-0000-0600-000006000000}" name="*Quantity" dataDxfId="1913" totalsRowDxfId="1912"/>
    <tableColumn id="7" xr3:uid="{00000000-0010-0000-0600-000007000000}" name="Unit of Measure" dataDxfId="1911" totalsRowDxfId="1910" dataCellStyle="Comma"/>
    <tableColumn id="8" xr3:uid="{00000000-0010-0000-0600-000008000000}" name="*Unit Price" dataDxfId="1909" totalsRowDxfId="1908" dataCellStyle="Comma"/>
    <tableColumn id="9" xr3:uid="{00000000-0010-0000-0600-000009000000}" name="Total Expenditure" totalsRowFunction="sum" dataDxfId="1907" totalsRowDxfId="1906" dataCellStyle="Comma">
      <calculatedColumnFormula>Table310[[#This Row],[*Unit Price]]*Table310[[#This Row],[*Quantity]]</calculatedColumnFormula>
    </tableColumn>
    <tableColumn id="10" xr3:uid="{00000000-0010-0000-0600-00000A000000}" name="Justification" dataDxfId="1905" totalsRowDxfId="1904"/>
  </tableColumns>
  <tableStyleInfo name="TableStyleLight11" showFirstColumn="0" showLastColumn="0" showRowStripes="1" showColumnStripes="1"/>
</table>
</file>

<file path=xl/tables/table7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2" xr:uid="{00000000-000C-0000-FFFF-FFFF44000000}" name="Table310286595105111112113114115116117118119120121122123" displayName="Table310286595105111112113114115116117118119120121122123" ref="B148:J156" totalsRowCount="1" headerRowDxfId="503" dataDxfId="502" totalsRowDxfId="501">
  <autoFilter ref="B148:J155" xr:uid="{00000000-0009-0000-0100-00007A000000}"/>
  <tableColumns count="9">
    <tableColumn id="1" xr3:uid="{00000000-0010-0000-4400-000001000000}" name="#" totalsRowLabel="Total" dataDxfId="500" totalsRowDxfId="499"/>
    <tableColumn id="2" xr3:uid="{00000000-0010-0000-4400-000002000000}" name="*Program Code" dataDxfId="498" totalsRowDxfId="497"/>
    <tableColumn id="3" xr3:uid="{00000000-0010-0000-4400-000003000000}" name="Program Description" dataDxfId="496" totalsRowDxfId="495">
      <calculatedColumnFormula>_xlfn.IFNA(INDEX(Program!A:A,MATCH(Table310286595105111112113114115116117118119120121122123[[#This Row],[*Program Code]],Program!B:B,0)),"")</calculatedColumnFormula>
    </tableColumn>
    <tableColumn id="4" xr3:uid="{00000000-0010-0000-4400-000004000000}" name="*Description" dataDxfId="494" totalsRowDxfId="493"/>
    <tableColumn id="5" xr3:uid="{00000000-0010-0000-4400-000005000000}" name="*Location" dataDxfId="492" totalsRowDxfId="491" dataCellStyle="Comma"/>
    <tableColumn id="6" xr3:uid="{00000000-0010-0000-4400-000006000000}" name="*Quantity" dataDxfId="490" totalsRowDxfId="489"/>
    <tableColumn id="8" xr3:uid="{00000000-0010-0000-4400-000008000000}" name="*Price" dataDxfId="488" totalsRowDxfId="487" dataCellStyle="Comma"/>
    <tableColumn id="9" xr3:uid="{00000000-0010-0000-4400-000009000000}" name="Total Expenditure" totalsRowFunction="sum" dataDxfId="486" totalsRowDxfId="485" dataCellStyle="Comma">
      <calculatedColumnFormula>Table310286595105111112113114115116117118119120121122123[[#This Row],[*Price]]*Table310286595105111112113114115116117118119120121122123[[#This Row],[*Quantity]]</calculatedColumnFormula>
    </tableColumn>
    <tableColumn id="10" xr3:uid="{00000000-0010-0000-4400-00000A000000}" name="Justification" dataDxfId="484" totalsRowDxfId="483"/>
  </tableColumns>
  <tableStyleInfo name="TableStyleLight11" showFirstColumn="0" showLastColumn="0" showRowStripes="1" showColumnStripes="1"/>
</table>
</file>

<file path=xl/tables/table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3" xr:uid="{00000000-000C-0000-FFFF-FFFF45000000}" name="Table310286595105111112113114115116117118119120121122123124" displayName="Table310286595105111112113114115116117118119120121122123124" ref="B159:J167" totalsRowCount="1" headerRowDxfId="482" dataDxfId="481" totalsRowDxfId="480">
  <autoFilter ref="B159:J166" xr:uid="{00000000-0009-0000-0100-00007B000000}"/>
  <tableColumns count="9">
    <tableColumn id="1" xr3:uid="{00000000-0010-0000-4500-000001000000}" name="#" totalsRowLabel="Total" dataDxfId="479" totalsRowDxfId="478"/>
    <tableColumn id="2" xr3:uid="{00000000-0010-0000-4500-000002000000}" name="*Program Code" dataDxfId="477" totalsRowDxfId="476"/>
    <tableColumn id="3" xr3:uid="{00000000-0010-0000-4500-000003000000}" name="Program Description" dataDxfId="475" totalsRowDxfId="474">
      <calculatedColumnFormula>_xlfn.IFNA(INDEX(Program!A:A,MATCH(Table310286595105111112113114115116117118119120121122123124[[#This Row],[*Program Code]],Program!B:B,0)),"")</calculatedColumnFormula>
    </tableColumn>
    <tableColumn id="4" xr3:uid="{00000000-0010-0000-4500-000004000000}" name="*Description" dataDxfId="473" totalsRowDxfId="472"/>
    <tableColumn id="5" xr3:uid="{00000000-0010-0000-4500-000005000000}" name="*Location" dataDxfId="471" totalsRowDxfId="470" dataCellStyle="Comma"/>
    <tableColumn id="6" xr3:uid="{00000000-0010-0000-4500-000006000000}" name="*Quantity" dataDxfId="469" totalsRowDxfId="468"/>
    <tableColumn id="8" xr3:uid="{00000000-0010-0000-4500-000008000000}" name="*Price" dataDxfId="467" totalsRowDxfId="466" dataCellStyle="Comma"/>
    <tableColumn id="9" xr3:uid="{00000000-0010-0000-4500-000009000000}" name="Total Expenditure" totalsRowFunction="sum" dataDxfId="465" totalsRowDxfId="464" dataCellStyle="Comma">
      <calculatedColumnFormula>Table310286595105111112113114115116117118119120121122123124[[#This Row],[*Price]]*Table310286595105111112113114115116117118119120121122123124[[#This Row],[*Quantity]]</calculatedColumnFormula>
    </tableColumn>
    <tableColumn id="10" xr3:uid="{00000000-0010-0000-4500-00000A000000}" name="Justification" dataDxfId="463" totalsRowDxfId="462"/>
  </tableColumns>
  <tableStyleInfo name="TableStyleLight11" showFirstColumn="0" showLastColumn="0" showRowStripes="1" showColumnStripes="1"/>
</table>
</file>

<file path=xl/tables/table7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4" xr:uid="{00000000-000C-0000-FFFF-FFFF46000000}" name="Table310286595105111112113114115116117118119120121122123124125" displayName="Table310286595105111112113114115116117118119120121122123124125" ref="B170:J178" totalsRowCount="1" headerRowDxfId="461" dataDxfId="460" totalsRowDxfId="459">
  <autoFilter ref="B170:J177" xr:uid="{00000000-0009-0000-0100-00007C000000}"/>
  <tableColumns count="9">
    <tableColumn id="1" xr3:uid="{00000000-0010-0000-4600-000001000000}" name="#" totalsRowLabel="Total" dataDxfId="458" totalsRowDxfId="457"/>
    <tableColumn id="2" xr3:uid="{00000000-0010-0000-4600-000002000000}" name="*Program Code" dataDxfId="456" totalsRowDxfId="455"/>
    <tableColumn id="3" xr3:uid="{00000000-0010-0000-4600-000003000000}" name="Program Description" dataDxfId="454" totalsRowDxfId="453">
      <calculatedColumnFormula>_xlfn.IFNA(INDEX(Program!A:A,MATCH(Table310286595105111112113114115116117118119120121122123124125[[#This Row],[*Program Code]],Program!B:B,0)),"")</calculatedColumnFormula>
    </tableColumn>
    <tableColumn id="4" xr3:uid="{00000000-0010-0000-4600-000004000000}" name="*Description" dataDxfId="452" totalsRowDxfId="451"/>
    <tableColumn id="5" xr3:uid="{00000000-0010-0000-4600-000005000000}" name="*Location" dataDxfId="450" totalsRowDxfId="449" dataCellStyle="Comma"/>
    <tableColumn id="6" xr3:uid="{00000000-0010-0000-4600-000006000000}" name="*Quantity" dataDxfId="448" totalsRowDxfId="447"/>
    <tableColumn id="8" xr3:uid="{00000000-0010-0000-4600-000008000000}" name="*Price" dataDxfId="446" totalsRowDxfId="445" dataCellStyle="Comma"/>
    <tableColumn id="9" xr3:uid="{00000000-0010-0000-4600-000009000000}" name="Total Expenditure" totalsRowFunction="sum" dataDxfId="444" totalsRowDxfId="443" dataCellStyle="Comma">
      <calculatedColumnFormula>Table310286595105111112113114115116117118119120121122123124125[[#This Row],[*Price]]*Table310286595105111112113114115116117118119120121122123124125[[#This Row],[*Quantity]]</calculatedColumnFormula>
    </tableColumn>
    <tableColumn id="10" xr3:uid="{00000000-0010-0000-4600-00000A000000}" name="Justification" dataDxfId="442" totalsRowDxfId="441"/>
  </tableColumns>
  <tableStyleInfo name="TableStyleLight11" showFirstColumn="0" showLastColumn="0" showRowStripes="1" showColumnStripes="1"/>
</table>
</file>

<file path=xl/tables/table7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5" xr:uid="{00000000-000C-0000-FFFF-FFFF47000000}" name="Table310286595105111112113114115116117118119120121122123124125126" displayName="Table310286595105111112113114115116117118119120121122123124125126" ref="B181:J189" totalsRowCount="1" headerRowDxfId="440" dataDxfId="439" totalsRowDxfId="438">
  <autoFilter ref="B181:J188" xr:uid="{00000000-0009-0000-0100-00007D000000}"/>
  <tableColumns count="9">
    <tableColumn id="1" xr3:uid="{00000000-0010-0000-4700-000001000000}" name="#" totalsRowLabel="Total" dataDxfId="437" totalsRowDxfId="436"/>
    <tableColumn id="2" xr3:uid="{00000000-0010-0000-4700-000002000000}" name="*Program Code" dataDxfId="435" totalsRowDxfId="434"/>
    <tableColumn id="3" xr3:uid="{00000000-0010-0000-4700-000003000000}" name="Program Description" dataDxfId="433" totalsRowDxfId="432">
      <calculatedColumnFormula>_xlfn.IFNA(INDEX(Program!A:A,MATCH(Table310286595105111112113114115116117118119120121122123124125126[[#This Row],[*Program Code]],Program!B:B,0)),"")</calculatedColumnFormula>
    </tableColumn>
    <tableColumn id="4" xr3:uid="{00000000-0010-0000-4700-000004000000}" name="*Description" dataDxfId="431" totalsRowDxfId="430"/>
    <tableColumn id="5" xr3:uid="{00000000-0010-0000-4700-000005000000}" name="*Location" dataDxfId="429" totalsRowDxfId="428" dataCellStyle="Comma"/>
    <tableColumn id="6" xr3:uid="{00000000-0010-0000-4700-000006000000}" name="*Quantity" dataDxfId="427" totalsRowDxfId="426"/>
    <tableColumn id="8" xr3:uid="{00000000-0010-0000-4700-000008000000}" name="*Price" dataDxfId="425" totalsRowDxfId="424" dataCellStyle="Comma"/>
    <tableColumn id="9" xr3:uid="{00000000-0010-0000-4700-000009000000}" name="Total Expenditure" totalsRowFunction="sum" dataDxfId="423" totalsRowDxfId="422" dataCellStyle="Comma">
      <calculatedColumnFormula>Table310286595105111112113114115116117118119120121122123124125126[[#This Row],[*Price]]*Table310286595105111112113114115116117118119120121122123124125126[[#This Row],[*Quantity]]</calculatedColumnFormula>
    </tableColumn>
    <tableColumn id="10" xr3:uid="{00000000-0010-0000-4700-00000A000000}" name="Justification" dataDxfId="421" totalsRowDxfId="420"/>
  </tableColumns>
  <tableStyleInfo name="TableStyleLight11" showFirstColumn="0" showLastColumn="0" showRowStripes="1" showColumnStripes="1"/>
</table>
</file>

<file path=xl/tables/table7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6" xr:uid="{00000000-000C-0000-FFFF-FFFF48000000}" name="Table310286595105111112113114115116117118119120121122123124125126127" displayName="Table310286595105111112113114115116117118119120121122123124125126127" ref="B192:J200" totalsRowCount="1" headerRowDxfId="419" dataDxfId="418" totalsRowDxfId="417">
  <autoFilter ref="B192:J199" xr:uid="{00000000-0009-0000-0100-00007E000000}"/>
  <tableColumns count="9">
    <tableColumn id="1" xr3:uid="{00000000-0010-0000-4800-000001000000}" name="#" totalsRowLabel="Total" dataDxfId="416" totalsRowDxfId="415"/>
    <tableColumn id="2" xr3:uid="{00000000-0010-0000-4800-000002000000}" name="*Program Code" dataDxfId="414" totalsRowDxfId="413"/>
    <tableColumn id="3" xr3:uid="{00000000-0010-0000-4800-000003000000}" name="Program Description" dataDxfId="412" totalsRowDxfId="411">
      <calculatedColumnFormula>_xlfn.IFNA(INDEX(Program!A:A,MATCH(Table310286595105111112113114115116117118119120121122123124125126127[[#This Row],[*Program Code]],Program!B:B,0)),"")</calculatedColumnFormula>
    </tableColumn>
    <tableColumn id="4" xr3:uid="{00000000-0010-0000-4800-000004000000}" name="*Description" dataDxfId="410" totalsRowDxfId="409"/>
    <tableColumn id="5" xr3:uid="{00000000-0010-0000-4800-000005000000}" name="*Location" dataDxfId="408" totalsRowDxfId="407" dataCellStyle="Comma"/>
    <tableColumn id="6" xr3:uid="{00000000-0010-0000-4800-000006000000}" name="*Quantity" dataDxfId="406" totalsRowDxfId="405"/>
    <tableColumn id="8" xr3:uid="{00000000-0010-0000-4800-000008000000}" name="*Price" dataDxfId="404" totalsRowDxfId="403" dataCellStyle="Comma"/>
    <tableColumn id="9" xr3:uid="{00000000-0010-0000-4800-000009000000}" name="Total Expenditure" totalsRowFunction="sum" dataDxfId="402" totalsRowDxfId="401" dataCellStyle="Comma">
      <calculatedColumnFormula>Table310286595105111112113114115116117118119120121122123124125126127[[#This Row],[*Price]]*Table310286595105111112113114115116117118119120121122123124125126127[[#This Row],[*Quantity]]</calculatedColumnFormula>
    </tableColumn>
    <tableColumn id="10" xr3:uid="{00000000-0010-0000-4800-00000A000000}" name="Justification" dataDxfId="400" totalsRowDxfId="399"/>
  </tableColumns>
  <tableStyleInfo name="TableStyleLight11" showFirstColumn="0" showLastColumn="0" showRowStripes="1" showColumnStripes="1"/>
</table>
</file>

<file path=xl/tables/table7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8" xr:uid="{00000000-000C-0000-FFFF-FFFF49000000}" name="Table310286595105129" displayName="Table310286595105129" ref="B5:J13" totalsRowCount="1" headerRowDxfId="398" dataDxfId="397" totalsRowDxfId="396">
  <autoFilter ref="B5:J12" xr:uid="{00000000-0009-0000-0100-000080000000}"/>
  <tableColumns count="9">
    <tableColumn id="1" xr3:uid="{00000000-0010-0000-4900-000001000000}" name="#" totalsRowLabel="Total" dataDxfId="395" totalsRowDxfId="394"/>
    <tableColumn id="2" xr3:uid="{00000000-0010-0000-4900-000002000000}" name="*Program Code" dataDxfId="393" totalsRowDxfId="392"/>
    <tableColumn id="3" xr3:uid="{00000000-0010-0000-4900-000003000000}" name="Program Description" dataDxfId="391" totalsRowDxfId="390">
      <calculatedColumnFormula>_xlfn.IFNA(INDEX(Program!A:A,MATCH(Table310286595105129[[#This Row],[*Program Code]],Program!B:B,0)),"")</calculatedColumnFormula>
    </tableColumn>
    <tableColumn id="4" xr3:uid="{00000000-0010-0000-4900-000004000000}" name="*Grant Name" dataDxfId="389" totalsRowDxfId="388"/>
    <tableColumn id="5" xr3:uid="{00000000-0010-0000-4900-000005000000}" name="Purpose" dataDxfId="387" totalsRowDxfId="386" dataCellStyle="Comma"/>
    <tableColumn id="6" xr3:uid="{00000000-0010-0000-4900-000006000000}" name="*Quantity" dataDxfId="385" totalsRowDxfId="384"/>
    <tableColumn id="8" xr3:uid="{00000000-0010-0000-4900-000008000000}" name="*Unit Price" dataDxfId="383" totalsRowDxfId="382" dataCellStyle="Comma"/>
    <tableColumn id="9" xr3:uid="{00000000-0010-0000-4900-000009000000}" name="Total Expenditure" totalsRowFunction="sum" dataDxfId="381" totalsRowDxfId="380" dataCellStyle="Comma">
      <calculatedColumnFormula>Table310286595105129[[#This Row],[*Unit Price]]*Table310286595105129[[#This Row],[*Quantity]]</calculatedColumnFormula>
    </tableColumn>
    <tableColumn id="10" xr3:uid="{00000000-0010-0000-4900-00000A000000}" name="Justification" dataDxfId="379" totalsRowDxfId="378"/>
  </tableColumns>
  <tableStyleInfo name="TableStyleLight11" showFirstColumn="0" showLastColumn="0" showRowStripes="1" showColumnStripes="1"/>
</table>
</file>

<file path=xl/tables/table7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6" xr:uid="{00000000-000C-0000-FFFF-FFFF4A000000}" name="Table310286595105129147" displayName="Table310286595105129147" ref="B16:J24" totalsRowCount="1" headerRowDxfId="377" dataDxfId="376" totalsRowDxfId="375">
  <autoFilter ref="B16:J23" xr:uid="{00000000-0009-0000-0100-000092000000}"/>
  <tableColumns count="9">
    <tableColumn id="1" xr3:uid="{00000000-0010-0000-4A00-000001000000}" name="#" totalsRowLabel="Total" dataDxfId="374" totalsRowDxfId="373"/>
    <tableColumn id="2" xr3:uid="{00000000-0010-0000-4A00-000002000000}" name="*Program Code" dataDxfId="372" totalsRowDxfId="371"/>
    <tableColumn id="3" xr3:uid="{00000000-0010-0000-4A00-000003000000}" name="Program Description" dataDxfId="370" totalsRowDxfId="369">
      <calculatedColumnFormula>_xlfn.IFNA(INDEX(Program!A:A,MATCH(Table310286595105129147[[#This Row],[*Program Code]],Program!B:B,0)),"")</calculatedColumnFormula>
    </tableColumn>
    <tableColumn id="4" xr3:uid="{00000000-0010-0000-4A00-000004000000}" name="*Award Name" dataDxfId="368" totalsRowDxfId="367"/>
    <tableColumn id="5" xr3:uid="{00000000-0010-0000-4A00-000005000000}" name="Purpose" dataDxfId="366" totalsRowDxfId="365" dataCellStyle="Comma"/>
    <tableColumn id="6" xr3:uid="{00000000-0010-0000-4A00-000006000000}" name="*Quantity" dataDxfId="364" totalsRowDxfId="363"/>
    <tableColumn id="8" xr3:uid="{00000000-0010-0000-4A00-000008000000}" name="*Unit Price" dataDxfId="362" totalsRowDxfId="361" dataCellStyle="Comma"/>
    <tableColumn id="9" xr3:uid="{00000000-0010-0000-4A00-000009000000}" name="Total Expenditure" totalsRowFunction="sum" dataDxfId="360" totalsRowDxfId="359" dataCellStyle="Comma">
      <calculatedColumnFormula>Table310286595105129147[[#This Row],[*Unit Price]]*Table310286595105129147[[#This Row],[*Quantity]]</calculatedColumnFormula>
    </tableColumn>
    <tableColumn id="10" xr3:uid="{00000000-0010-0000-4A00-00000A000000}" name="Justification" dataDxfId="358" totalsRowDxfId="357"/>
  </tableColumns>
  <tableStyleInfo name="TableStyleLight11" showFirstColumn="0" showLastColumn="0" showRowStripes="1" showColumnStripes="1"/>
</table>
</file>

<file path=xl/tables/table7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7" xr:uid="{00000000-000C-0000-FFFF-FFFF4B000000}" name="Table310286595105129147148" displayName="Table310286595105129147148" ref="B49:J57" totalsRowCount="1" headerRowDxfId="356" dataDxfId="355" totalsRowDxfId="354">
  <autoFilter ref="B49:J56" xr:uid="{00000000-0009-0000-0100-000093000000}"/>
  <tableColumns count="9">
    <tableColumn id="1" xr3:uid="{00000000-0010-0000-4B00-000001000000}" name="#" totalsRowLabel="Total" dataDxfId="353" totalsRowDxfId="352"/>
    <tableColumn id="2" xr3:uid="{00000000-0010-0000-4B00-000002000000}" name="*Program Code" dataDxfId="351" totalsRowDxfId="350"/>
    <tableColumn id="3" xr3:uid="{00000000-0010-0000-4B00-000003000000}" name="Program Description" dataDxfId="349" totalsRowDxfId="348">
      <calculatedColumnFormula>_xlfn.IFNA(INDEX(Program!A:A,MATCH(Table310286595105129147148[[#This Row],[*Program Code]],Program!B:B,0)),"")</calculatedColumnFormula>
    </tableColumn>
    <tableColumn id="4" xr3:uid="{00000000-0010-0000-4B00-000004000000}" name="*Accociation/Organization Name" dataDxfId="347" totalsRowDxfId="346"/>
    <tableColumn id="5" xr3:uid="{00000000-0010-0000-4B00-000005000000}" name="Purpose" dataDxfId="345" totalsRowDxfId="344" dataCellStyle="Comma"/>
    <tableColumn id="6" xr3:uid="{00000000-0010-0000-4B00-000006000000}" name="*Quantity" dataDxfId="343" totalsRowDxfId="342"/>
    <tableColumn id="8" xr3:uid="{00000000-0010-0000-4B00-000008000000}" name="*Unit Price" dataDxfId="341" totalsRowDxfId="340" dataCellStyle="Comma"/>
    <tableColumn id="9" xr3:uid="{00000000-0010-0000-4B00-000009000000}" name="Total Expenditure" totalsRowFunction="sum" dataDxfId="339" totalsRowDxfId="338" dataCellStyle="Comma">
      <calculatedColumnFormula>Table310286595105129147148[[#This Row],[*Unit Price]]*Table310286595105129147148[[#This Row],[*Quantity]]</calculatedColumnFormula>
    </tableColumn>
    <tableColumn id="10" xr3:uid="{00000000-0010-0000-4B00-00000A000000}" name="Justification" dataDxfId="337" totalsRowDxfId="336"/>
  </tableColumns>
  <tableStyleInfo name="TableStyleLight11" showFirstColumn="0" showLastColumn="0" showRowStripes="1" showColumnStripes="1"/>
</table>
</file>

<file path=xl/tables/table7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8" xr:uid="{00000000-000C-0000-FFFF-FFFF4C000000}" name="Table310286595105129147148149" displayName="Table310286595105129147148149" ref="B60:J68" totalsRowCount="1" headerRowDxfId="335" dataDxfId="334" totalsRowDxfId="333">
  <autoFilter ref="B60:J67" xr:uid="{00000000-0009-0000-0100-000094000000}"/>
  <tableColumns count="9">
    <tableColumn id="1" xr3:uid="{00000000-0010-0000-4C00-000001000000}" name="#" totalsRowLabel="Total" dataDxfId="332" totalsRowDxfId="331"/>
    <tableColumn id="2" xr3:uid="{00000000-0010-0000-4C00-000002000000}" name="*Program Code" dataDxfId="330" totalsRowDxfId="329"/>
    <tableColumn id="3" xr3:uid="{00000000-0010-0000-4C00-000003000000}" name="Program Description" dataDxfId="328" totalsRowDxfId="327">
      <calculatedColumnFormula>_xlfn.IFNA(INDEX(Program!A:A,MATCH(Table310286595105129147148149[[#This Row],[*Program Code]],Program!B:B,0)),"")</calculatedColumnFormula>
    </tableColumn>
    <tableColumn id="4" xr3:uid="{00000000-0010-0000-4C00-000004000000}" name="*Community Program Name" dataDxfId="326" totalsRowDxfId="325"/>
    <tableColumn id="5" xr3:uid="{00000000-0010-0000-4C00-000005000000}" name="Purpose" dataDxfId="324" totalsRowDxfId="323" dataCellStyle="Comma"/>
    <tableColumn id="6" xr3:uid="{00000000-0010-0000-4C00-000006000000}" name="*Quantity" dataDxfId="322" totalsRowDxfId="321"/>
    <tableColumn id="8" xr3:uid="{00000000-0010-0000-4C00-000008000000}" name="*Unit Price" dataDxfId="320" totalsRowDxfId="319" dataCellStyle="Comma"/>
    <tableColumn id="9" xr3:uid="{00000000-0010-0000-4C00-000009000000}" name="Total Expenditure" totalsRowFunction="sum" dataDxfId="318" totalsRowDxfId="317" dataCellStyle="Comma">
      <calculatedColumnFormula>Table310286595105129147148149[[#This Row],[*Unit Price]]*Table310286595105129147148149[[#This Row],[*Quantity]]</calculatedColumnFormula>
    </tableColumn>
    <tableColumn id="10" xr3:uid="{00000000-0010-0000-4C00-00000A000000}" name="Justification" dataDxfId="316" totalsRowDxfId="315"/>
  </tableColumns>
  <tableStyleInfo name="TableStyleLight11" showFirstColumn="0" showLastColumn="0" showRowStripes="1" showColumnStripes="1"/>
</table>
</file>

<file path=xl/tables/table7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55CA4F-29DF-45A4-81CB-13AC5CAFBC36}" name="Table3102865951051291472" displayName="Table3102865951051291472" ref="B27:J35" totalsRowCount="1" headerRowDxfId="314" dataDxfId="313" totalsRowDxfId="312">
  <autoFilter ref="B27:J34" xr:uid="{8441401A-1528-48D5-9AA0-E9990661D358}"/>
  <tableColumns count="9">
    <tableColumn id="1" xr3:uid="{07261B13-3B36-4015-963D-976AEA84720A}" name="#" totalsRowLabel="Total" dataDxfId="311" totalsRowDxfId="310"/>
    <tableColumn id="2" xr3:uid="{BA664C51-15BB-4CAD-9CE8-F0B04EAAF37F}" name="*Program Code" dataDxfId="309" totalsRowDxfId="308"/>
    <tableColumn id="3" xr3:uid="{52C24215-07CA-428F-9BFE-7191A03284BB}" name="Program Description" dataDxfId="307" totalsRowDxfId="306">
      <calculatedColumnFormula>_xlfn.IFNA(INDEX(Program!A:A,MATCH(Table3102865951051291472[[#This Row],[*Program Code]],Program!B:B,0)),"")</calculatedColumnFormula>
    </tableColumn>
    <tableColumn id="4" xr3:uid="{861C7927-3F32-4A58-A341-934F868F702E}" name="*Description" dataDxfId="305" totalsRowDxfId="304"/>
    <tableColumn id="5" xr3:uid="{3863CD7D-C9E3-46E2-A330-467E1D2B731E}" name="Organization" dataDxfId="303" totalsRowDxfId="302" dataCellStyle="Comma"/>
    <tableColumn id="6" xr3:uid="{66E17F43-E31E-4088-8D34-A2DB8587F6C6}" name="*Quantity" dataDxfId="301" totalsRowDxfId="300"/>
    <tableColumn id="8" xr3:uid="{322671D6-9D6E-4390-9BA5-4E9EB57F00ED}" name="*Unit Price" dataDxfId="299" totalsRowDxfId="298" dataCellStyle="Comma"/>
    <tableColumn id="9" xr3:uid="{066DC66E-087C-42BA-9ADA-7BE6A7C89181}" name="Total Expenditure" totalsRowFunction="sum" dataDxfId="297" totalsRowDxfId="296" dataCellStyle="Comma">
      <calculatedColumnFormula>Table3102865951051291472[[#This Row],[*Unit Price]]*Table3102865951051291472[[#This Row],[*Quantity]]</calculatedColumnFormula>
    </tableColumn>
    <tableColumn id="10" xr3:uid="{0D7B157A-B528-4186-93AC-9F0623D69A5A}" name="Justification" dataDxfId="295" totalsRowDxfId="294"/>
  </tableColumns>
  <tableStyleInfo name="TableStyleLight11" showFirstColumn="0" showLastColumn="0" showRowStripes="1" showColumnStripes="1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7000000}" name="Table31017" displayName="Table31017" ref="B16:K24" totalsRowCount="1" headerRowDxfId="1903" dataDxfId="1902" totalsRowDxfId="1901">
  <autoFilter ref="B16:K23" xr:uid="{00000000-0009-0000-0100-000010000000}"/>
  <tableColumns count="10">
    <tableColumn id="1" xr3:uid="{00000000-0010-0000-0700-000001000000}" name="#" totalsRowLabel="Total" dataDxfId="1900" totalsRowDxfId="1899"/>
    <tableColumn id="2" xr3:uid="{00000000-0010-0000-0700-000002000000}" name="*Program Code" dataDxfId="1898" totalsRowDxfId="1897"/>
    <tableColumn id="3" xr3:uid="{00000000-0010-0000-0700-000003000000}" name="Program Description" dataDxfId="1896" totalsRowDxfId="1895">
      <calculatedColumnFormula>_xlfn.IFNA(INDEX(Program!A:A,MATCH(Table31017[[#This Row],[*Program Code]],Program!B:B,0)),"")</calculatedColumnFormula>
    </tableColumn>
    <tableColumn id="4" xr3:uid="{00000000-0010-0000-0700-000004000000}" name="*Item Description" dataDxfId="1894" totalsRowDxfId="1893"/>
    <tableColumn id="5" xr3:uid="{00000000-0010-0000-0700-000005000000}" name="Existing Count" dataDxfId="1892" totalsRowDxfId="1891" dataCellStyle="Comma"/>
    <tableColumn id="6" xr3:uid="{00000000-0010-0000-0700-000006000000}" name="*Quantity" dataDxfId="1890" totalsRowDxfId="1889"/>
    <tableColumn id="7" xr3:uid="{00000000-0010-0000-0700-000007000000}" name="Unit of Measure" dataDxfId="1888" totalsRowDxfId="1887" dataCellStyle="Comma"/>
    <tableColumn id="8" xr3:uid="{00000000-0010-0000-0700-000008000000}" name="*Unit Price" dataDxfId="1886" totalsRowDxfId="1885" dataCellStyle="Comma"/>
    <tableColumn id="9" xr3:uid="{00000000-0010-0000-0700-000009000000}" name="Total Expenditure" totalsRowFunction="sum" dataDxfId="1884" totalsRowDxfId="1883" dataCellStyle="Comma">
      <calculatedColumnFormula>Table31017[[#This Row],[*Unit Price]]*Table31017[[#This Row],[*Quantity]]</calculatedColumnFormula>
    </tableColumn>
    <tableColumn id="10" xr3:uid="{00000000-0010-0000-0700-00000A000000}" name="Justification" dataDxfId="1882" totalsRowDxfId="1881"/>
  </tableColumns>
  <tableStyleInfo name="TableStyleLight11" showFirstColumn="0" showLastColumn="0" showRowStripes="1" showColumnStripes="1"/>
</table>
</file>

<file path=xl/tables/table8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D2F827D-6155-44C8-A966-46911E8D9B46}" name="Table3102865951051291473" displayName="Table3102865951051291473" ref="B38:J46" totalsRowCount="1" headerRowDxfId="293" dataDxfId="292" totalsRowDxfId="291">
  <autoFilter ref="B38:J45" xr:uid="{BB76957A-6BDD-4EEA-B7C8-50B913208038}"/>
  <tableColumns count="9">
    <tableColumn id="1" xr3:uid="{20371FB3-2492-45C1-B19D-4226E72068BC}" name="#" totalsRowLabel="Total" dataDxfId="290" totalsRowDxfId="289"/>
    <tableColumn id="2" xr3:uid="{CD232D89-8906-413B-AE23-61DDA5316B4A}" name="*Program Code" dataDxfId="288" totalsRowDxfId="287"/>
    <tableColumn id="3" xr3:uid="{E5BED68F-6E8E-452F-BBAD-9C5D3788472A}" name="Program Description" dataDxfId="286" totalsRowDxfId="285">
      <calculatedColumnFormula>_xlfn.IFNA(INDEX(Program!A:A,MATCH(Table3102865951051291473[[#This Row],[*Program Code]],Program!B:B,0)),"")</calculatedColumnFormula>
    </tableColumn>
    <tableColumn id="4" xr3:uid="{454FA11C-B5C7-46D0-90B9-FB5EA9906ADE}" name="*Description" dataDxfId="284" totalsRowDxfId="283"/>
    <tableColumn id="5" xr3:uid="{77939E3A-B9AB-4A67-85E2-8A38B1F51DC8}" name="Organization" dataDxfId="282" totalsRowDxfId="281" dataCellStyle="Comma"/>
    <tableColumn id="6" xr3:uid="{647C8390-4A6C-4816-8934-F4F1882DAE42}" name="*Quantity" dataDxfId="280" totalsRowDxfId="279"/>
    <tableColumn id="8" xr3:uid="{6D5BCDB7-0760-41E8-9878-2F2E0F09DD6D}" name="*Unit Price" dataDxfId="278" totalsRowDxfId="277" dataCellStyle="Comma"/>
    <tableColumn id="9" xr3:uid="{C0465325-5535-4AC6-99AA-E28D448F26B2}" name="Total Expenditure" totalsRowFunction="sum" dataDxfId="276" totalsRowDxfId="275" dataCellStyle="Comma">
      <calculatedColumnFormula>Table3102865951051291473[[#This Row],[*Unit Price]]*Table3102865951051291473[[#This Row],[*Quantity]]</calculatedColumnFormula>
    </tableColumn>
    <tableColumn id="10" xr3:uid="{B8BCCA10-7AC2-49E3-9675-9FFA52378A6C}" name="Justification" dataDxfId="274" totalsRowDxfId="273"/>
  </tableColumns>
  <tableStyleInfo name="TableStyleLight11" showFirstColumn="0" showLastColumn="0" showRowStripes="1" showColumnStripes="1"/>
</table>
</file>

<file path=xl/tables/table8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5CEDA7F-06DD-4D8C-BABA-F8E96E8FE8E4}" name="Table31028659510512914714814911" displayName="Table31028659510512914714814911" ref="B71:J79" totalsRowCount="1" headerRowDxfId="272" dataDxfId="271" totalsRowDxfId="270">
  <autoFilter ref="B71:J78" xr:uid="{8B36B092-B35B-4A71-B5D1-E012480D6AE8}"/>
  <tableColumns count="9">
    <tableColumn id="1" xr3:uid="{5BE8B045-786B-40B1-97A5-9E1E6653415B}" name="#" totalsRowLabel="Total" dataDxfId="269" totalsRowDxfId="268"/>
    <tableColumn id="2" xr3:uid="{95D3DB96-FC3E-4515-8C60-7C2BF70788BF}" name="*Program Code" dataDxfId="267" totalsRowDxfId="266"/>
    <tableColumn id="3" xr3:uid="{B266AEB8-1A8F-4F71-A8E4-71C15720FF07}" name="Program Description" dataDxfId="265" totalsRowDxfId="264">
      <calculatedColumnFormula>_xlfn.IFNA(INDEX(Program!A:A,MATCH(Table31028659510512914714814911[[#This Row],[*Program Code]],Program!B:B,0)),"")</calculatedColumnFormula>
    </tableColumn>
    <tableColumn id="4" xr3:uid="{50C681A4-B511-4660-9601-74432BF4C518}" name="*Community Program Name" dataDxfId="263" totalsRowDxfId="262"/>
    <tableColumn id="5" xr3:uid="{0D7395B7-FB80-4A97-8840-656DA5510904}" name="Purpose" dataDxfId="261" totalsRowDxfId="260" dataCellStyle="Comma"/>
    <tableColumn id="6" xr3:uid="{A892A5D5-F695-4307-8916-C48D333E96F6}" name="*Quantity" dataDxfId="259" totalsRowDxfId="258"/>
    <tableColumn id="8" xr3:uid="{7D954C85-8B11-4B31-837F-245CFFB9488F}" name="*Unit Price" dataDxfId="257" totalsRowDxfId="256" dataCellStyle="Comma"/>
    <tableColumn id="9" xr3:uid="{7D8DFFF8-C09A-4796-8588-F8C3F7DA65C0}" name="Total Expenditure" totalsRowFunction="sum" dataDxfId="255" totalsRowDxfId="254" dataCellStyle="Comma">
      <calculatedColumnFormula>Table31028659510512914714814911[[#This Row],[*Unit Price]]*Table31028659510512914714814911[[#This Row],[*Quantity]]</calculatedColumnFormula>
    </tableColumn>
    <tableColumn id="10" xr3:uid="{52119FCF-6283-4801-8456-8FB5AC6B50F3}" name="Justification" dataDxfId="253" totalsRowDxfId="252"/>
  </tableColumns>
  <tableStyleInfo name="TableStyleLight11" showFirstColumn="0" showLastColumn="0" showRowStripes="1" showColumnStripes="1"/>
</table>
</file>

<file path=xl/tables/table8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9" xr:uid="{00000000-000C-0000-FFFF-FFFF4D000000}" name="Table310286595105129150" displayName="Table310286595105129150" ref="B5:J14" totalsRowCount="1" headerRowDxfId="251" dataDxfId="250" totalsRowDxfId="249">
  <autoFilter ref="B5:J13" xr:uid="{00000000-0009-0000-0100-000095000000}"/>
  <tableColumns count="9">
    <tableColumn id="1" xr3:uid="{00000000-0010-0000-4D00-000001000000}" name="#" totalsRowLabel="Total" dataDxfId="248" totalsRowDxfId="8"/>
    <tableColumn id="2" xr3:uid="{00000000-0010-0000-4D00-000002000000}" name="*Program Code" dataDxfId="247" totalsRowDxfId="7"/>
    <tableColumn id="3" xr3:uid="{00000000-0010-0000-4D00-000003000000}" name="Program Description" dataDxfId="246" totalsRowDxfId="6">
      <calculatedColumnFormula>_xlfn.IFNA(INDEX(Program!A:A,MATCH(Table310286595105129150[[#This Row],[*Program Code]],Program!B:B,0)),"")</calculatedColumnFormula>
    </tableColumn>
    <tableColumn id="4" xr3:uid="{00000000-0010-0000-4D00-000004000000}" name="*Description" dataDxfId="245" totalsRowDxfId="5"/>
    <tableColumn id="5" xr3:uid="{00000000-0010-0000-4D00-000005000000}" name="Existing Count" dataDxfId="244" totalsRowDxfId="4" dataCellStyle="Comma"/>
    <tableColumn id="6" xr3:uid="{00000000-0010-0000-4D00-000006000000}" name="*Quantity" dataDxfId="243" totalsRowDxfId="3"/>
    <tableColumn id="8" xr3:uid="{00000000-0010-0000-4D00-000008000000}" name="*Unit Price" dataDxfId="242" totalsRowDxfId="2" dataCellStyle="Comma"/>
    <tableColumn id="9" xr3:uid="{00000000-0010-0000-4D00-000009000000}" name="Total Expenditure" totalsRowFunction="sum" dataDxfId="9" totalsRowDxfId="1" dataCellStyle="Comma">
      <calculatedColumnFormula>Table310286595105129150[[#This Row],[*Unit Price]]*Table310286595105129150[[#This Row],[*Quantity]]</calculatedColumnFormula>
    </tableColumn>
    <tableColumn id="10" xr3:uid="{00000000-0010-0000-4D00-00000A000000}" name="Justification" dataDxfId="241" totalsRowDxfId="0"/>
  </tableColumns>
  <tableStyleInfo name="TableStyleLight11" showFirstColumn="0" showLastColumn="0" showRowStripes="1" showColumnStripes="1"/>
</table>
</file>

<file path=xl/tables/table8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3" xr:uid="{00000000-000C-0000-FFFF-FFFF4E000000}" name="Table310286595105129150154" displayName="Table310286595105129150154" ref="B17:J25" totalsRowCount="1" headerRowDxfId="240" dataDxfId="239" totalsRowDxfId="238">
  <autoFilter ref="B17:J24" xr:uid="{00000000-0009-0000-0100-000099000000}"/>
  <tableColumns count="9">
    <tableColumn id="1" xr3:uid="{00000000-0010-0000-4E00-000001000000}" name="#" totalsRowLabel="Total" dataDxfId="237" totalsRowDxfId="236"/>
    <tableColumn id="2" xr3:uid="{00000000-0010-0000-4E00-000002000000}" name="*Program Code" dataDxfId="235" totalsRowDxfId="234"/>
    <tableColumn id="3" xr3:uid="{00000000-0010-0000-4E00-000003000000}" name="Program Description" dataDxfId="233" totalsRowDxfId="232">
      <calculatedColumnFormula>_xlfn.IFNA(INDEX(Program!A:A,MATCH(Table310286595105129150154[[#This Row],[*Program Code]],Program!B:B,0)),"")</calculatedColumnFormula>
    </tableColumn>
    <tableColumn id="4" xr3:uid="{00000000-0010-0000-4E00-000004000000}" name="*Description" dataDxfId="231" totalsRowDxfId="230"/>
    <tableColumn id="5" xr3:uid="{00000000-0010-0000-4E00-000005000000}" name="Existing Count" dataDxfId="229" totalsRowDxfId="228" dataCellStyle="Comma"/>
    <tableColumn id="6" xr3:uid="{00000000-0010-0000-4E00-000006000000}" name="*Quantity" dataDxfId="227" totalsRowDxfId="226"/>
    <tableColumn id="8" xr3:uid="{00000000-0010-0000-4E00-000008000000}" name="*Unit Price" dataDxfId="225" totalsRowDxfId="224" dataCellStyle="Comma"/>
    <tableColumn id="9" xr3:uid="{00000000-0010-0000-4E00-000009000000}" name="Total Expenditure" totalsRowFunction="sum" dataDxfId="223" totalsRowDxfId="222" dataCellStyle="Comma">
      <calculatedColumnFormula>Table310286595105129150154[[#This Row],[*Unit Price]]*Table310286595105129150154[[#This Row],[*Quantity]]</calculatedColumnFormula>
    </tableColumn>
    <tableColumn id="10" xr3:uid="{00000000-0010-0000-4E00-00000A000000}" name="Justification" dataDxfId="221" totalsRowDxfId="220"/>
  </tableColumns>
  <tableStyleInfo name="TableStyleLight11" showFirstColumn="0" showLastColumn="0" showRowStripes="1" showColumnStripes="1"/>
</table>
</file>

<file path=xl/tables/table8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4" xr:uid="{00000000-000C-0000-FFFF-FFFF4F000000}" name="Table310286595105129150154155" displayName="Table310286595105129150154155" ref="B28:J36" totalsRowCount="1" headerRowDxfId="219" dataDxfId="218" totalsRowDxfId="217">
  <autoFilter ref="B28:J35" xr:uid="{00000000-0009-0000-0100-00009A000000}"/>
  <tableColumns count="9">
    <tableColumn id="1" xr3:uid="{00000000-0010-0000-4F00-000001000000}" name="#" totalsRowLabel="Total" dataDxfId="216" totalsRowDxfId="215"/>
    <tableColumn id="2" xr3:uid="{00000000-0010-0000-4F00-000002000000}" name="*Program Code" dataDxfId="214" totalsRowDxfId="213"/>
    <tableColumn id="3" xr3:uid="{00000000-0010-0000-4F00-000003000000}" name="Program Description" dataDxfId="212" totalsRowDxfId="211">
      <calculatedColumnFormula>_xlfn.IFNA(INDEX(Program!A:A,MATCH(Table310286595105129150154155[[#This Row],[*Program Code]],Program!B:B,0)),"")</calculatedColumnFormula>
    </tableColumn>
    <tableColumn id="4" xr3:uid="{00000000-0010-0000-4F00-000004000000}" name="*Description" dataDxfId="210" totalsRowDxfId="209"/>
    <tableColumn id="5" xr3:uid="{00000000-0010-0000-4F00-000005000000}" name="Existing Count" dataDxfId="208" totalsRowDxfId="207" dataCellStyle="Comma"/>
    <tableColumn id="6" xr3:uid="{00000000-0010-0000-4F00-000006000000}" name="*Quantity" dataDxfId="206" totalsRowDxfId="205"/>
    <tableColumn id="8" xr3:uid="{00000000-0010-0000-4F00-000008000000}" name="*Unit Price" dataDxfId="204" totalsRowDxfId="203" dataCellStyle="Comma"/>
    <tableColumn id="9" xr3:uid="{00000000-0010-0000-4F00-000009000000}" name="Total Expenditure" totalsRowFunction="sum" dataDxfId="202" totalsRowDxfId="201" dataCellStyle="Comma">
      <calculatedColumnFormula>Table310286595105129150154155[[#This Row],[*Unit Price]]*Table310286595105129150154155[[#This Row],[*Quantity]]</calculatedColumnFormula>
    </tableColumn>
    <tableColumn id="10" xr3:uid="{00000000-0010-0000-4F00-00000A000000}" name="Justification" dataDxfId="200" totalsRowDxfId="199"/>
  </tableColumns>
  <tableStyleInfo name="TableStyleLight11" showFirstColumn="0" showLastColumn="0" showRowStripes="1" showColumnStripes="1"/>
</table>
</file>

<file path=xl/tables/table8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5" xr:uid="{00000000-000C-0000-FFFF-FFFF50000000}" name="Table310286595105129150154155156" displayName="Table310286595105129150154155156" ref="B39:J47" totalsRowCount="1" headerRowDxfId="198" dataDxfId="197" totalsRowDxfId="196">
  <autoFilter ref="B39:J46" xr:uid="{00000000-0009-0000-0100-00009B000000}"/>
  <tableColumns count="9">
    <tableColumn id="1" xr3:uid="{00000000-0010-0000-5000-000001000000}" name="#" totalsRowLabel="Total" dataDxfId="195" totalsRowDxfId="194"/>
    <tableColumn id="2" xr3:uid="{00000000-0010-0000-5000-000002000000}" name="*Program Code" dataDxfId="193" totalsRowDxfId="192"/>
    <tableColumn id="3" xr3:uid="{00000000-0010-0000-5000-000003000000}" name="Program Description" dataDxfId="191" totalsRowDxfId="190">
      <calculatedColumnFormula>_xlfn.IFNA(INDEX(Program!A:A,MATCH(Table310286595105129150154155156[[#This Row],[*Program Code]],Program!B:B,0)),"")</calculatedColumnFormula>
    </tableColumn>
    <tableColumn id="4" xr3:uid="{00000000-0010-0000-5000-000004000000}" name="*Description" dataDxfId="189" totalsRowDxfId="188"/>
    <tableColumn id="5" xr3:uid="{00000000-0010-0000-5000-000005000000}" name="Existing Count" dataDxfId="187" totalsRowDxfId="186" dataCellStyle="Comma"/>
    <tableColumn id="6" xr3:uid="{00000000-0010-0000-5000-000006000000}" name="*Quantity" dataDxfId="185" totalsRowDxfId="184"/>
    <tableColumn id="8" xr3:uid="{00000000-0010-0000-5000-000008000000}" name="*Unit Price" dataDxfId="183" totalsRowDxfId="182" dataCellStyle="Comma"/>
    <tableColumn id="9" xr3:uid="{00000000-0010-0000-5000-000009000000}" name="Total Expenditure" totalsRowFunction="sum" dataDxfId="181" totalsRowDxfId="180" dataCellStyle="Comma">
      <calculatedColumnFormula>Table310286595105129150154155156[[#This Row],[*Unit Price]]*Table310286595105129150154155156[[#This Row],[*Quantity]]</calculatedColumnFormula>
    </tableColumn>
    <tableColumn id="10" xr3:uid="{00000000-0010-0000-5000-00000A000000}" name="Justification" dataDxfId="179" totalsRowDxfId="178"/>
  </tableColumns>
  <tableStyleInfo name="TableStyleLight11" showFirstColumn="0" showLastColumn="0" showRowStripes="1" showColumnStripes="1"/>
</table>
</file>

<file path=xl/tables/table8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6" xr:uid="{00000000-000C-0000-FFFF-FFFF51000000}" name="Table310286595105129150154155156157" displayName="Table310286595105129150154155156157" ref="B50:J58" totalsRowCount="1" headerRowDxfId="177" dataDxfId="176" totalsRowDxfId="175">
  <autoFilter ref="B50:J57" xr:uid="{00000000-0009-0000-0100-00009C000000}"/>
  <tableColumns count="9">
    <tableColumn id="1" xr3:uid="{00000000-0010-0000-5100-000001000000}" name="#" totalsRowLabel="Total" dataDxfId="174" totalsRowDxfId="173"/>
    <tableColumn id="2" xr3:uid="{00000000-0010-0000-5100-000002000000}" name="*Program Code" dataDxfId="172" totalsRowDxfId="171"/>
    <tableColumn id="3" xr3:uid="{00000000-0010-0000-5100-000003000000}" name="Program Description" dataDxfId="170" totalsRowDxfId="169">
      <calculatedColumnFormula>_xlfn.IFNA(INDEX(Program!A:A,MATCH(Table310286595105129150154155156157[[#This Row],[*Program Code]],Program!B:B,0)),"")</calculatedColumnFormula>
    </tableColumn>
    <tableColumn id="4" xr3:uid="{00000000-0010-0000-5100-000004000000}" name="*Description" dataDxfId="168" totalsRowDxfId="167"/>
    <tableColumn id="5" xr3:uid="{00000000-0010-0000-5100-000005000000}" name="Existing Count" dataDxfId="166" totalsRowDxfId="165" dataCellStyle="Comma"/>
    <tableColumn id="6" xr3:uid="{00000000-0010-0000-5100-000006000000}" name="*Quantity" dataDxfId="164" totalsRowDxfId="163"/>
    <tableColumn id="8" xr3:uid="{00000000-0010-0000-5100-000008000000}" name="*Unit Price" dataDxfId="162" totalsRowDxfId="161" dataCellStyle="Comma"/>
    <tableColumn id="9" xr3:uid="{00000000-0010-0000-5100-000009000000}" name="Total Expenditure" totalsRowFunction="sum" dataDxfId="160" totalsRowDxfId="159" dataCellStyle="Comma">
      <calculatedColumnFormula>Table310286595105129150154155156157[[#This Row],[*Unit Price]]*Table310286595105129150154155156157[[#This Row],[*Quantity]]</calculatedColumnFormula>
    </tableColumn>
    <tableColumn id="10" xr3:uid="{00000000-0010-0000-5100-00000A000000}" name="Justification" dataDxfId="158" totalsRowDxfId="157"/>
  </tableColumns>
  <tableStyleInfo name="TableStyleLight11" showFirstColumn="0" showLastColumn="0" showRowStripes="1" showColumnStripes="1"/>
</table>
</file>

<file path=xl/tables/table8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7" xr:uid="{00000000-000C-0000-FFFF-FFFF52000000}" name="Table310286595105129150154155156157158" displayName="Table310286595105129150154155156157158" ref="B61:J69" totalsRowCount="1" headerRowDxfId="156" dataDxfId="155" totalsRowDxfId="154">
  <autoFilter ref="B61:J68" xr:uid="{00000000-0009-0000-0100-00009D000000}"/>
  <tableColumns count="9">
    <tableColumn id="1" xr3:uid="{00000000-0010-0000-5200-000001000000}" name="#" totalsRowLabel="Total" dataDxfId="153" totalsRowDxfId="152"/>
    <tableColumn id="2" xr3:uid="{00000000-0010-0000-5200-000002000000}" name="*Program Code" dataDxfId="151" totalsRowDxfId="150"/>
    <tableColumn id="3" xr3:uid="{00000000-0010-0000-5200-000003000000}" name="Program Description" dataDxfId="149" totalsRowDxfId="148">
      <calculatedColumnFormula>_xlfn.IFNA(INDEX(Program!A:A,MATCH(Table310286595105129150154155156157158[[#This Row],[*Program Code]],Program!B:B,0)),"")</calculatedColumnFormula>
    </tableColumn>
    <tableColumn id="4" xr3:uid="{00000000-0010-0000-5200-000004000000}" name="*Description" dataDxfId="147" totalsRowDxfId="146"/>
    <tableColumn id="5" xr3:uid="{00000000-0010-0000-5200-000005000000}" name="Existing Count" dataDxfId="145" totalsRowDxfId="144" dataCellStyle="Comma"/>
    <tableColumn id="6" xr3:uid="{00000000-0010-0000-5200-000006000000}" name="*Quantity" dataDxfId="143" totalsRowDxfId="142"/>
    <tableColumn id="8" xr3:uid="{00000000-0010-0000-5200-000008000000}" name="*Unit Price" dataDxfId="141" totalsRowDxfId="140" dataCellStyle="Comma"/>
    <tableColumn id="9" xr3:uid="{00000000-0010-0000-5200-000009000000}" name="Total Expenditure" totalsRowFunction="sum" dataDxfId="139" totalsRowDxfId="138" dataCellStyle="Comma">
      <calculatedColumnFormula>Table310286595105129150154155156157158[[#This Row],[*Unit Price]]*Table310286595105129150154155156157158[[#This Row],[*Quantity]]</calculatedColumnFormula>
    </tableColumn>
    <tableColumn id="10" xr3:uid="{00000000-0010-0000-5200-00000A000000}" name="Justification" dataDxfId="137" totalsRowDxfId="136"/>
  </tableColumns>
  <tableStyleInfo name="TableStyleLight11" showFirstColumn="0" showLastColumn="0" showRowStripes="1" showColumnStripes="1"/>
</table>
</file>

<file path=xl/tables/table8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8" xr:uid="{00000000-000C-0000-FFFF-FFFF53000000}" name="Table310286595105129150154155156157158159" displayName="Table310286595105129150154155156157158159" ref="B72:J80" totalsRowCount="1" headerRowDxfId="135" dataDxfId="134" totalsRowDxfId="133">
  <autoFilter ref="B72:J79" xr:uid="{00000000-0009-0000-0100-00009E000000}"/>
  <tableColumns count="9">
    <tableColumn id="1" xr3:uid="{00000000-0010-0000-5300-000001000000}" name="#" totalsRowLabel="Total" dataDxfId="132" totalsRowDxfId="131"/>
    <tableColumn id="2" xr3:uid="{00000000-0010-0000-5300-000002000000}" name="*Program Code" dataDxfId="130" totalsRowDxfId="129"/>
    <tableColumn id="3" xr3:uid="{00000000-0010-0000-5300-000003000000}" name="Program Description" dataDxfId="128" totalsRowDxfId="127">
      <calculatedColumnFormula>_xlfn.IFNA(INDEX(Program!A:A,MATCH(Table310286595105129150154155156157158159[[#This Row],[*Program Code]],Program!B:B,0)),"")</calculatedColumnFormula>
    </tableColumn>
    <tableColumn id="4" xr3:uid="{00000000-0010-0000-5300-000004000000}" name="*Description" dataDxfId="126" totalsRowDxfId="125"/>
    <tableColumn id="5" xr3:uid="{00000000-0010-0000-5300-000005000000}" name="Existing Count" dataDxfId="124" totalsRowDxfId="123" dataCellStyle="Comma"/>
    <tableColumn id="6" xr3:uid="{00000000-0010-0000-5300-000006000000}" name="*Quantity" dataDxfId="122" totalsRowDxfId="121"/>
    <tableColumn id="8" xr3:uid="{00000000-0010-0000-5300-000008000000}" name="*Unit Price" dataDxfId="120" totalsRowDxfId="119" dataCellStyle="Comma"/>
    <tableColumn id="9" xr3:uid="{00000000-0010-0000-5300-000009000000}" name="Total Expenditure" totalsRowFunction="sum" dataDxfId="118" totalsRowDxfId="117" dataCellStyle="Comma">
      <calculatedColumnFormula>Table310286595105129150154155156157158159[[#This Row],[*Unit Price]]*Table310286595105129150154155156157158159[[#This Row],[*Quantity]]</calculatedColumnFormula>
    </tableColumn>
    <tableColumn id="10" xr3:uid="{00000000-0010-0000-5300-00000A000000}" name="Justification" dataDxfId="116" totalsRowDxfId="115"/>
  </tableColumns>
  <tableStyleInfo name="TableStyleLight11" showFirstColumn="0" showLastColumn="0" showRowStripes="1" showColumnStripes="1"/>
</table>
</file>

<file path=xl/tables/table8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9" xr:uid="{00000000-000C-0000-FFFF-FFFF54000000}" name="Table310286595105129150154155156157158159160" displayName="Table310286595105129150154155156157158159160" ref="B83:J91" totalsRowCount="1" headerRowDxfId="114" dataDxfId="113" totalsRowDxfId="112">
  <autoFilter ref="B83:J90" xr:uid="{00000000-0009-0000-0100-00009F000000}"/>
  <tableColumns count="9">
    <tableColumn id="1" xr3:uid="{00000000-0010-0000-5400-000001000000}" name="#" totalsRowLabel="Total" dataDxfId="111" totalsRowDxfId="110"/>
    <tableColumn id="2" xr3:uid="{00000000-0010-0000-5400-000002000000}" name="*Program Code" dataDxfId="109" totalsRowDxfId="108"/>
    <tableColumn id="3" xr3:uid="{00000000-0010-0000-5400-000003000000}" name="Program Description" dataDxfId="107" totalsRowDxfId="106">
      <calculatedColumnFormula>_xlfn.IFNA(INDEX(Program!A:A,MATCH(Table310286595105129150154155156157158159160[[#This Row],[*Program Code]],Program!B:B,0)),"")</calculatedColumnFormula>
    </tableColumn>
    <tableColumn id="4" xr3:uid="{00000000-0010-0000-5400-000004000000}" name="*Description" dataDxfId="105" totalsRowDxfId="104"/>
    <tableColumn id="5" xr3:uid="{00000000-0010-0000-5400-000005000000}" name="Existing Count" dataDxfId="103" totalsRowDxfId="102" dataCellStyle="Comma"/>
    <tableColumn id="6" xr3:uid="{00000000-0010-0000-5400-000006000000}" name="*Quantity" dataDxfId="101" totalsRowDxfId="100"/>
    <tableColumn id="8" xr3:uid="{00000000-0010-0000-5400-000008000000}" name="*Unit Price" dataDxfId="99" totalsRowDxfId="98" dataCellStyle="Comma"/>
    <tableColumn id="9" xr3:uid="{00000000-0010-0000-5400-000009000000}" name="Total Expenditure" totalsRowFunction="sum" dataDxfId="97" totalsRowDxfId="96" dataCellStyle="Comma">
      <calculatedColumnFormula>Table310286595105129150154155156157158159160[[#This Row],[*Unit Price]]*Table310286595105129150154155156157158159160[[#This Row],[*Quantity]]</calculatedColumnFormula>
    </tableColumn>
    <tableColumn id="10" xr3:uid="{00000000-0010-0000-5400-00000A000000}" name="Justification" dataDxfId="95" totalsRowDxfId="94"/>
  </tableColumns>
  <tableStyleInfo name="TableStyleLight11" showFirstColumn="0" showLastColumn="0" showRowStripes="1" showColumnStripes="1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8000000}" name="Table3101718" displayName="Table3101718" ref="B27:K35" totalsRowCount="1" headerRowDxfId="1880" dataDxfId="1879" totalsRowDxfId="1878">
  <autoFilter ref="B27:K34" xr:uid="{00000000-0009-0000-0100-000011000000}"/>
  <tableColumns count="10">
    <tableColumn id="1" xr3:uid="{00000000-0010-0000-0800-000001000000}" name="#" totalsRowLabel="Total" dataDxfId="1877" totalsRowDxfId="1876"/>
    <tableColumn id="2" xr3:uid="{00000000-0010-0000-0800-000002000000}" name="*Program Code" dataDxfId="1875" totalsRowDxfId="1874"/>
    <tableColumn id="3" xr3:uid="{00000000-0010-0000-0800-000003000000}" name="Program Description" dataDxfId="1873" totalsRowDxfId="1872">
      <calculatedColumnFormula>_xlfn.IFNA(INDEX(Program!A:A,MATCH(Table3101718[[#This Row],[*Program Code]],Program!B:B,0)),"")</calculatedColumnFormula>
    </tableColumn>
    <tableColumn id="4" xr3:uid="{00000000-0010-0000-0800-000004000000}" name="*Item Description" dataDxfId="1871" totalsRowDxfId="1870"/>
    <tableColumn id="5" xr3:uid="{00000000-0010-0000-0800-000005000000}" name="No. of Vehicles / Vessels" dataDxfId="1869" totalsRowDxfId="1868" dataCellStyle="Comma"/>
    <tableColumn id="6" xr3:uid="{00000000-0010-0000-0800-000006000000}" name="*Quantity" dataDxfId="1867" totalsRowDxfId="1866"/>
    <tableColumn id="7" xr3:uid="{00000000-0010-0000-0800-000007000000}" name="Unit of Measure" dataDxfId="1865" totalsRowDxfId="1864" dataCellStyle="Comma"/>
    <tableColumn id="8" xr3:uid="{00000000-0010-0000-0800-000008000000}" name="*Unit Price" dataDxfId="1863" totalsRowDxfId="1862" dataCellStyle="Comma"/>
    <tableColumn id="9" xr3:uid="{00000000-0010-0000-0800-000009000000}" name="Total Expenditure" totalsRowFunction="sum" dataDxfId="1861" totalsRowDxfId="1860" dataCellStyle="Comma">
      <calculatedColumnFormula>Table3101718[[#This Row],[*Unit Price]]*Table3101718[[#This Row],[*Quantity]]</calculatedColumnFormula>
    </tableColumn>
    <tableColumn id="10" xr3:uid="{00000000-0010-0000-0800-00000A000000}" name="Justification" dataDxfId="1859" totalsRowDxfId="1858"/>
  </tableColumns>
  <tableStyleInfo name="TableStyleLight11" showFirstColumn="0" showLastColumn="0" showRowStripes="1" showColumnStripes="1"/>
</table>
</file>

<file path=xl/tables/table9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0" xr:uid="{00000000-000C-0000-FFFF-FFFF55000000}" name="Table310286595105129150154155156157158159160161" displayName="Table310286595105129150154155156157158159160161" ref="B94:J102" totalsRowCount="1" headerRowDxfId="93" dataDxfId="92" totalsRowDxfId="91">
  <autoFilter ref="B94:J101" xr:uid="{00000000-0009-0000-0100-0000A0000000}"/>
  <tableColumns count="9">
    <tableColumn id="1" xr3:uid="{00000000-0010-0000-5500-000001000000}" name="#" totalsRowLabel="Total" dataDxfId="90" totalsRowDxfId="89"/>
    <tableColumn id="2" xr3:uid="{00000000-0010-0000-5500-000002000000}" name="*Program Code" dataDxfId="88" totalsRowDxfId="87"/>
    <tableColumn id="3" xr3:uid="{00000000-0010-0000-5500-000003000000}" name="Program Description" dataDxfId="86" totalsRowDxfId="85">
      <calculatedColumnFormula>_xlfn.IFNA(INDEX(Program!A:A,MATCH(Table310286595105129150154155156157158159160161[[#This Row],[*Program Code]],Program!B:B,0)),"")</calculatedColumnFormula>
    </tableColumn>
    <tableColumn id="4" xr3:uid="{00000000-0010-0000-5500-000004000000}" name="*Description" dataDxfId="84" totalsRowDxfId="83"/>
    <tableColumn id="5" xr3:uid="{00000000-0010-0000-5500-000005000000}" name="Existing Count" dataDxfId="82" totalsRowDxfId="81" dataCellStyle="Comma"/>
    <tableColumn id="6" xr3:uid="{00000000-0010-0000-5500-000006000000}" name="*Quantity" dataDxfId="80" totalsRowDxfId="79"/>
    <tableColumn id="8" xr3:uid="{00000000-0010-0000-5500-000008000000}" name="*Unit Price" dataDxfId="78" totalsRowDxfId="77" dataCellStyle="Comma"/>
    <tableColumn id="9" xr3:uid="{00000000-0010-0000-5500-000009000000}" name="Total Expenditure" totalsRowFunction="sum" dataDxfId="76" totalsRowDxfId="75" dataCellStyle="Comma">
      <calculatedColumnFormula>Table310286595105129150154155156157158159160161[[#This Row],[*Unit Price]]*Table310286595105129150154155156157158159160161[[#This Row],[*Quantity]]</calculatedColumnFormula>
    </tableColumn>
    <tableColumn id="10" xr3:uid="{00000000-0010-0000-5500-00000A000000}" name="Justification" dataDxfId="74" totalsRowDxfId="73"/>
  </tableColumns>
  <tableStyleInfo name="TableStyleLight11" showFirstColumn="0" showLastColumn="0" showRowStripes="1" showColumnStripes="1"/>
</table>
</file>

<file path=xl/tables/table9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E0E0D207-ED97-4BDA-9145-234174656248}" name="Table31028659510512915015415515615715815916016113" displayName="Table31028659510512915015415515615715815916016113" ref="B105:J113" totalsRowCount="1" headerRowDxfId="72" dataDxfId="71" totalsRowDxfId="70">
  <autoFilter ref="B105:J112" xr:uid="{706EBE4C-A13F-409F-A275-17C1C8204B9E}"/>
  <tableColumns count="9">
    <tableColumn id="1" xr3:uid="{D8613526-1847-4F1A-85E5-5A3BB3040DB5}" name="#" totalsRowLabel="Total" dataDxfId="69" totalsRowDxfId="68"/>
    <tableColumn id="2" xr3:uid="{C402DFFD-7B20-4091-A9F3-37F8B9FCBF9F}" name="*Program Code" dataDxfId="67" totalsRowDxfId="66"/>
    <tableColumn id="3" xr3:uid="{F3EACF58-16A3-4CF9-AADD-AE06FE641BF7}" name="Program Description" dataDxfId="65" totalsRowDxfId="64">
      <calculatedColumnFormula>_xlfn.IFNA(INDEX(Program!A:A,MATCH(Table31028659510512915015415515615715815916016113[[#This Row],[*Program Code]],Program!B:B,0)),"")</calculatedColumnFormula>
    </tableColumn>
    <tableColumn id="4" xr3:uid="{6874A270-1867-4161-98D2-7192D04E16C8}" name="*Description" dataDxfId="63" totalsRowDxfId="62"/>
    <tableColumn id="5" xr3:uid="{5578B8F6-D627-47FC-953C-9936F9BA5C58}" name="Existing Count" dataDxfId="61" totalsRowDxfId="60" dataCellStyle="Comma"/>
    <tableColumn id="6" xr3:uid="{6C5D3BA7-7CC3-4381-A3FE-369BE0ACA6D0}" name="*Quantity" dataDxfId="59" totalsRowDxfId="58"/>
    <tableColumn id="8" xr3:uid="{3AB18647-73AD-4C88-BA22-CE7E939909B3}" name="*Unit Price" dataDxfId="57" totalsRowDxfId="56" dataCellStyle="Comma"/>
    <tableColumn id="9" xr3:uid="{42CA222B-F7DF-4C23-BECE-E54B48FB9EEA}" name="Total Expenditure" totalsRowFunction="sum" dataDxfId="55" totalsRowDxfId="54" dataCellStyle="Comma">
      <calculatedColumnFormula>Table31028659510512915015415515615715815916016113[[#This Row],[*Unit Price]]*Table31028659510512915015415515615715815916016113[[#This Row],[*Quantity]]</calculatedColumnFormula>
    </tableColumn>
    <tableColumn id="10" xr3:uid="{FF7EDC49-CC6D-41E2-82AD-0C80FFFDE978}" name="Justification" dataDxfId="53" totalsRowDxfId="52"/>
  </tableColumns>
  <tableStyleInfo name="TableStyleLight11" showFirstColumn="0" showLastColumn="0" showRowStripes="1" showColumnStripes="1"/>
</table>
</file>

<file path=xl/tables/table9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1F86DEC4-A409-4E33-B3D6-D03006339945}" name="Table3102865951051291501541551561571581591601611314" displayName="Table3102865951051291501541551561571581591601611314" ref="B116:J124" totalsRowCount="1" headerRowDxfId="51" dataDxfId="50" totalsRowDxfId="49">
  <autoFilter ref="B116:J123" xr:uid="{0C1A8995-2CB3-4115-8B05-186AE33BAD83}"/>
  <tableColumns count="9">
    <tableColumn id="1" xr3:uid="{394195AE-A256-49FB-8BFB-1BAF35B63EFD}" name="#" totalsRowLabel="Total" dataDxfId="48" totalsRowDxfId="47"/>
    <tableColumn id="2" xr3:uid="{BCA45E0C-017F-4FED-B50D-447DA2B36959}" name="*Program Code" dataDxfId="46" totalsRowDxfId="45"/>
    <tableColumn id="3" xr3:uid="{6CFE9381-DC17-498D-AD1B-06861809FBA2}" name="Program Description" dataDxfId="44" totalsRowDxfId="43">
      <calculatedColumnFormula>_xlfn.IFNA(INDEX(Program!A:A,MATCH(Table3102865951051291501541551561571581591601611314[[#This Row],[*Program Code]],Program!B:B,0)),"")</calculatedColumnFormula>
    </tableColumn>
    <tableColumn id="4" xr3:uid="{BDEBB200-5A6F-4D6E-8FAB-7450F4680EA1}" name="*Description" dataDxfId="42" totalsRowDxfId="41"/>
    <tableColumn id="5" xr3:uid="{8BDF5AF0-9C87-41A2-BE9C-80AF694945AB}" name="Existing Count" dataDxfId="40" totalsRowDxfId="39" dataCellStyle="Comma"/>
    <tableColumn id="6" xr3:uid="{52E1D447-8767-4364-BD97-F6417168389E}" name="*Quantity" dataDxfId="38" totalsRowDxfId="37"/>
    <tableColumn id="8" xr3:uid="{2AF4D0AC-619E-4674-97D9-AF2456822157}" name="*Unit Price" dataDxfId="36" totalsRowDxfId="35" dataCellStyle="Comma"/>
    <tableColumn id="9" xr3:uid="{C30062C4-8276-4D5E-8DB0-9E6E61724C6C}" name="Total Expenditure" totalsRowFunction="sum" dataDxfId="34" totalsRowDxfId="33" dataCellStyle="Comma">
      <calculatedColumnFormula>Table3102865951051291501541551561571581591601611314[[#This Row],[*Unit Price]]*Table3102865951051291501541551561571581591601611314[[#This Row],[*Quantity]]</calculatedColumnFormula>
    </tableColumn>
    <tableColumn id="10" xr3:uid="{30FABF5A-804D-450D-888C-A69BD28F62B3}" name="Justification" dataDxfId="32" totalsRowDxfId="31"/>
  </tableColumns>
  <tableStyleInfo name="TableStyleLight11" showFirstColumn="0" showLastColumn="0" showRowStripes="1" showColumnStripes="1"/>
</table>
</file>

<file path=xl/tables/table9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73EFC454-538E-4A49-839E-28CBEB1A39F1}" name="Table3102865951051291501541551561571581591601611315" displayName="Table3102865951051291501541551561571581591601611315" ref="B127:J135" totalsRowCount="1" headerRowDxfId="30" dataDxfId="29" totalsRowDxfId="28">
  <autoFilter ref="B127:J134" xr:uid="{83AEC4FD-1A79-417A-B5E8-5A9410CFA71F}"/>
  <tableColumns count="9">
    <tableColumn id="1" xr3:uid="{DAE5378B-3E6E-4939-83F2-2F0573852655}" name="#" totalsRowLabel="Total" dataDxfId="27" totalsRowDxfId="26"/>
    <tableColumn id="2" xr3:uid="{93B70728-3981-4457-8F96-CB150F228D63}" name="*Program Code" dataDxfId="25" totalsRowDxfId="24"/>
    <tableColumn id="3" xr3:uid="{5B7BCF3E-4605-4478-A2C8-072DC8D8180B}" name="Program Description" dataDxfId="23" totalsRowDxfId="22">
      <calculatedColumnFormula>_xlfn.IFNA(INDEX(Program!A:A,MATCH(Table3102865951051291501541551561571581591601611315[[#This Row],[*Program Code]],Program!B:B,0)),"")</calculatedColumnFormula>
    </tableColumn>
    <tableColumn id="4" xr3:uid="{5CCFBB69-E405-4EA9-ADA5-8A8B594FDB99}" name="*Description" dataDxfId="21" totalsRowDxfId="20"/>
    <tableColumn id="5" xr3:uid="{7FC02232-05C1-4930-979A-C16C36FD1CB7}" name="Existing Count" dataDxfId="19" totalsRowDxfId="18" dataCellStyle="Comma"/>
    <tableColumn id="6" xr3:uid="{36B3DA89-71C5-4D2A-81D5-57566AE4292E}" name="*Quantity" dataDxfId="17" totalsRowDxfId="16"/>
    <tableColumn id="8" xr3:uid="{A4F42474-69BD-474D-B38E-1226A5A12CEB}" name="*Unit Price" dataDxfId="15" totalsRowDxfId="14" dataCellStyle="Comma"/>
    <tableColumn id="9" xr3:uid="{27535440-9E75-4240-8143-0BE5C80BEB3C}" name="Total Expenditure" totalsRowFunction="sum" dataDxfId="13" totalsRowDxfId="12" dataCellStyle="Comma">
      <calculatedColumnFormula>Table3102865951051291501541551561571581591601611315[[#This Row],[*Unit Price]]*Table3102865951051291501541551561571581591601611315[[#This Row],[*Quantity]]</calculatedColumnFormula>
    </tableColumn>
    <tableColumn id="10" xr3:uid="{FA8819FF-463E-4E71-890B-EFAD9E707668}" name="Justification" dataDxfId="11" totalsRowDxfId="10"/>
  </tableColumns>
  <tableStyleInfo name="TableStyleLight11" showFirstColumn="0" showLastColumn="0" showRowStripes="1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customProperty" Target="../customProperty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3.xml"/><Relationship Id="rId13" Type="http://schemas.openxmlformats.org/officeDocument/2006/relationships/table" Target="../tables/table18.xml"/><Relationship Id="rId3" Type="http://schemas.openxmlformats.org/officeDocument/2006/relationships/table" Target="../tables/table8.xml"/><Relationship Id="rId7" Type="http://schemas.openxmlformats.org/officeDocument/2006/relationships/table" Target="../tables/table12.xml"/><Relationship Id="rId12" Type="http://schemas.openxmlformats.org/officeDocument/2006/relationships/table" Target="../tables/table17.xml"/><Relationship Id="rId2" Type="http://schemas.openxmlformats.org/officeDocument/2006/relationships/table" Target="../tables/table7.xml"/><Relationship Id="rId1" Type="http://schemas.openxmlformats.org/officeDocument/2006/relationships/customProperty" Target="../customProperty3.bin"/><Relationship Id="rId6" Type="http://schemas.openxmlformats.org/officeDocument/2006/relationships/table" Target="../tables/table11.xml"/><Relationship Id="rId11" Type="http://schemas.openxmlformats.org/officeDocument/2006/relationships/table" Target="../tables/table16.xml"/><Relationship Id="rId5" Type="http://schemas.openxmlformats.org/officeDocument/2006/relationships/table" Target="../tables/table10.xml"/><Relationship Id="rId10" Type="http://schemas.openxmlformats.org/officeDocument/2006/relationships/table" Target="../tables/table15.xml"/><Relationship Id="rId4" Type="http://schemas.openxmlformats.org/officeDocument/2006/relationships/table" Target="../tables/table9.xml"/><Relationship Id="rId9" Type="http://schemas.openxmlformats.org/officeDocument/2006/relationships/table" Target="../tables/table14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5.xml"/><Relationship Id="rId13" Type="http://schemas.openxmlformats.org/officeDocument/2006/relationships/table" Target="../tables/table30.xml"/><Relationship Id="rId18" Type="http://schemas.openxmlformats.org/officeDocument/2006/relationships/table" Target="../tables/table35.xml"/><Relationship Id="rId26" Type="http://schemas.openxmlformats.org/officeDocument/2006/relationships/table" Target="../tables/table43.xml"/><Relationship Id="rId3" Type="http://schemas.openxmlformats.org/officeDocument/2006/relationships/table" Target="../tables/table20.xml"/><Relationship Id="rId21" Type="http://schemas.openxmlformats.org/officeDocument/2006/relationships/table" Target="../tables/table38.xml"/><Relationship Id="rId7" Type="http://schemas.openxmlformats.org/officeDocument/2006/relationships/table" Target="../tables/table24.xml"/><Relationship Id="rId12" Type="http://schemas.openxmlformats.org/officeDocument/2006/relationships/table" Target="../tables/table29.xml"/><Relationship Id="rId17" Type="http://schemas.openxmlformats.org/officeDocument/2006/relationships/table" Target="../tables/table34.xml"/><Relationship Id="rId25" Type="http://schemas.openxmlformats.org/officeDocument/2006/relationships/table" Target="../tables/table42.xml"/><Relationship Id="rId2" Type="http://schemas.openxmlformats.org/officeDocument/2006/relationships/table" Target="../tables/table19.xml"/><Relationship Id="rId16" Type="http://schemas.openxmlformats.org/officeDocument/2006/relationships/table" Target="../tables/table33.xml"/><Relationship Id="rId20" Type="http://schemas.openxmlformats.org/officeDocument/2006/relationships/table" Target="../tables/table37.xml"/><Relationship Id="rId1" Type="http://schemas.openxmlformats.org/officeDocument/2006/relationships/customProperty" Target="../customProperty4.bin"/><Relationship Id="rId6" Type="http://schemas.openxmlformats.org/officeDocument/2006/relationships/table" Target="../tables/table23.xml"/><Relationship Id="rId11" Type="http://schemas.openxmlformats.org/officeDocument/2006/relationships/table" Target="../tables/table28.xml"/><Relationship Id="rId24" Type="http://schemas.openxmlformats.org/officeDocument/2006/relationships/table" Target="../tables/table41.xml"/><Relationship Id="rId5" Type="http://schemas.openxmlformats.org/officeDocument/2006/relationships/table" Target="../tables/table22.xml"/><Relationship Id="rId15" Type="http://schemas.openxmlformats.org/officeDocument/2006/relationships/table" Target="../tables/table32.xml"/><Relationship Id="rId23" Type="http://schemas.openxmlformats.org/officeDocument/2006/relationships/table" Target="../tables/table40.xml"/><Relationship Id="rId28" Type="http://schemas.openxmlformats.org/officeDocument/2006/relationships/table" Target="../tables/table45.xml"/><Relationship Id="rId10" Type="http://schemas.openxmlformats.org/officeDocument/2006/relationships/table" Target="../tables/table27.xml"/><Relationship Id="rId19" Type="http://schemas.openxmlformats.org/officeDocument/2006/relationships/table" Target="../tables/table36.xml"/><Relationship Id="rId4" Type="http://schemas.openxmlformats.org/officeDocument/2006/relationships/table" Target="../tables/table21.xml"/><Relationship Id="rId9" Type="http://schemas.openxmlformats.org/officeDocument/2006/relationships/table" Target="../tables/table26.xml"/><Relationship Id="rId14" Type="http://schemas.openxmlformats.org/officeDocument/2006/relationships/table" Target="../tables/table31.xml"/><Relationship Id="rId22" Type="http://schemas.openxmlformats.org/officeDocument/2006/relationships/table" Target="../tables/table39.xml"/><Relationship Id="rId27" Type="http://schemas.openxmlformats.org/officeDocument/2006/relationships/table" Target="../tables/table4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7.xml"/><Relationship Id="rId2" Type="http://schemas.openxmlformats.org/officeDocument/2006/relationships/table" Target="../tables/table46.xml"/><Relationship Id="rId1" Type="http://schemas.openxmlformats.org/officeDocument/2006/relationships/customProperty" Target="../customProperty5.bin"/><Relationship Id="rId6" Type="http://schemas.openxmlformats.org/officeDocument/2006/relationships/table" Target="../tables/table50.xml"/><Relationship Id="rId5" Type="http://schemas.openxmlformats.org/officeDocument/2006/relationships/table" Target="../tables/table49.xml"/><Relationship Id="rId4" Type="http://schemas.openxmlformats.org/officeDocument/2006/relationships/table" Target="../tables/table4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2.xml"/><Relationship Id="rId7" Type="http://schemas.openxmlformats.org/officeDocument/2006/relationships/table" Target="../tables/table56.xml"/><Relationship Id="rId2" Type="http://schemas.openxmlformats.org/officeDocument/2006/relationships/table" Target="../tables/table51.xml"/><Relationship Id="rId1" Type="http://schemas.openxmlformats.org/officeDocument/2006/relationships/customProperty" Target="../customProperty6.bin"/><Relationship Id="rId6" Type="http://schemas.openxmlformats.org/officeDocument/2006/relationships/table" Target="../tables/table55.xml"/><Relationship Id="rId5" Type="http://schemas.openxmlformats.org/officeDocument/2006/relationships/table" Target="../tables/table54.xml"/><Relationship Id="rId4" Type="http://schemas.openxmlformats.org/officeDocument/2006/relationships/table" Target="../tables/table53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3.xml"/><Relationship Id="rId13" Type="http://schemas.openxmlformats.org/officeDocument/2006/relationships/table" Target="../tables/table68.xml"/><Relationship Id="rId18" Type="http://schemas.openxmlformats.org/officeDocument/2006/relationships/table" Target="../tables/table73.xml"/><Relationship Id="rId3" Type="http://schemas.openxmlformats.org/officeDocument/2006/relationships/table" Target="../tables/table58.xml"/><Relationship Id="rId7" Type="http://schemas.openxmlformats.org/officeDocument/2006/relationships/table" Target="../tables/table62.xml"/><Relationship Id="rId12" Type="http://schemas.openxmlformats.org/officeDocument/2006/relationships/table" Target="../tables/table67.xml"/><Relationship Id="rId17" Type="http://schemas.openxmlformats.org/officeDocument/2006/relationships/table" Target="../tables/table72.xml"/><Relationship Id="rId2" Type="http://schemas.openxmlformats.org/officeDocument/2006/relationships/table" Target="../tables/table57.xml"/><Relationship Id="rId16" Type="http://schemas.openxmlformats.org/officeDocument/2006/relationships/table" Target="../tables/table71.xml"/><Relationship Id="rId1" Type="http://schemas.openxmlformats.org/officeDocument/2006/relationships/customProperty" Target="../customProperty7.bin"/><Relationship Id="rId6" Type="http://schemas.openxmlformats.org/officeDocument/2006/relationships/table" Target="../tables/table61.xml"/><Relationship Id="rId11" Type="http://schemas.openxmlformats.org/officeDocument/2006/relationships/table" Target="../tables/table66.xml"/><Relationship Id="rId5" Type="http://schemas.openxmlformats.org/officeDocument/2006/relationships/table" Target="../tables/table60.xml"/><Relationship Id="rId15" Type="http://schemas.openxmlformats.org/officeDocument/2006/relationships/table" Target="../tables/table70.xml"/><Relationship Id="rId10" Type="http://schemas.openxmlformats.org/officeDocument/2006/relationships/table" Target="../tables/table65.xml"/><Relationship Id="rId19" Type="http://schemas.openxmlformats.org/officeDocument/2006/relationships/table" Target="../tables/table74.xml"/><Relationship Id="rId4" Type="http://schemas.openxmlformats.org/officeDocument/2006/relationships/table" Target="../tables/table59.xml"/><Relationship Id="rId9" Type="http://schemas.openxmlformats.org/officeDocument/2006/relationships/table" Target="../tables/table64.xml"/><Relationship Id="rId14" Type="http://schemas.openxmlformats.org/officeDocument/2006/relationships/table" Target="../tables/table69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1.xml"/><Relationship Id="rId3" Type="http://schemas.openxmlformats.org/officeDocument/2006/relationships/table" Target="../tables/table76.xml"/><Relationship Id="rId7" Type="http://schemas.openxmlformats.org/officeDocument/2006/relationships/table" Target="../tables/table80.xml"/><Relationship Id="rId2" Type="http://schemas.openxmlformats.org/officeDocument/2006/relationships/table" Target="../tables/table75.xml"/><Relationship Id="rId1" Type="http://schemas.openxmlformats.org/officeDocument/2006/relationships/customProperty" Target="../customProperty8.bin"/><Relationship Id="rId6" Type="http://schemas.openxmlformats.org/officeDocument/2006/relationships/table" Target="../tables/table79.xml"/><Relationship Id="rId5" Type="http://schemas.openxmlformats.org/officeDocument/2006/relationships/table" Target="../tables/table78.xml"/><Relationship Id="rId4" Type="http://schemas.openxmlformats.org/officeDocument/2006/relationships/table" Target="../tables/table77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7.xml"/><Relationship Id="rId13" Type="http://schemas.openxmlformats.org/officeDocument/2006/relationships/table" Target="../tables/table92.xml"/><Relationship Id="rId3" Type="http://schemas.openxmlformats.org/officeDocument/2006/relationships/table" Target="../tables/table82.xml"/><Relationship Id="rId7" Type="http://schemas.openxmlformats.org/officeDocument/2006/relationships/table" Target="../tables/table86.xml"/><Relationship Id="rId12" Type="http://schemas.openxmlformats.org/officeDocument/2006/relationships/table" Target="../tables/table91.xml"/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85.xml"/><Relationship Id="rId11" Type="http://schemas.openxmlformats.org/officeDocument/2006/relationships/table" Target="../tables/table90.xml"/><Relationship Id="rId5" Type="http://schemas.openxmlformats.org/officeDocument/2006/relationships/table" Target="../tables/table84.xml"/><Relationship Id="rId10" Type="http://schemas.openxmlformats.org/officeDocument/2006/relationships/table" Target="../tables/table89.xml"/><Relationship Id="rId4" Type="http://schemas.openxmlformats.org/officeDocument/2006/relationships/table" Target="../tables/table83.xml"/><Relationship Id="rId9" Type="http://schemas.openxmlformats.org/officeDocument/2006/relationships/table" Target="../tables/table88.xml"/><Relationship Id="rId14" Type="http://schemas.openxmlformats.org/officeDocument/2006/relationships/table" Target="../tables/table9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2444"/>
  <sheetViews>
    <sheetView workbookViewId="0">
      <selection activeCell="B11" sqref="B11"/>
    </sheetView>
  </sheetViews>
  <sheetFormatPr defaultRowHeight="15.75" x14ac:dyDescent="0.25"/>
  <cols>
    <col min="1" max="1" width="41.42578125" style="1" customWidth="1"/>
    <col min="2" max="2" width="21.85546875" style="1" bestFit="1" customWidth="1"/>
    <col min="3" max="16384" width="9.140625" style="1"/>
  </cols>
  <sheetData>
    <row r="1" spans="1:2" x14ac:dyDescent="0.25">
      <c r="A1" s="1" t="s">
        <v>6</v>
      </c>
      <c r="B1" s="1" t="s">
        <v>7</v>
      </c>
    </row>
    <row r="2" spans="1:2" x14ac:dyDescent="0.25">
      <c r="A2" s="1" t="s">
        <v>8</v>
      </c>
      <c r="B2" s="1" t="s">
        <v>9</v>
      </c>
    </row>
    <row r="3" spans="1:2" x14ac:dyDescent="0.25">
      <c r="A3" s="1" t="s">
        <v>10</v>
      </c>
      <c r="B3" s="1" t="s">
        <v>11</v>
      </c>
    </row>
    <row r="4" spans="1:2" x14ac:dyDescent="0.25">
      <c r="A4" s="1" t="s">
        <v>12</v>
      </c>
      <c r="B4" s="1" t="s">
        <v>13</v>
      </c>
    </row>
    <row r="5" spans="1:2" x14ac:dyDescent="0.25">
      <c r="A5" s="1" t="s">
        <v>14</v>
      </c>
      <c r="B5" s="1" t="s">
        <v>15</v>
      </c>
    </row>
    <row r="6" spans="1:2" x14ac:dyDescent="0.25">
      <c r="A6" s="1" t="s">
        <v>16</v>
      </c>
      <c r="B6" s="1" t="s">
        <v>17</v>
      </c>
    </row>
    <row r="7" spans="1:2" x14ac:dyDescent="0.25">
      <c r="A7" s="1" t="s">
        <v>18</v>
      </c>
      <c r="B7" s="1" t="s">
        <v>19</v>
      </c>
    </row>
    <row r="8" spans="1:2" x14ac:dyDescent="0.25">
      <c r="A8" s="1" t="s">
        <v>20</v>
      </c>
      <c r="B8" s="1" t="s">
        <v>21</v>
      </c>
    </row>
    <row r="9" spans="1:2" x14ac:dyDescent="0.25">
      <c r="A9" s="1" t="s">
        <v>22</v>
      </c>
      <c r="B9" s="1" t="s">
        <v>23</v>
      </c>
    </row>
    <row r="10" spans="1:2" x14ac:dyDescent="0.25">
      <c r="A10" s="1" t="s">
        <v>24</v>
      </c>
      <c r="B10" s="1" t="s">
        <v>25</v>
      </c>
    </row>
    <row r="11" spans="1:2" x14ac:dyDescent="0.25">
      <c r="A11" s="1" t="s">
        <v>26</v>
      </c>
      <c r="B11" s="1" t="s">
        <v>27</v>
      </c>
    </row>
    <row r="12" spans="1:2" x14ac:dyDescent="0.25">
      <c r="A12" s="1" t="s">
        <v>28</v>
      </c>
      <c r="B12" s="1" t="s">
        <v>29</v>
      </c>
    </row>
    <row r="13" spans="1:2" x14ac:dyDescent="0.25">
      <c r="A13" s="1" t="s">
        <v>30</v>
      </c>
      <c r="B13" s="1" t="s">
        <v>31</v>
      </c>
    </row>
    <row r="14" spans="1:2" x14ac:dyDescent="0.25">
      <c r="A14" s="1" t="s">
        <v>32</v>
      </c>
      <c r="B14" s="1" t="s">
        <v>33</v>
      </c>
    </row>
    <row r="15" spans="1:2" x14ac:dyDescent="0.25">
      <c r="A15" s="1" t="s">
        <v>34</v>
      </c>
      <c r="B15" s="1" t="s">
        <v>35</v>
      </c>
    </row>
    <row r="16" spans="1:2" x14ac:dyDescent="0.25">
      <c r="A16" s="1" t="s">
        <v>36</v>
      </c>
      <c r="B16" s="1" t="s">
        <v>37</v>
      </c>
    </row>
    <row r="17" spans="1:2" x14ac:dyDescent="0.25">
      <c r="A17" s="1" t="s">
        <v>38</v>
      </c>
      <c r="B17" s="1" t="s">
        <v>39</v>
      </c>
    </row>
    <row r="18" spans="1:2" x14ac:dyDescent="0.25">
      <c r="A18" s="1" t="s">
        <v>40</v>
      </c>
      <c r="B18" s="1" t="s">
        <v>41</v>
      </c>
    </row>
    <row r="19" spans="1:2" x14ac:dyDescent="0.25">
      <c r="A19" s="1" t="s">
        <v>42</v>
      </c>
      <c r="B19" s="1" t="s">
        <v>43</v>
      </c>
    </row>
    <row r="20" spans="1:2" x14ac:dyDescent="0.25">
      <c r="A20" s="1" t="s">
        <v>44</v>
      </c>
      <c r="B20" s="1" t="s">
        <v>45</v>
      </c>
    </row>
    <row r="21" spans="1:2" x14ac:dyDescent="0.25">
      <c r="A21" s="1" t="s">
        <v>46</v>
      </c>
      <c r="B21" s="1" t="s">
        <v>47</v>
      </c>
    </row>
    <row r="22" spans="1:2" x14ac:dyDescent="0.25">
      <c r="A22" s="1" t="s">
        <v>48</v>
      </c>
      <c r="B22" s="1" t="s">
        <v>49</v>
      </c>
    </row>
    <row r="23" spans="1:2" x14ac:dyDescent="0.25">
      <c r="A23" s="1" t="s">
        <v>50</v>
      </c>
      <c r="B23" s="1" t="s">
        <v>51</v>
      </c>
    </row>
    <row r="24" spans="1:2" x14ac:dyDescent="0.25">
      <c r="A24" s="1" t="s">
        <v>52</v>
      </c>
      <c r="B24" s="1" t="s">
        <v>53</v>
      </c>
    </row>
    <row r="25" spans="1:2" x14ac:dyDescent="0.25">
      <c r="A25" s="1" t="s">
        <v>54</v>
      </c>
      <c r="B25" s="1" t="s">
        <v>55</v>
      </c>
    </row>
    <row r="26" spans="1:2" x14ac:dyDescent="0.25">
      <c r="A26" s="1" t="s">
        <v>56</v>
      </c>
      <c r="B26" s="1" t="s">
        <v>57</v>
      </c>
    </row>
    <row r="27" spans="1:2" x14ac:dyDescent="0.25">
      <c r="A27" s="1" t="s">
        <v>58</v>
      </c>
      <c r="B27" s="1" t="s">
        <v>59</v>
      </c>
    </row>
    <row r="28" spans="1:2" x14ac:dyDescent="0.25">
      <c r="A28" s="1" t="s">
        <v>60</v>
      </c>
      <c r="B28" s="1" t="s">
        <v>61</v>
      </c>
    </row>
    <row r="29" spans="1:2" x14ac:dyDescent="0.25">
      <c r="A29" s="1" t="s">
        <v>62</v>
      </c>
      <c r="B29" s="1" t="s">
        <v>63</v>
      </c>
    </row>
    <row r="30" spans="1:2" x14ac:dyDescent="0.25">
      <c r="A30" s="1" t="s">
        <v>64</v>
      </c>
      <c r="B30" s="1" t="s">
        <v>65</v>
      </c>
    </row>
    <row r="31" spans="1:2" x14ac:dyDescent="0.25">
      <c r="A31" s="1" t="s">
        <v>66</v>
      </c>
      <c r="B31" s="1" t="s">
        <v>67</v>
      </c>
    </row>
    <row r="32" spans="1:2" x14ac:dyDescent="0.25">
      <c r="A32" s="1" t="s">
        <v>68</v>
      </c>
      <c r="B32" s="1" t="s">
        <v>69</v>
      </c>
    </row>
    <row r="33" spans="1:2" x14ac:dyDescent="0.25">
      <c r="A33" s="1" t="s">
        <v>70</v>
      </c>
      <c r="B33" s="1" t="s">
        <v>71</v>
      </c>
    </row>
    <row r="34" spans="1:2" x14ac:dyDescent="0.25">
      <c r="A34" s="1" t="s">
        <v>72</v>
      </c>
      <c r="B34" s="1" t="s">
        <v>73</v>
      </c>
    </row>
    <row r="35" spans="1:2" x14ac:dyDescent="0.25">
      <c r="A35" s="1" t="s">
        <v>74</v>
      </c>
      <c r="B35" s="1" t="s">
        <v>75</v>
      </c>
    </row>
    <row r="36" spans="1:2" x14ac:dyDescent="0.25">
      <c r="A36" s="1" t="s">
        <v>76</v>
      </c>
      <c r="B36" s="1" t="s">
        <v>77</v>
      </c>
    </row>
    <row r="37" spans="1:2" x14ac:dyDescent="0.25">
      <c r="A37" s="1" t="s">
        <v>78</v>
      </c>
      <c r="B37" s="1" t="s">
        <v>79</v>
      </c>
    </row>
    <row r="38" spans="1:2" x14ac:dyDescent="0.25">
      <c r="A38" s="1" t="s">
        <v>80</v>
      </c>
      <c r="B38" s="1" t="s">
        <v>81</v>
      </c>
    </row>
    <row r="39" spans="1:2" x14ac:dyDescent="0.25">
      <c r="A39" s="1" t="s">
        <v>82</v>
      </c>
      <c r="B39" s="1" t="s">
        <v>83</v>
      </c>
    </row>
    <row r="40" spans="1:2" x14ac:dyDescent="0.25">
      <c r="A40" s="1" t="s">
        <v>84</v>
      </c>
      <c r="B40" s="1" t="s">
        <v>85</v>
      </c>
    </row>
    <row r="41" spans="1:2" x14ac:dyDescent="0.25">
      <c r="A41" s="1" t="s">
        <v>86</v>
      </c>
      <c r="B41" s="1" t="s">
        <v>87</v>
      </c>
    </row>
    <row r="42" spans="1:2" x14ac:dyDescent="0.25">
      <c r="A42" s="1" t="s">
        <v>88</v>
      </c>
      <c r="B42" s="1" t="s">
        <v>89</v>
      </c>
    </row>
    <row r="43" spans="1:2" x14ac:dyDescent="0.25">
      <c r="A43" s="1" t="s">
        <v>90</v>
      </c>
      <c r="B43" s="1" t="s">
        <v>91</v>
      </c>
    </row>
    <row r="44" spans="1:2" x14ac:dyDescent="0.25">
      <c r="A44" s="1" t="s">
        <v>92</v>
      </c>
      <c r="B44" s="1" t="s">
        <v>93</v>
      </c>
    </row>
    <row r="45" spans="1:2" x14ac:dyDescent="0.25">
      <c r="A45" s="1" t="s">
        <v>94</v>
      </c>
      <c r="B45" s="1" t="s">
        <v>95</v>
      </c>
    </row>
    <row r="46" spans="1:2" x14ac:dyDescent="0.25">
      <c r="A46" s="1" t="s">
        <v>96</v>
      </c>
      <c r="B46" s="1" t="s">
        <v>97</v>
      </c>
    </row>
    <row r="47" spans="1:2" x14ac:dyDescent="0.25">
      <c r="A47" s="1" t="s">
        <v>98</v>
      </c>
      <c r="B47" s="1" t="s">
        <v>99</v>
      </c>
    </row>
    <row r="48" spans="1:2" x14ac:dyDescent="0.25">
      <c r="A48" s="1" t="s">
        <v>100</v>
      </c>
      <c r="B48" s="1" t="s">
        <v>101</v>
      </c>
    </row>
    <row r="49" spans="1:2" x14ac:dyDescent="0.25">
      <c r="A49" s="1" t="s">
        <v>102</v>
      </c>
      <c r="B49" s="1" t="s">
        <v>103</v>
      </c>
    </row>
    <row r="50" spans="1:2" x14ac:dyDescent="0.25">
      <c r="A50" s="1" t="s">
        <v>104</v>
      </c>
      <c r="B50" s="1" t="s">
        <v>105</v>
      </c>
    </row>
    <row r="51" spans="1:2" x14ac:dyDescent="0.25">
      <c r="A51" s="1" t="s">
        <v>106</v>
      </c>
      <c r="B51" s="1" t="s">
        <v>107</v>
      </c>
    </row>
    <row r="52" spans="1:2" x14ac:dyDescent="0.25">
      <c r="A52" s="1" t="s">
        <v>108</v>
      </c>
      <c r="B52" s="1" t="s">
        <v>109</v>
      </c>
    </row>
    <row r="53" spans="1:2" x14ac:dyDescent="0.25">
      <c r="A53" s="1" t="s">
        <v>110</v>
      </c>
      <c r="B53" s="1" t="s">
        <v>111</v>
      </c>
    </row>
    <row r="54" spans="1:2" x14ac:dyDescent="0.25">
      <c r="A54" s="1" t="s">
        <v>112</v>
      </c>
      <c r="B54" s="1" t="s">
        <v>113</v>
      </c>
    </row>
    <row r="55" spans="1:2" x14ac:dyDescent="0.25">
      <c r="A55" s="1" t="s">
        <v>114</v>
      </c>
      <c r="B55" s="1" t="s">
        <v>115</v>
      </c>
    </row>
    <row r="56" spans="1:2" x14ac:dyDescent="0.25">
      <c r="A56" s="1" t="s">
        <v>116</v>
      </c>
      <c r="B56" s="1" t="s">
        <v>117</v>
      </c>
    </row>
    <row r="57" spans="1:2" x14ac:dyDescent="0.25">
      <c r="A57" s="1" t="s">
        <v>118</v>
      </c>
      <c r="B57" s="1" t="s">
        <v>119</v>
      </c>
    </row>
    <row r="58" spans="1:2" x14ac:dyDescent="0.25">
      <c r="A58" s="1" t="s">
        <v>120</v>
      </c>
      <c r="B58" s="1" t="s">
        <v>121</v>
      </c>
    </row>
    <row r="59" spans="1:2" x14ac:dyDescent="0.25">
      <c r="A59" s="1" t="s">
        <v>122</v>
      </c>
      <c r="B59" s="1" t="s">
        <v>123</v>
      </c>
    </row>
    <row r="60" spans="1:2" x14ac:dyDescent="0.25">
      <c r="A60" s="1" t="s">
        <v>124</v>
      </c>
      <c r="B60" s="1" t="s">
        <v>125</v>
      </c>
    </row>
    <row r="61" spans="1:2" x14ac:dyDescent="0.25">
      <c r="A61" s="1" t="s">
        <v>126</v>
      </c>
      <c r="B61" s="1" t="s">
        <v>127</v>
      </c>
    </row>
    <row r="62" spans="1:2" x14ac:dyDescent="0.25">
      <c r="A62" s="1" t="s">
        <v>20</v>
      </c>
      <c r="B62" s="1" t="s">
        <v>128</v>
      </c>
    </row>
    <row r="63" spans="1:2" x14ac:dyDescent="0.25">
      <c r="A63" s="1" t="s">
        <v>129</v>
      </c>
      <c r="B63" s="1" t="s">
        <v>130</v>
      </c>
    </row>
    <row r="64" spans="1:2" x14ac:dyDescent="0.25">
      <c r="A64" s="1" t="s">
        <v>131</v>
      </c>
      <c r="B64" s="1" t="s">
        <v>132</v>
      </c>
    </row>
    <row r="65" spans="1:2" x14ac:dyDescent="0.25">
      <c r="A65" s="1" t="s">
        <v>133</v>
      </c>
      <c r="B65" s="1" t="s">
        <v>134</v>
      </c>
    </row>
    <row r="66" spans="1:2" x14ac:dyDescent="0.25">
      <c r="A66" s="1" t="s">
        <v>135</v>
      </c>
      <c r="B66" s="1" t="s">
        <v>136</v>
      </c>
    </row>
    <row r="67" spans="1:2" x14ac:dyDescent="0.25">
      <c r="A67" s="1" t="s">
        <v>137</v>
      </c>
      <c r="B67" s="1" t="s">
        <v>138</v>
      </c>
    </row>
    <row r="68" spans="1:2" x14ac:dyDescent="0.25">
      <c r="A68" s="1" t="s">
        <v>139</v>
      </c>
      <c r="B68" s="1" t="s">
        <v>140</v>
      </c>
    </row>
    <row r="69" spans="1:2" x14ac:dyDescent="0.25">
      <c r="A69" s="1" t="s">
        <v>141</v>
      </c>
      <c r="B69" s="1" t="s">
        <v>142</v>
      </c>
    </row>
    <row r="70" spans="1:2" x14ac:dyDescent="0.25">
      <c r="A70" s="1" t="s">
        <v>143</v>
      </c>
      <c r="B70" s="1" t="s">
        <v>144</v>
      </c>
    </row>
    <row r="71" spans="1:2" x14ac:dyDescent="0.25">
      <c r="A71" s="1" t="s">
        <v>145</v>
      </c>
      <c r="B71" s="1" t="s">
        <v>146</v>
      </c>
    </row>
    <row r="72" spans="1:2" x14ac:dyDescent="0.25">
      <c r="A72" s="1" t="s">
        <v>147</v>
      </c>
      <c r="B72" s="1" t="s">
        <v>148</v>
      </c>
    </row>
    <row r="73" spans="1:2" x14ac:dyDescent="0.25">
      <c r="A73" s="1" t="s">
        <v>149</v>
      </c>
      <c r="B73" s="1" t="s">
        <v>150</v>
      </c>
    </row>
    <row r="74" spans="1:2" x14ac:dyDescent="0.25">
      <c r="A74" s="1" t="s">
        <v>151</v>
      </c>
      <c r="B74" s="1" t="s">
        <v>152</v>
      </c>
    </row>
    <row r="75" spans="1:2" x14ac:dyDescent="0.25">
      <c r="A75" s="1" t="s">
        <v>153</v>
      </c>
      <c r="B75" s="1" t="s">
        <v>154</v>
      </c>
    </row>
    <row r="76" spans="1:2" x14ac:dyDescent="0.25">
      <c r="A76" s="1" t="s">
        <v>155</v>
      </c>
      <c r="B76" s="1" t="s">
        <v>156</v>
      </c>
    </row>
    <row r="77" spans="1:2" x14ac:dyDescent="0.25">
      <c r="A77" s="1" t="s">
        <v>157</v>
      </c>
      <c r="B77" s="1" t="s">
        <v>158</v>
      </c>
    </row>
    <row r="78" spans="1:2" x14ac:dyDescent="0.25">
      <c r="A78" s="1" t="s">
        <v>159</v>
      </c>
      <c r="B78" s="1" t="s">
        <v>160</v>
      </c>
    </row>
    <row r="79" spans="1:2" x14ac:dyDescent="0.25">
      <c r="A79" s="1" t="s">
        <v>161</v>
      </c>
      <c r="B79" s="1" t="s">
        <v>162</v>
      </c>
    </row>
    <row r="80" spans="1:2" x14ac:dyDescent="0.25">
      <c r="A80" s="1" t="s">
        <v>163</v>
      </c>
      <c r="B80" s="1" t="s">
        <v>164</v>
      </c>
    </row>
    <row r="81" spans="1:2" x14ac:dyDescent="0.25">
      <c r="A81" s="1" t="s">
        <v>165</v>
      </c>
      <c r="B81" s="1" t="s">
        <v>166</v>
      </c>
    </row>
    <row r="82" spans="1:2" x14ac:dyDescent="0.25">
      <c r="A82" s="1" t="s">
        <v>167</v>
      </c>
      <c r="B82" s="1" t="s">
        <v>168</v>
      </c>
    </row>
    <row r="83" spans="1:2" x14ac:dyDescent="0.25">
      <c r="A83" s="1" t="s">
        <v>90</v>
      </c>
      <c r="B83" s="1" t="s">
        <v>169</v>
      </c>
    </row>
    <row r="84" spans="1:2" x14ac:dyDescent="0.25">
      <c r="A84" s="1" t="s">
        <v>170</v>
      </c>
      <c r="B84" s="1" t="s">
        <v>171</v>
      </c>
    </row>
    <row r="85" spans="1:2" x14ac:dyDescent="0.25">
      <c r="A85" s="1" t="s">
        <v>172</v>
      </c>
      <c r="B85" s="1" t="s">
        <v>173</v>
      </c>
    </row>
    <row r="86" spans="1:2" x14ac:dyDescent="0.25">
      <c r="A86" s="1" t="s">
        <v>174</v>
      </c>
      <c r="B86" s="1" t="s">
        <v>175</v>
      </c>
    </row>
    <row r="87" spans="1:2" x14ac:dyDescent="0.25">
      <c r="A87" s="1" t="s">
        <v>176</v>
      </c>
      <c r="B87" s="1" t="s">
        <v>177</v>
      </c>
    </row>
    <row r="88" spans="1:2" x14ac:dyDescent="0.25">
      <c r="A88" s="1" t="s">
        <v>178</v>
      </c>
      <c r="B88" s="1" t="s">
        <v>179</v>
      </c>
    </row>
    <row r="89" spans="1:2" x14ac:dyDescent="0.25">
      <c r="A89" s="1" t="s">
        <v>174</v>
      </c>
      <c r="B89" s="1" t="s">
        <v>180</v>
      </c>
    </row>
    <row r="90" spans="1:2" x14ac:dyDescent="0.25">
      <c r="A90" s="1" t="s">
        <v>181</v>
      </c>
      <c r="B90" s="1" t="s">
        <v>182</v>
      </c>
    </row>
    <row r="91" spans="1:2" x14ac:dyDescent="0.25">
      <c r="A91" s="1" t="s">
        <v>178</v>
      </c>
      <c r="B91" s="1" t="s">
        <v>183</v>
      </c>
    </row>
    <row r="92" spans="1:2" x14ac:dyDescent="0.25">
      <c r="A92" s="1" t="s">
        <v>184</v>
      </c>
      <c r="B92" s="1" t="s">
        <v>185</v>
      </c>
    </row>
    <row r="93" spans="1:2" x14ac:dyDescent="0.25">
      <c r="A93" s="1" t="s">
        <v>176</v>
      </c>
      <c r="B93" s="1" t="s">
        <v>186</v>
      </c>
    </row>
    <row r="94" spans="1:2" x14ac:dyDescent="0.25">
      <c r="A94" s="1" t="s">
        <v>187</v>
      </c>
      <c r="B94" s="1" t="s">
        <v>188</v>
      </c>
    </row>
    <row r="95" spans="1:2" x14ac:dyDescent="0.25">
      <c r="A95" s="1" t="s">
        <v>184</v>
      </c>
      <c r="B95" s="1" t="s">
        <v>189</v>
      </c>
    </row>
    <row r="96" spans="1:2" x14ac:dyDescent="0.25">
      <c r="A96" s="1" t="s">
        <v>176</v>
      </c>
      <c r="B96" s="1" t="s">
        <v>190</v>
      </c>
    </row>
    <row r="97" spans="1:2" x14ac:dyDescent="0.25">
      <c r="A97" s="1" t="s">
        <v>178</v>
      </c>
      <c r="B97" s="1" t="s">
        <v>191</v>
      </c>
    </row>
    <row r="98" spans="1:2" x14ac:dyDescent="0.25">
      <c r="A98" s="1" t="s">
        <v>184</v>
      </c>
      <c r="B98" s="1" t="s">
        <v>192</v>
      </c>
    </row>
    <row r="99" spans="1:2" x14ac:dyDescent="0.25">
      <c r="A99" s="1" t="s">
        <v>176</v>
      </c>
      <c r="B99" s="1" t="s">
        <v>193</v>
      </c>
    </row>
    <row r="100" spans="1:2" x14ac:dyDescent="0.25">
      <c r="A100" s="1" t="s">
        <v>178</v>
      </c>
      <c r="B100" s="1" t="s">
        <v>194</v>
      </c>
    </row>
    <row r="101" spans="1:2" x14ac:dyDescent="0.25">
      <c r="A101" s="1" t="s">
        <v>184</v>
      </c>
      <c r="B101" s="1" t="s">
        <v>195</v>
      </c>
    </row>
    <row r="102" spans="1:2" x14ac:dyDescent="0.25">
      <c r="A102" s="1" t="s">
        <v>176</v>
      </c>
      <c r="B102" s="1" t="s">
        <v>196</v>
      </c>
    </row>
    <row r="103" spans="1:2" x14ac:dyDescent="0.25">
      <c r="A103" s="1" t="s">
        <v>197</v>
      </c>
      <c r="B103" s="1" t="s">
        <v>198</v>
      </c>
    </row>
    <row r="104" spans="1:2" x14ac:dyDescent="0.25">
      <c r="A104" s="1" t="s">
        <v>184</v>
      </c>
      <c r="B104" s="1" t="s">
        <v>199</v>
      </c>
    </row>
    <row r="105" spans="1:2" x14ac:dyDescent="0.25">
      <c r="A105" s="1" t="s">
        <v>181</v>
      </c>
      <c r="B105" s="1" t="s">
        <v>200</v>
      </c>
    </row>
    <row r="106" spans="1:2" x14ac:dyDescent="0.25">
      <c r="A106" s="1" t="s">
        <v>201</v>
      </c>
      <c r="B106" s="1" t="s">
        <v>202</v>
      </c>
    </row>
    <row r="107" spans="1:2" x14ac:dyDescent="0.25">
      <c r="A107" s="1" t="s">
        <v>178</v>
      </c>
      <c r="B107" s="1" t="s">
        <v>203</v>
      </c>
    </row>
    <row r="108" spans="1:2" x14ac:dyDescent="0.25">
      <c r="A108" s="1" t="s">
        <v>204</v>
      </c>
      <c r="B108" s="1" t="s">
        <v>205</v>
      </c>
    </row>
    <row r="109" spans="1:2" x14ac:dyDescent="0.25">
      <c r="A109" s="1" t="s">
        <v>206</v>
      </c>
      <c r="B109" s="1" t="s">
        <v>207</v>
      </c>
    </row>
    <row r="110" spans="1:2" x14ac:dyDescent="0.25">
      <c r="A110" s="1" t="s">
        <v>208</v>
      </c>
      <c r="B110" s="1" t="s">
        <v>209</v>
      </c>
    </row>
    <row r="111" spans="1:2" x14ac:dyDescent="0.25">
      <c r="A111" s="1" t="s">
        <v>210</v>
      </c>
      <c r="B111" s="1" t="s">
        <v>211</v>
      </c>
    </row>
    <row r="112" spans="1:2" x14ac:dyDescent="0.25">
      <c r="A112" s="1" t="s">
        <v>212</v>
      </c>
      <c r="B112" s="1" t="s">
        <v>213</v>
      </c>
    </row>
    <row r="113" spans="1:2" x14ac:dyDescent="0.25">
      <c r="A113" s="1" t="s">
        <v>214</v>
      </c>
      <c r="B113" s="1" t="s">
        <v>215</v>
      </c>
    </row>
    <row r="114" spans="1:2" x14ac:dyDescent="0.25">
      <c r="A114" s="1" t="s">
        <v>216</v>
      </c>
      <c r="B114" s="1" t="s">
        <v>217</v>
      </c>
    </row>
    <row r="115" spans="1:2" x14ac:dyDescent="0.25">
      <c r="A115" s="1" t="s">
        <v>218</v>
      </c>
      <c r="B115" s="1" t="s">
        <v>219</v>
      </c>
    </row>
    <row r="116" spans="1:2" x14ac:dyDescent="0.25">
      <c r="A116" s="1" t="s">
        <v>220</v>
      </c>
      <c r="B116" s="1" t="s">
        <v>221</v>
      </c>
    </row>
    <row r="117" spans="1:2" x14ac:dyDescent="0.25">
      <c r="A117" s="1" t="s">
        <v>222</v>
      </c>
      <c r="B117" s="1" t="s">
        <v>223</v>
      </c>
    </row>
    <row r="118" spans="1:2" x14ac:dyDescent="0.25">
      <c r="A118" s="1" t="s">
        <v>224</v>
      </c>
      <c r="B118" s="1" t="s">
        <v>225</v>
      </c>
    </row>
    <row r="119" spans="1:2" x14ac:dyDescent="0.25">
      <c r="A119" s="1" t="s">
        <v>226</v>
      </c>
      <c r="B119" s="1" t="s">
        <v>227</v>
      </c>
    </row>
    <row r="120" spans="1:2" x14ac:dyDescent="0.25">
      <c r="A120" s="1" t="s">
        <v>228</v>
      </c>
      <c r="B120" s="1" t="s">
        <v>229</v>
      </c>
    </row>
    <row r="121" spans="1:2" x14ac:dyDescent="0.25">
      <c r="A121" s="1" t="s">
        <v>230</v>
      </c>
      <c r="B121" s="1" t="s">
        <v>231</v>
      </c>
    </row>
    <row r="122" spans="1:2" x14ac:dyDescent="0.25">
      <c r="A122" s="1" t="s">
        <v>232</v>
      </c>
      <c r="B122" s="1" t="s">
        <v>233</v>
      </c>
    </row>
    <row r="123" spans="1:2" x14ac:dyDescent="0.25">
      <c r="A123" s="1" t="s">
        <v>234</v>
      </c>
      <c r="B123" s="1" t="s">
        <v>235</v>
      </c>
    </row>
    <row r="124" spans="1:2" x14ac:dyDescent="0.25">
      <c r="A124" s="1" t="s">
        <v>236</v>
      </c>
      <c r="B124" s="1" t="s">
        <v>237</v>
      </c>
    </row>
    <row r="125" spans="1:2" x14ac:dyDescent="0.25">
      <c r="A125" s="1" t="s">
        <v>238</v>
      </c>
      <c r="B125" s="1" t="s">
        <v>239</v>
      </c>
    </row>
    <row r="126" spans="1:2" x14ac:dyDescent="0.25">
      <c r="A126" s="1" t="s">
        <v>240</v>
      </c>
      <c r="B126" s="1" t="s">
        <v>241</v>
      </c>
    </row>
    <row r="127" spans="1:2" x14ac:dyDescent="0.25">
      <c r="A127" s="1" t="s">
        <v>242</v>
      </c>
      <c r="B127" s="1" t="s">
        <v>243</v>
      </c>
    </row>
    <row r="128" spans="1:2" x14ac:dyDescent="0.25">
      <c r="A128" s="1" t="s">
        <v>244</v>
      </c>
      <c r="B128" s="1" t="s">
        <v>245</v>
      </c>
    </row>
    <row r="129" spans="1:2" x14ac:dyDescent="0.25">
      <c r="A129" s="1" t="s">
        <v>246</v>
      </c>
      <c r="B129" s="1" t="s">
        <v>247</v>
      </c>
    </row>
    <row r="130" spans="1:2" x14ac:dyDescent="0.25">
      <c r="A130" s="1" t="s">
        <v>248</v>
      </c>
      <c r="B130" s="1" t="s">
        <v>249</v>
      </c>
    </row>
    <row r="131" spans="1:2" x14ac:dyDescent="0.25">
      <c r="A131" s="1" t="s">
        <v>250</v>
      </c>
      <c r="B131" s="1" t="s">
        <v>251</v>
      </c>
    </row>
    <row r="132" spans="1:2" x14ac:dyDescent="0.25">
      <c r="A132" s="1" t="s">
        <v>76</v>
      </c>
      <c r="B132" s="1" t="s">
        <v>252</v>
      </c>
    </row>
    <row r="133" spans="1:2" x14ac:dyDescent="0.25">
      <c r="A133" s="1" t="s">
        <v>253</v>
      </c>
      <c r="B133" s="1" t="s">
        <v>254</v>
      </c>
    </row>
    <row r="134" spans="1:2" x14ac:dyDescent="0.25">
      <c r="A134" s="1" t="s">
        <v>16</v>
      </c>
      <c r="B134" s="1" t="s">
        <v>255</v>
      </c>
    </row>
    <row r="135" spans="1:2" x14ac:dyDescent="0.25">
      <c r="A135" s="1" t="s">
        <v>256</v>
      </c>
      <c r="B135" s="1" t="s">
        <v>257</v>
      </c>
    </row>
    <row r="136" spans="1:2" x14ac:dyDescent="0.25">
      <c r="A136" s="1" t="s">
        <v>258</v>
      </c>
      <c r="B136" s="1" t="s">
        <v>259</v>
      </c>
    </row>
    <row r="137" spans="1:2" x14ac:dyDescent="0.25">
      <c r="A137" s="1" t="s">
        <v>260</v>
      </c>
      <c r="B137" s="1" t="s">
        <v>261</v>
      </c>
    </row>
    <row r="138" spans="1:2" x14ac:dyDescent="0.25">
      <c r="A138" s="1" t="s">
        <v>262</v>
      </c>
      <c r="B138" s="1" t="s">
        <v>263</v>
      </c>
    </row>
    <row r="139" spans="1:2" x14ac:dyDescent="0.25">
      <c r="A139" s="1" t="s">
        <v>264</v>
      </c>
      <c r="B139" s="1" t="s">
        <v>265</v>
      </c>
    </row>
    <row r="140" spans="1:2" x14ac:dyDescent="0.25">
      <c r="A140" s="1" t="s">
        <v>266</v>
      </c>
      <c r="B140" s="1" t="s">
        <v>267</v>
      </c>
    </row>
    <row r="141" spans="1:2" x14ac:dyDescent="0.25">
      <c r="A141" s="1" t="s">
        <v>268</v>
      </c>
      <c r="B141" s="1" t="s">
        <v>269</v>
      </c>
    </row>
    <row r="142" spans="1:2" x14ac:dyDescent="0.25">
      <c r="A142" s="1" t="s">
        <v>270</v>
      </c>
      <c r="B142" s="1" t="s">
        <v>271</v>
      </c>
    </row>
    <row r="143" spans="1:2" x14ac:dyDescent="0.25">
      <c r="A143" s="1" t="s">
        <v>253</v>
      </c>
      <c r="B143" s="1" t="s">
        <v>272</v>
      </c>
    </row>
    <row r="144" spans="1:2" x14ac:dyDescent="0.25">
      <c r="A144" s="1" t="s">
        <v>163</v>
      </c>
      <c r="B144" s="1" t="s">
        <v>273</v>
      </c>
    </row>
    <row r="145" spans="1:2" x14ac:dyDescent="0.25">
      <c r="A145" s="1" t="s">
        <v>274</v>
      </c>
      <c r="B145" s="1" t="s">
        <v>275</v>
      </c>
    </row>
    <row r="146" spans="1:2" x14ac:dyDescent="0.25">
      <c r="A146" s="1" t="s">
        <v>276</v>
      </c>
      <c r="B146" s="1" t="s">
        <v>277</v>
      </c>
    </row>
    <row r="147" spans="1:2" x14ac:dyDescent="0.25">
      <c r="A147" s="1" t="s">
        <v>278</v>
      </c>
      <c r="B147" s="1" t="s">
        <v>279</v>
      </c>
    </row>
    <row r="148" spans="1:2" x14ac:dyDescent="0.25">
      <c r="A148" s="1" t="s">
        <v>280</v>
      </c>
      <c r="B148" s="1" t="s">
        <v>281</v>
      </c>
    </row>
    <row r="149" spans="1:2" x14ac:dyDescent="0.25">
      <c r="A149" s="1" t="s">
        <v>282</v>
      </c>
      <c r="B149" s="1" t="s">
        <v>283</v>
      </c>
    </row>
    <row r="150" spans="1:2" x14ac:dyDescent="0.25">
      <c r="A150" s="1" t="s">
        <v>284</v>
      </c>
      <c r="B150" s="1" t="s">
        <v>285</v>
      </c>
    </row>
    <row r="151" spans="1:2" x14ac:dyDescent="0.25">
      <c r="A151" s="1" t="s">
        <v>286</v>
      </c>
      <c r="B151" s="1" t="s">
        <v>287</v>
      </c>
    </row>
    <row r="152" spans="1:2" x14ac:dyDescent="0.25">
      <c r="A152" s="1" t="s">
        <v>288</v>
      </c>
      <c r="B152" s="1" t="s">
        <v>289</v>
      </c>
    </row>
    <row r="153" spans="1:2" x14ac:dyDescent="0.25">
      <c r="A153" s="1" t="s">
        <v>290</v>
      </c>
      <c r="B153" s="1" t="s">
        <v>291</v>
      </c>
    </row>
    <row r="154" spans="1:2" x14ac:dyDescent="0.25">
      <c r="A154" s="1" t="s">
        <v>292</v>
      </c>
      <c r="B154" s="1" t="s">
        <v>293</v>
      </c>
    </row>
    <row r="155" spans="1:2" x14ac:dyDescent="0.25">
      <c r="A155" s="1" t="s">
        <v>294</v>
      </c>
      <c r="B155" s="1" t="s">
        <v>295</v>
      </c>
    </row>
    <row r="156" spans="1:2" x14ac:dyDescent="0.25">
      <c r="A156" s="1" t="s">
        <v>296</v>
      </c>
      <c r="B156" s="1" t="s">
        <v>297</v>
      </c>
    </row>
    <row r="157" spans="1:2" x14ac:dyDescent="0.25">
      <c r="A157" s="1" t="s">
        <v>298</v>
      </c>
      <c r="B157" s="1" t="s">
        <v>299</v>
      </c>
    </row>
    <row r="158" spans="1:2" x14ac:dyDescent="0.25">
      <c r="A158" s="1" t="s">
        <v>300</v>
      </c>
      <c r="B158" s="1" t="s">
        <v>301</v>
      </c>
    </row>
    <row r="159" spans="1:2" x14ac:dyDescent="0.25">
      <c r="A159" s="1" t="s">
        <v>302</v>
      </c>
      <c r="B159" s="1" t="s">
        <v>303</v>
      </c>
    </row>
    <row r="160" spans="1:2" x14ac:dyDescent="0.25">
      <c r="A160" s="1" t="s">
        <v>304</v>
      </c>
      <c r="B160" s="1" t="s">
        <v>305</v>
      </c>
    </row>
    <row r="161" spans="1:2" x14ac:dyDescent="0.25">
      <c r="A161" s="1" t="s">
        <v>306</v>
      </c>
      <c r="B161" s="1" t="s">
        <v>307</v>
      </c>
    </row>
    <row r="162" spans="1:2" x14ac:dyDescent="0.25">
      <c r="A162" s="1" t="s">
        <v>308</v>
      </c>
      <c r="B162" s="1" t="s">
        <v>309</v>
      </c>
    </row>
    <row r="163" spans="1:2" x14ac:dyDescent="0.25">
      <c r="A163" s="1" t="s">
        <v>310</v>
      </c>
      <c r="B163" s="1" t="s">
        <v>311</v>
      </c>
    </row>
    <row r="164" spans="1:2" x14ac:dyDescent="0.25">
      <c r="A164" s="1" t="s">
        <v>302</v>
      </c>
      <c r="B164" s="1" t="s">
        <v>312</v>
      </c>
    </row>
    <row r="165" spans="1:2" x14ac:dyDescent="0.25">
      <c r="A165" s="1" t="s">
        <v>313</v>
      </c>
      <c r="B165" s="1" t="s">
        <v>314</v>
      </c>
    </row>
    <row r="166" spans="1:2" x14ac:dyDescent="0.25">
      <c r="A166" s="1" t="s">
        <v>315</v>
      </c>
      <c r="B166" s="1" t="s">
        <v>316</v>
      </c>
    </row>
    <row r="167" spans="1:2" x14ac:dyDescent="0.25">
      <c r="A167" s="1" t="s">
        <v>317</v>
      </c>
      <c r="B167" s="1" t="s">
        <v>318</v>
      </c>
    </row>
    <row r="168" spans="1:2" x14ac:dyDescent="0.25">
      <c r="A168" s="1" t="s">
        <v>319</v>
      </c>
      <c r="B168" s="1" t="s">
        <v>320</v>
      </c>
    </row>
    <row r="169" spans="1:2" x14ac:dyDescent="0.25">
      <c r="A169" s="1" t="s">
        <v>321</v>
      </c>
      <c r="B169" s="1" t="s">
        <v>322</v>
      </c>
    </row>
    <row r="170" spans="1:2" x14ac:dyDescent="0.25">
      <c r="A170" s="1" t="s">
        <v>14</v>
      </c>
      <c r="B170" s="1" t="s">
        <v>323</v>
      </c>
    </row>
    <row r="171" spans="1:2" x14ac:dyDescent="0.25">
      <c r="A171" s="1" t="s">
        <v>324</v>
      </c>
      <c r="B171" s="1" t="s">
        <v>325</v>
      </c>
    </row>
    <row r="172" spans="1:2" x14ac:dyDescent="0.25">
      <c r="A172" s="1" t="s">
        <v>326</v>
      </c>
      <c r="B172" s="1" t="s">
        <v>327</v>
      </c>
    </row>
    <row r="173" spans="1:2" x14ac:dyDescent="0.25">
      <c r="A173" s="1" t="s">
        <v>328</v>
      </c>
      <c r="B173" s="1" t="s">
        <v>329</v>
      </c>
    </row>
    <row r="174" spans="1:2" x14ac:dyDescent="0.25">
      <c r="A174" s="1" t="s">
        <v>330</v>
      </c>
      <c r="B174" s="1" t="s">
        <v>331</v>
      </c>
    </row>
    <row r="175" spans="1:2" x14ac:dyDescent="0.25">
      <c r="A175" s="1" t="s">
        <v>332</v>
      </c>
      <c r="B175" s="1" t="s">
        <v>333</v>
      </c>
    </row>
    <row r="176" spans="1:2" x14ac:dyDescent="0.25">
      <c r="A176" s="1" t="s">
        <v>334</v>
      </c>
      <c r="B176" s="1" t="s">
        <v>335</v>
      </c>
    </row>
    <row r="177" spans="1:2" x14ac:dyDescent="0.25">
      <c r="A177" s="1" t="s">
        <v>336</v>
      </c>
      <c r="B177" s="1" t="s">
        <v>337</v>
      </c>
    </row>
    <row r="178" spans="1:2" x14ac:dyDescent="0.25">
      <c r="A178" s="1" t="s">
        <v>338</v>
      </c>
      <c r="B178" s="1" t="s">
        <v>339</v>
      </c>
    </row>
    <row r="179" spans="1:2" x14ac:dyDescent="0.25">
      <c r="A179" s="1" t="s">
        <v>340</v>
      </c>
      <c r="B179" s="1" t="s">
        <v>341</v>
      </c>
    </row>
    <row r="180" spans="1:2" x14ac:dyDescent="0.25">
      <c r="A180" s="1" t="s">
        <v>167</v>
      </c>
      <c r="B180" s="1" t="s">
        <v>342</v>
      </c>
    </row>
    <row r="181" spans="1:2" x14ac:dyDescent="0.25">
      <c r="A181" s="1" t="s">
        <v>343</v>
      </c>
      <c r="B181" s="1" t="s">
        <v>344</v>
      </c>
    </row>
    <row r="182" spans="1:2" x14ac:dyDescent="0.25">
      <c r="A182" s="1" t="s">
        <v>76</v>
      </c>
      <c r="B182" s="1" t="s">
        <v>345</v>
      </c>
    </row>
    <row r="183" spans="1:2" x14ac:dyDescent="0.25">
      <c r="A183" s="1" t="s">
        <v>90</v>
      </c>
      <c r="B183" s="1" t="s">
        <v>346</v>
      </c>
    </row>
    <row r="184" spans="1:2" x14ac:dyDescent="0.25">
      <c r="A184" s="1" t="s">
        <v>347</v>
      </c>
      <c r="B184" s="1" t="s">
        <v>348</v>
      </c>
    </row>
    <row r="185" spans="1:2" x14ac:dyDescent="0.25">
      <c r="A185" s="1" t="s">
        <v>349</v>
      </c>
      <c r="B185" s="1" t="s">
        <v>350</v>
      </c>
    </row>
    <row r="186" spans="1:2" x14ac:dyDescent="0.25">
      <c r="A186" s="1" t="s">
        <v>351</v>
      </c>
      <c r="B186" s="1" t="s">
        <v>352</v>
      </c>
    </row>
    <row r="187" spans="1:2" x14ac:dyDescent="0.25">
      <c r="A187" s="1" t="s">
        <v>353</v>
      </c>
      <c r="B187" s="1" t="s">
        <v>354</v>
      </c>
    </row>
    <row r="188" spans="1:2" x14ac:dyDescent="0.25">
      <c r="A188" s="1" t="s">
        <v>355</v>
      </c>
      <c r="B188" s="1" t="s">
        <v>356</v>
      </c>
    </row>
    <row r="189" spans="1:2" x14ac:dyDescent="0.25">
      <c r="A189" s="1" t="s">
        <v>151</v>
      </c>
      <c r="B189" s="1" t="s">
        <v>357</v>
      </c>
    </row>
    <row r="190" spans="1:2" x14ac:dyDescent="0.25">
      <c r="A190" s="1" t="s">
        <v>358</v>
      </c>
      <c r="B190" s="1" t="s">
        <v>359</v>
      </c>
    </row>
    <row r="191" spans="1:2" x14ac:dyDescent="0.25">
      <c r="A191" s="1" t="s">
        <v>360</v>
      </c>
      <c r="B191" s="1" t="s">
        <v>361</v>
      </c>
    </row>
    <row r="192" spans="1:2" x14ac:dyDescent="0.25">
      <c r="A192" s="1" t="s">
        <v>362</v>
      </c>
      <c r="B192" s="1" t="s">
        <v>363</v>
      </c>
    </row>
    <row r="193" spans="1:2" x14ac:dyDescent="0.25">
      <c r="A193" s="1" t="s">
        <v>351</v>
      </c>
      <c r="B193" s="1" t="s">
        <v>364</v>
      </c>
    </row>
    <row r="194" spans="1:2" x14ac:dyDescent="0.25">
      <c r="A194" s="1" t="s">
        <v>151</v>
      </c>
      <c r="B194" s="1" t="s">
        <v>365</v>
      </c>
    </row>
    <row r="195" spans="1:2" x14ac:dyDescent="0.25">
      <c r="A195" s="1" t="s">
        <v>14</v>
      </c>
      <c r="B195" s="1" t="s">
        <v>366</v>
      </c>
    </row>
    <row r="196" spans="1:2" x14ac:dyDescent="0.25">
      <c r="A196" s="1" t="s">
        <v>351</v>
      </c>
      <c r="B196" s="1" t="s">
        <v>367</v>
      </c>
    </row>
    <row r="197" spans="1:2" x14ac:dyDescent="0.25">
      <c r="A197" s="1" t="s">
        <v>368</v>
      </c>
      <c r="B197" s="1" t="s">
        <v>369</v>
      </c>
    </row>
    <row r="198" spans="1:2" x14ac:dyDescent="0.25">
      <c r="A198" s="1" t="s">
        <v>90</v>
      </c>
      <c r="B198" s="1" t="s">
        <v>370</v>
      </c>
    </row>
    <row r="199" spans="1:2" x14ac:dyDescent="0.25">
      <c r="A199" s="1" t="s">
        <v>371</v>
      </c>
      <c r="B199" s="1" t="s">
        <v>372</v>
      </c>
    </row>
    <row r="200" spans="1:2" x14ac:dyDescent="0.25">
      <c r="A200" s="1" t="s">
        <v>264</v>
      </c>
      <c r="B200" s="1" t="s">
        <v>373</v>
      </c>
    </row>
    <row r="201" spans="1:2" x14ac:dyDescent="0.25">
      <c r="A201" s="1" t="s">
        <v>137</v>
      </c>
      <c r="B201" s="1" t="s">
        <v>374</v>
      </c>
    </row>
    <row r="202" spans="1:2" x14ac:dyDescent="0.25">
      <c r="A202" s="1" t="s">
        <v>362</v>
      </c>
      <c r="B202" s="1" t="s">
        <v>375</v>
      </c>
    </row>
    <row r="203" spans="1:2" x14ac:dyDescent="0.25">
      <c r="A203" s="1" t="s">
        <v>376</v>
      </c>
      <c r="B203" s="1" t="s">
        <v>377</v>
      </c>
    </row>
    <row r="204" spans="1:2" x14ac:dyDescent="0.25">
      <c r="A204" s="1" t="s">
        <v>378</v>
      </c>
      <c r="B204" s="1" t="s">
        <v>379</v>
      </c>
    </row>
    <row r="205" spans="1:2" x14ac:dyDescent="0.25">
      <c r="A205" s="1" t="s">
        <v>380</v>
      </c>
      <c r="B205" s="1" t="s">
        <v>381</v>
      </c>
    </row>
    <row r="206" spans="1:2" x14ac:dyDescent="0.25">
      <c r="A206" s="1" t="s">
        <v>382</v>
      </c>
      <c r="B206" s="1" t="s">
        <v>383</v>
      </c>
    </row>
    <row r="207" spans="1:2" x14ac:dyDescent="0.25">
      <c r="A207" s="1" t="s">
        <v>384</v>
      </c>
      <c r="B207" s="1" t="s">
        <v>385</v>
      </c>
    </row>
    <row r="208" spans="1:2" x14ac:dyDescent="0.25">
      <c r="A208" s="1" t="s">
        <v>386</v>
      </c>
      <c r="B208" s="1" t="s">
        <v>387</v>
      </c>
    </row>
    <row r="209" spans="1:2" x14ac:dyDescent="0.25">
      <c r="A209" s="1" t="s">
        <v>388</v>
      </c>
      <c r="B209" s="1" t="s">
        <v>389</v>
      </c>
    </row>
    <row r="210" spans="1:2" x14ac:dyDescent="0.25">
      <c r="A210" s="1" t="s">
        <v>390</v>
      </c>
      <c r="B210" s="1" t="s">
        <v>391</v>
      </c>
    </row>
    <row r="211" spans="1:2" x14ac:dyDescent="0.25">
      <c r="A211" s="1" t="s">
        <v>286</v>
      </c>
      <c r="B211" s="1" t="s">
        <v>392</v>
      </c>
    </row>
    <row r="212" spans="1:2" x14ac:dyDescent="0.25">
      <c r="A212" s="1" t="s">
        <v>393</v>
      </c>
      <c r="B212" s="1" t="s">
        <v>394</v>
      </c>
    </row>
    <row r="213" spans="1:2" x14ac:dyDescent="0.25">
      <c r="A213" s="1" t="s">
        <v>395</v>
      </c>
      <c r="B213" s="1" t="s">
        <v>396</v>
      </c>
    </row>
    <row r="214" spans="1:2" x14ac:dyDescent="0.25">
      <c r="A214" s="1" t="s">
        <v>397</v>
      </c>
      <c r="B214" s="1" t="s">
        <v>398</v>
      </c>
    </row>
    <row r="215" spans="1:2" x14ac:dyDescent="0.25">
      <c r="A215" s="1" t="s">
        <v>163</v>
      </c>
      <c r="B215" s="1" t="s">
        <v>399</v>
      </c>
    </row>
    <row r="216" spans="1:2" x14ac:dyDescent="0.25">
      <c r="A216" s="1" t="s">
        <v>400</v>
      </c>
      <c r="B216" s="1" t="s">
        <v>401</v>
      </c>
    </row>
    <row r="217" spans="1:2" x14ac:dyDescent="0.25">
      <c r="A217" s="1" t="s">
        <v>402</v>
      </c>
      <c r="B217" s="1" t="s">
        <v>403</v>
      </c>
    </row>
    <row r="218" spans="1:2" x14ac:dyDescent="0.25">
      <c r="A218" s="1" t="s">
        <v>404</v>
      </c>
      <c r="B218" s="1" t="s">
        <v>405</v>
      </c>
    </row>
    <row r="219" spans="1:2" x14ac:dyDescent="0.25">
      <c r="A219" s="1" t="s">
        <v>406</v>
      </c>
      <c r="B219" s="1" t="s">
        <v>407</v>
      </c>
    </row>
    <row r="220" spans="1:2" x14ac:dyDescent="0.25">
      <c r="A220" s="1" t="s">
        <v>90</v>
      </c>
      <c r="B220" s="1" t="s">
        <v>408</v>
      </c>
    </row>
    <row r="221" spans="1:2" x14ac:dyDescent="0.25">
      <c r="A221" s="1" t="s">
        <v>409</v>
      </c>
      <c r="B221" s="1" t="s">
        <v>410</v>
      </c>
    </row>
    <row r="222" spans="1:2" x14ac:dyDescent="0.25">
      <c r="A222" s="1" t="s">
        <v>411</v>
      </c>
      <c r="B222" s="1" t="s">
        <v>412</v>
      </c>
    </row>
    <row r="223" spans="1:2" x14ac:dyDescent="0.25">
      <c r="A223" s="1" t="s">
        <v>413</v>
      </c>
      <c r="B223" s="1" t="s">
        <v>414</v>
      </c>
    </row>
    <row r="224" spans="1:2" x14ac:dyDescent="0.25">
      <c r="A224" s="1" t="s">
        <v>415</v>
      </c>
      <c r="B224" s="1" t="s">
        <v>416</v>
      </c>
    </row>
    <row r="225" spans="1:2" x14ac:dyDescent="0.25">
      <c r="A225" s="1" t="s">
        <v>417</v>
      </c>
      <c r="B225" s="1" t="s">
        <v>418</v>
      </c>
    </row>
    <row r="226" spans="1:2" x14ac:dyDescent="0.25">
      <c r="A226" s="1" t="s">
        <v>419</v>
      </c>
      <c r="B226" s="1" t="s">
        <v>420</v>
      </c>
    </row>
    <row r="227" spans="1:2" x14ac:dyDescent="0.25">
      <c r="A227" s="1" t="s">
        <v>421</v>
      </c>
      <c r="B227" s="1" t="s">
        <v>422</v>
      </c>
    </row>
    <row r="228" spans="1:2" x14ac:dyDescent="0.25">
      <c r="A228" s="1" t="s">
        <v>423</v>
      </c>
      <c r="B228" s="1" t="s">
        <v>424</v>
      </c>
    </row>
    <row r="229" spans="1:2" x14ac:dyDescent="0.25">
      <c r="A229" s="1" t="s">
        <v>425</v>
      </c>
      <c r="B229" s="1" t="s">
        <v>426</v>
      </c>
    </row>
    <row r="230" spans="1:2" x14ac:dyDescent="0.25">
      <c r="A230" s="1" t="s">
        <v>427</v>
      </c>
      <c r="B230" s="1" t="s">
        <v>428</v>
      </c>
    </row>
    <row r="231" spans="1:2" x14ac:dyDescent="0.25">
      <c r="A231" s="1" t="s">
        <v>429</v>
      </c>
      <c r="B231" s="1" t="s">
        <v>430</v>
      </c>
    </row>
    <row r="232" spans="1:2" x14ac:dyDescent="0.25">
      <c r="A232" s="1" t="s">
        <v>431</v>
      </c>
      <c r="B232" s="1" t="s">
        <v>432</v>
      </c>
    </row>
    <row r="233" spans="1:2" x14ac:dyDescent="0.25">
      <c r="A233" s="1" t="s">
        <v>14</v>
      </c>
      <c r="B233" s="1" t="s">
        <v>433</v>
      </c>
    </row>
    <row r="234" spans="1:2" x14ac:dyDescent="0.25">
      <c r="A234" s="1" t="s">
        <v>434</v>
      </c>
      <c r="B234" s="1" t="s">
        <v>435</v>
      </c>
    </row>
    <row r="235" spans="1:2" x14ac:dyDescent="0.25">
      <c r="A235" s="1" t="s">
        <v>436</v>
      </c>
      <c r="B235" s="1" t="s">
        <v>437</v>
      </c>
    </row>
    <row r="236" spans="1:2" x14ac:dyDescent="0.25">
      <c r="A236" s="1" t="s">
        <v>167</v>
      </c>
      <c r="B236" s="1" t="s">
        <v>438</v>
      </c>
    </row>
    <row r="237" spans="1:2" x14ac:dyDescent="0.25">
      <c r="A237" s="1" t="s">
        <v>439</v>
      </c>
      <c r="B237" s="1" t="s">
        <v>440</v>
      </c>
    </row>
    <row r="238" spans="1:2" x14ac:dyDescent="0.25">
      <c r="A238" s="1" t="s">
        <v>441</v>
      </c>
      <c r="B238" s="1" t="s">
        <v>442</v>
      </c>
    </row>
    <row r="239" spans="1:2" x14ac:dyDescent="0.25">
      <c r="A239" s="1" t="s">
        <v>443</v>
      </c>
      <c r="B239" s="1" t="s">
        <v>444</v>
      </c>
    </row>
    <row r="240" spans="1:2" x14ac:dyDescent="0.25">
      <c r="A240" s="1" t="s">
        <v>445</v>
      </c>
      <c r="B240" s="1" t="s">
        <v>446</v>
      </c>
    </row>
    <row r="241" spans="1:2" x14ac:dyDescent="0.25">
      <c r="A241" s="1" t="s">
        <v>447</v>
      </c>
      <c r="B241" s="1" t="s">
        <v>448</v>
      </c>
    </row>
    <row r="242" spans="1:2" x14ac:dyDescent="0.25">
      <c r="A242" s="1" t="s">
        <v>449</v>
      </c>
      <c r="B242" s="1" t="s">
        <v>450</v>
      </c>
    </row>
    <row r="243" spans="1:2" x14ac:dyDescent="0.25">
      <c r="A243" s="1" t="s">
        <v>451</v>
      </c>
      <c r="B243" s="1" t="s">
        <v>452</v>
      </c>
    </row>
    <row r="244" spans="1:2" x14ac:dyDescent="0.25">
      <c r="A244" s="1" t="s">
        <v>453</v>
      </c>
      <c r="B244" s="1" t="s">
        <v>454</v>
      </c>
    </row>
    <row r="245" spans="1:2" x14ac:dyDescent="0.25">
      <c r="A245" s="1" t="s">
        <v>455</v>
      </c>
      <c r="B245" s="1" t="s">
        <v>456</v>
      </c>
    </row>
    <row r="246" spans="1:2" x14ac:dyDescent="0.25">
      <c r="A246" s="1" t="s">
        <v>457</v>
      </c>
      <c r="B246" s="1" t="s">
        <v>458</v>
      </c>
    </row>
    <row r="247" spans="1:2" x14ac:dyDescent="0.25">
      <c r="A247" s="1" t="s">
        <v>459</v>
      </c>
      <c r="B247" s="1" t="s">
        <v>460</v>
      </c>
    </row>
    <row r="248" spans="1:2" x14ac:dyDescent="0.25">
      <c r="A248" s="1" t="s">
        <v>461</v>
      </c>
      <c r="B248" s="1" t="s">
        <v>462</v>
      </c>
    </row>
    <row r="249" spans="1:2" x14ac:dyDescent="0.25">
      <c r="A249" s="1" t="s">
        <v>463</v>
      </c>
      <c r="B249" s="1" t="s">
        <v>464</v>
      </c>
    </row>
    <row r="250" spans="1:2" x14ac:dyDescent="0.25">
      <c r="A250" s="1" t="s">
        <v>465</v>
      </c>
      <c r="B250" s="1" t="s">
        <v>466</v>
      </c>
    </row>
    <row r="251" spans="1:2" x14ac:dyDescent="0.25">
      <c r="A251" s="1" t="s">
        <v>467</v>
      </c>
      <c r="B251" s="1" t="s">
        <v>468</v>
      </c>
    </row>
    <row r="252" spans="1:2" x14ac:dyDescent="0.25">
      <c r="A252" s="1" t="s">
        <v>469</v>
      </c>
      <c r="B252" s="1" t="s">
        <v>470</v>
      </c>
    </row>
    <row r="253" spans="1:2" x14ac:dyDescent="0.25">
      <c r="A253" s="1" t="s">
        <v>14</v>
      </c>
      <c r="B253" s="1" t="s">
        <v>471</v>
      </c>
    </row>
    <row r="254" spans="1:2" x14ac:dyDescent="0.25">
      <c r="A254" s="1" t="s">
        <v>264</v>
      </c>
      <c r="B254" s="1" t="s">
        <v>472</v>
      </c>
    </row>
    <row r="255" spans="1:2" x14ac:dyDescent="0.25">
      <c r="A255" s="1" t="s">
        <v>473</v>
      </c>
      <c r="B255" s="1" t="s">
        <v>474</v>
      </c>
    </row>
    <row r="256" spans="1:2" x14ac:dyDescent="0.25">
      <c r="A256" s="1" t="s">
        <v>475</v>
      </c>
      <c r="B256" s="1" t="s">
        <v>476</v>
      </c>
    </row>
    <row r="257" spans="1:2" x14ac:dyDescent="0.25">
      <c r="A257" s="1" t="s">
        <v>477</v>
      </c>
      <c r="B257" s="1" t="s">
        <v>478</v>
      </c>
    </row>
    <row r="258" spans="1:2" x14ac:dyDescent="0.25">
      <c r="A258" s="1" t="s">
        <v>479</v>
      </c>
      <c r="B258" s="1" t="s">
        <v>480</v>
      </c>
    </row>
    <row r="259" spans="1:2" x14ac:dyDescent="0.25">
      <c r="A259" s="1" t="s">
        <v>481</v>
      </c>
      <c r="B259" s="1" t="s">
        <v>482</v>
      </c>
    </row>
    <row r="260" spans="1:2" x14ac:dyDescent="0.25">
      <c r="A260" s="1" t="s">
        <v>483</v>
      </c>
      <c r="B260" s="1" t="s">
        <v>484</v>
      </c>
    </row>
    <row r="261" spans="1:2" x14ac:dyDescent="0.25">
      <c r="A261" s="1" t="s">
        <v>485</v>
      </c>
      <c r="B261" s="1" t="s">
        <v>486</v>
      </c>
    </row>
    <row r="262" spans="1:2" x14ac:dyDescent="0.25">
      <c r="A262" s="1" t="s">
        <v>487</v>
      </c>
      <c r="B262" s="1" t="s">
        <v>488</v>
      </c>
    </row>
    <row r="263" spans="1:2" x14ac:dyDescent="0.25">
      <c r="A263" s="1" t="s">
        <v>489</v>
      </c>
      <c r="B263" s="1" t="s">
        <v>490</v>
      </c>
    </row>
    <row r="264" spans="1:2" x14ac:dyDescent="0.25">
      <c r="A264" s="1" t="s">
        <v>491</v>
      </c>
      <c r="B264" s="1" t="s">
        <v>492</v>
      </c>
    </row>
    <row r="265" spans="1:2" x14ac:dyDescent="0.25">
      <c r="A265" s="1" t="s">
        <v>493</v>
      </c>
      <c r="B265" s="1" t="s">
        <v>494</v>
      </c>
    </row>
    <row r="266" spans="1:2" x14ac:dyDescent="0.25">
      <c r="A266" s="1" t="s">
        <v>495</v>
      </c>
      <c r="B266" s="1" t="s">
        <v>496</v>
      </c>
    </row>
    <row r="267" spans="1:2" x14ac:dyDescent="0.25">
      <c r="A267" s="1" t="s">
        <v>497</v>
      </c>
      <c r="B267" s="1" t="s">
        <v>498</v>
      </c>
    </row>
    <row r="268" spans="1:2" x14ac:dyDescent="0.25">
      <c r="A268" s="1" t="s">
        <v>499</v>
      </c>
      <c r="B268" s="1" t="s">
        <v>500</v>
      </c>
    </row>
    <row r="269" spans="1:2" x14ac:dyDescent="0.25">
      <c r="A269" s="1" t="s">
        <v>501</v>
      </c>
      <c r="B269" s="1" t="s">
        <v>502</v>
      </c>
    </row>
    <row r="270" spans="1:2" x14ac:dyDescent="0.25">
      <c r="A270" s="1" t="s">
        <v>503</v>
      </c>
      <c r="B270" s="1" t="s">
        <v>504</v>
      </c>
    </row>
    <row r="271" spans="1:2" x14ac:dyDescent="0.25">
      <c r="A271" s="1" t="s">
        <v>505</v>
      </c>
      <c r="B271" s="1" t="s">
        <v>506</v>
      </c>
    </row>
    <row r="272" spans="1:2" x14ac:dyDescent="0.25">
      <c r="A272" s="1" t="s">
        <v>507</v>
      </c>
      <c r="B272" s="1" t="s">
        <v>508</v>
      </c>
    </row>
    <row r="273" spans="1:2" x14ac:dyDescent="0.25">
      <c r="A273" s="1" t="s">
        <v>509</v>
      </c>
      <c r="B273" s="1" t="s">
        <v>510</v>
      </c>
    </row>
    <row r="274" spans="1:2" x14ac:dyDescent="0.25">
      <c r="A274" s="1" t="s">
        <v>511</v>
      </c>
      <c r="B274" s="1" t="s">
        <v>512</v>
      </c>
    </row>
    <row r="275" spans="1:2" x14ac:dyDescent="0.25">
      <c r="A275" s="1" t="s">
        <v>513</v>
      </c>
      <c r="B275" s="1" t="s">
        <v>514</v>
      </c>
    </row>
    <row r="276" spans="1:2" x14ac:dyDescent="0.25">
      <c r="A276" s="1" t="s">
        <v>515</v>
      </c>
      <c r="B276" s="1" t="s">
        <v>516</v>
      </c>
    </row>
    <row r="277" spans="1:2" x14ac:dyDescent="0.25">
      <c r="A277" s="1" t="s">
        <v>517</v>
      </c>
      <c r="B277" s="1" t="s">
        <v>518</v>
      </c>
    </row>
    <row r="278" spans="1:2" x14ac:dyDescent="0.25">
      <c r="A278" s="1" t="s">
        <v>519</v>
      </c>
      <c r="B278" s="1" t="s">
        <v>520</v>
      </c>
    </row>
    <row r="279" spans="1:2" x14ac:dyDescent="0.25">
      <c r="A279" s="1" t="s">
        <v>521</v>
      </c>
      <c r="B279" s="1" t="s">
        <v>522</v>
      </c>
    </row>
    <row r="280" spans="1:2" x14ac:dyDescent="0.25">
      <c r="A280" s="1" t="s">
        <v>523</v>
      </c>
      <c r="B280" s="1" t="s">
        <v>524</v>
      </c>
    </row>
    <row r="281" spans="1:2" x14ac:dyDescent="0.25">
      <c r="A281" s="1" t="s">
        <v>525</v>
      </c>
      <c r="B281" s="1" t="s">
        <v>526</v>
      </c>
    </row>
    <row r="282" spans="1:2" x14ac:dyDescent="0.25">
      <c r="A282" s="1" t="s">
        <v>527</v>
      </c>
      <c r="B282" s="1" t="s">
        <v>528</v>
      </c>
    </row>
    <row r="283" spans="1:2" x14ac:dyDescent="0.25">
      <c r="A283" s="1" t="s">
        <v>529</v>
      </c>
      <c r="B283" s="1" t="s">
        <v>530</v>
      </c>
    </row>
    <row r="284" spans="1:2" x14ac:dyDescent="0.25">
      <c r="A284" s="1" t="s">
        <v>531</v>
      </c>
      <c r="B284" s="1" t="s">
        <v>532</v>
      </c>
    </row>
    <row r="285" spans="1:2" x14ac:dyDescent="0.25">
      <c r="A285" s="1" t="s">
        <v>533</v>
      </c>
      <c r="B285" s="1" t="s">
        <v>534</v>
      </c>
    </row>
    <row r="286" spans="1:2" x14ac:dyDescent="0.25">
      <c r="A286" s="1" t="s">
        <v>535</v>
      </c>
      <c r="B286" s="1" t="s">
        <v>536</v>
      </c>
    </row>
    <row r="287" spans="1:2" x14ac:dyDescent="0.25">
      <c r="A287" s="1" t="s">
        <v>537</v>
      </c>
      <c r="B287" s="1" t="s">
        <v>538</v>
      </c>
    </row>
    <row r="288" spans="1:2" x14ac:dyDescent="0.25">
      <c r="A288" s="1" t="s">
        <v>539</v>
      </c>
      <c r="B288" s="1" t="s">
        <v>540</v>
      </c>
    </row>
    <row r="289" spans="1:2" x14ac:dyDescent="0.25">
      <c r="A289" s="1" t="s">
        <v>541</v>
      </c>
      <c r="B289" s="1" t="s">
        <v>542</v>
      </c>
    </row>
    <row r="290" spans="1:2" x14ac:dyDescent="0.25">
      <c r="A290" s="1" t="s">
        <v>543</v>
      </c>
      <c r="B290" s="1" t="s">
        <v>544</v>
      </c>
    </row>
    <row r="291" spans="1:2" x14ac:dyDescent="0.25">
      <c r="A291" s="1" t="s">
        <v>545</v>
      </c>
      <c r="B291" s="1" t="s">
        <v>546</v>
      </c>
    </row>
    <row r="292" spans="1:2" x14ac:dyDescent="0.25">
      <c r="A292" s="1" t="s">
        <v>547</v>
      </c>
      <c r="B292" s="1" t="s">
        <v>548</v>
      </c>
    </row>
    <row r="293" spans="1:2" x14ac:dyDescent="0.25">
      <c r="A293" s="1" t="s">
        <v>549</v>
      </c>
      <c r="B293" s="1" t="s">
        <v>550</v>
      </c>
    </row>
    <row r="294" spans="1:2" x14ac:dyDescent="0.25">
      <c r="A294" s="1" t="s">
        <v>551</v>
      </c>
      <c r="B294" s="1" t="s">
        <v>552</v>
      </c>
    </row>
    <row r="295" spans="1:2" x14ac:dyDescent="0.25">
      <c r="A295" s="1" t="s">
        <v>553</v>
      </c>
      <c r="B295" s="1" t="s">
        <v>554</v>
      </c>
    </row>
    <row r="296" spans="1:2" x14ac:dyDescent="0.25">
      <c r="A296" s="1" t="s">
        <v>555</v>
      </c>
      <c r="B296" s="1" t="s">
        <v>556</v>
      </c>
    </row>
    <row r="297" spans="1:2" x14ac:dyDescent="0.25">
      <c r="A297" s="1" t="s">
        <v>264</v>
      </c>
      <c r="B297" s="1" t="s">
        <v>557</v>
      </c>
    </row>
    <row r="298" spans="1:2" x14ac:dyDescent="0.25">
      <c r="A298" s="1" t="s">
        <v>558</v>
      </c>
      <c r="B298" s="1" t="s">
        <v>559</v>
      </c>
    </row>
    <row r="299" spans="1:2" x14ac:dyDescent="0.25">
      <c r="A299" s="1" t="s">
        <v>560</v>
      </c>
      <c r="B299" s="1" t="s">
        <v>561</v>
      </c>
    </row>
    <row r="300" spans="1:2" x14ac:dyDescent="0.25">
      <c r="A300" s="1" t="s">
        <v>562</v>
      </c>
      <c r="B300" s="1" t="s">
        <v>563</v>
      </c>
    </row>
    <row r="301" spans="1:2" x14ac:dyDescent="0.25">
      <c r="A301" s="1" t="s">
        <v>360</v>
      </c>
      <c r="B301" s="1" t="s">
        <v>564</v>
      </c>
    </row>
    <row r="302" spans="1:2" x14ac:dyDescent="0.25">
      <c r="A302" s="1" t="s">
        <v>565</v>
      </c>
      <c r="B302" s="1" t="s">
        <v>566</v>
      </c>
    </row>
    <row r="303" spans="1:2" x14ac:dyDescent="0.25">
      <c r="A303" s="1" t="s">
        <v>567</v>
      </c>
      <c r="B303" s="1" t="s">
        <v>568</v>
      </c>
    </row>
    <row r="304" spans="1:2" x14ac:dyDescent="0.25">
      <c r="A304" s="1" t="s">
        <v>264</v>
      </c>
      <c r="B304" s="1" t="s">
        <v>569</v>
      </c>
    </row>
    <row r="305" spans="1:2" x14ac:dyDescent="0.25">
      <c r="A305" s="1" t="s">
        <v>570</v>
      </c>
      <c r="B305" s="1" t="s">
        <v>571</v>
      </c>
    </row>
    <row r="306" spans="1:2" x14ac:dyDescent="0.25">
      <c r="A306" s="1" t="s">
        <v>248</v>
      </c>
      <c r="B306" s="1" t="s">
        <v>572</v>
      </c>
    </row>
    <row r="307" spans="1:2" x14ac:dyDescent="0.25">
      <c r="A307" s="1" t="s">
        <v>274</v>
      </c>
      <c r="B307" s="1" t="s">
        <v>573</v>
      </c>
    </row>
    <row r="308" spans="1:2" x14ac:dyDescent="0.25">
      <c r="A308" s="1" t="s">
        <v>491</v>
      </c>
      <c r="B308" s="1" t="s">
        <v>574</v>
      </c>
    </row>
    <row r="309" spans="1:2" x14ac:dyDescent="0.25">
      <c r="A309" s="1" t="s">
        <v>575</v>
      </c>
      <c r="B309" s="1" t="s">
        <v>576</v>
      </c>
    </row>
    <row r="310" spans="1:2" x14ac:dyDescent="0.25">
      <c r="A310" s="1" t="s">
        <v>577</v>
      </c>
      <c r="B310" s="1" t="s">
        <v>578</v>
      </c>
    </row>
    <row r="311" spans="1:2" x14ac:dyDescent="0.25">
      <c r="A311" s="1" t="s">
        <v>579</v>
      </c>
      <c r="B311" s="1" t="s">
        <v>580</v>
      </c>
    </row>
    <row r="312" spans="1:2" x14ac:dyDescent="0.25">
      <c r="A312" s="1" t="s">
        <v>581</v>
      </c>
      <c r="B312" s="1" t="s">
        <v>582</v>
      </c>
    </row>
    <row r="313" spans="1:2" x14ac:dyDescent="0.25">
      <c r="A313" s="1" t="s">
        <v>583</v>
      </c>
      <c r="B313" s="1" t="s">
        <v>584</v>
      </c>
    </row>
    <row r="314" spans="1:2" x14ac:dyDescent="0.25">
      <c r="A314" s="1" t="s">
        <v>585</v>
      </c>
      <c r="B314" s="1" t="s">
        <v>586</v>
      </c>
    </row>
    <row r="315" spans="1:2" x14ac:dyDescent="0.25">
      <c r="A315" s="1" t="s">
        <v>587</v>
      </c>
      <c r="B315" s="1" t="s">
        <v>588</v>
      </c>
    </row>
    <row r="316" spans="1:2" x14ac:dyDescent="0.25">
      <c r="A316" s="1" t="s">
        <v>589</v>
      </c>
      <c r="B316" s="1" t="s">
        <v>590</v>
      </c>
    </row>
    <row r="317" spans="1:2" x14ac:dyDescent="0.25">
      <c r="A317" s="1" t="s">
        <v>591</v>
      </c>
      <c r="B317" s="1" t="s">
        <v>592</v>
      </c>
    </row>
    <row r="318" spans="1:2" x14ac:dyDescent="0.25">
      <c r="A318" s="1" t="s">
        <v>593</v>
      </c>
      <c r="B318" s="1" t="s">
        <v>594</v>
      </c>
    </row>
    <row r="319" spans="1:2" x14ac:dyDescent="0.25">
      <c r="A319" s="1" t="s">
        <v>595</v>
      </c>
      <c r="B319" s="1" t="s">
        <v>596</v>
      </c>
    </row>
    <row r="320" spans="1:2" x14ac:dyDescent="0.25">
      <c r="A320" s="1" t="s">
        <v>597</v>
      </c>
      <c r="B320" s="1" t="s">
        <v>598</v>
      </c>
    </row>
    <row r="321" spans="1:2" x14ac:dyDescent="0.25">
      <c r="A321" s="1" t="s">
        <v>599</v>
      </c>
      <c r="B321" s="1" t="s">
        <v>600</v>
      </c>
    </row>
    <row r="322" spans="1:2" x14ac:dyDescent="0.25">
      <c r="A322" s="1" t="s">
        <v>286</v>
      </c>
      <c r="B322" s="1" t="s">
        <v>601</v>
      </c>
    </row>
    <row r="323" spans="1:2" x14ac:dyDescent="0.25">
      <c r="A323" s="1" t="s">
        <v>602</v>
      </c>
      <c r="B323" s="1" t="s">
        <v>603</v>
      </c>
    </row>
    <row r="324" spans="1:2" x14ac:dyDescent="0.25">
      <c r="A324" s="1" t="s">
        <v>604</v>
      </c>
      <c r="B324" s="1" t="s">
        <v>605</v>
      </c>
    </row>
    <row r="325" spans="1:2" x14ac:dyDescent="0.25">
      <c r="A325" s="1" t="s">
        <v>167</v>
      </c>
      <c r="B325" s="1" t="s">
        <v>606</v>
      </c>
    </row>
    <row r="326" spans="1:2" x14ac:dyDescent="0.25">
      <c r="A326" s="1" t="s">
        <v>607</v>
      </c>
      <c r="B326" s="1" t="s">
        <v>608</v>
      </c>
    </row>
    <row r="327" spans="1:2" x14ac:dyDescent="0.25">
      <c r="A327" s="1" t="s">
        <v>609</v>
      </c>
      <c r="B327" s="1" t="s">
        <v>610</v>
      </c>
    </row>
    <row r="328" spans="1:2" x14ac:dyDescent="0.25">
      <c r="A328" s="1" t="s">
        <v>475</v>
      </c>
      <c r="B328" s="1" t="s">
        <v>611</v>
      </c>
    </row>
    <row r="329" spans="1:2" x14ac:dyDescent="0.25">
      <c r="A329" s="1" t="s">
        <v>612</v>
      </c>
      <c r="B329" s="1" t="s">
        <v>613</v>
      </c>
    </row>
    <row r="330" spans="1:2" x14ac:dyDescent="0.25">
      <c r="A330" s="1" t="s">
        <v>264</v>
      </c>
      <c r="B330" s="1" t="s">
        <v>614</v>
      </c>
    </row>
    <row r="331" spans="1:2" x14ac:dyDescent="0.25">
      <c r="A331" s="1" t="s">
        <v>615</v>
      </c>
      <c r="B331" s="1" t="s">
        <v>616</v>
      </c>
    </row>
    <row r="332" spans="1:2" x14ac:dyDescent="0.25">
      <c r="A332" s="1" t="s">
        <v>133</v>
      </c>
      <c r="B332" s="1" t="s">
        <v>617</v>
      </c>
    </row>
    <row r="333" spans="1:2" x14ac:dyDescent="0.25">
      <c r="A333" s="1" t="s">
        <v>347</v>
      </c>
      <c r="B333" s="1" t="s">
        <v>618</v>
      </c>
    </row>
    <row r="334" spans="1:2" x14ac:dyDescent="0.25">
      <c r="A334" s="1" t="s">
        <v>619</v>
      </c>
      <c r="B334" s="1" t="s">
        <v>620</v>
      </c>
    </row>
    <row r="335" spans="1:2" x14ac:dyDescent="0.25">
      <c r="A335" s="1" t="s">
        <v>621</v>
      </c>
      <c r="B335" s="1" t="s">
        <v>622</v>
      </c>
    </row>
    <row r="336" spans="1:2" x14ac:dyDescent="0.25">
      <c r="A336" s="1" t="s">
        <v>623</v>
      </c>
      <c r="B336" s="1" t="s">
        <v>624</v>
      </c>
    </row>
    <row r="337" spans="1:2" x14ac:dyDescent="0.25">
      <c r="A337" s="1" t="s">
        <v>625</v>
      </c>
      <c r="B337" s="1" t="s">
        <v>626</v>
      </c>
    </row>
    <row r="338" spans="1:2" x14ac:dyDescent="0.25">
      <c r="A338" s="1" t="s">
        <v>627</v>
      </c>
      <c r="B338" s="1" t="s">
        <v>628</v>
      </c>
    </row>
    <row r="339" spans="1:2" x14ac:dyDescent="0.25">
      <c r="A339" s="1" t="s">
        <v>629</v>
      </c>
      <c r="B339" s="1" t="s">
        <v>630</v>
      </c>
    </row>
    <row r="340" spans="1:2" x14ac:dyDescent="0.25">
      <c r="A340" s="1" t="s">
        <v>631</v>
      </c>
      <c r="B340" s="1" t="s">
        <v>632</v>
      </c>
    </row>
    <row r="341" spans="1:2" x14ac:dyDescent="0.25">
      <c r="A341" s="1" t="s">
        <v>633</v>
      </c>
      <c r="B341" s="1" t="s">
        <v>634</v>
      </c>
    </row>
    <row r="342" spans="1:2" x14ac:dyDescent="0.25">
      <c r="A342" s="1" t="s">
        <v>635</v>
      </c>
      <c r="B342" s="1" t="s">
        <v>636</v>
      </c>
    </row>
    <row r="343" spans="1:2" x14ac:dyDescent="0.25">
      <c r="A343" s="1" t="s">
        <v>637</v>
      </c>
      <c r="B343" s="1" t="s">
        <v>638</v>
      </c>
    </row>
    <row r="344" spans="1:2" x14ac:dyDescent="0.25">
      <c r="A344" s="1" t="s">
        <v>639</v>
      </c>
      <c r="B344" s="1" t="s">
        <v>640</v>
      </c>
    </row>
    <row r="345" spans="1:2" x14ac:dyDescent="0.25">
      <c r="A345" s="1" t="s">
        <v>641</v>
      </c>
      <c r="B345" s="1" t="s">
        <v>642</v>
      </c>
    </row>
    <row r="346" spans="1:2" x14ac:dyDescent="0.25">
      <c r="A346" s="1" t="s">
        <v>436</v>
      </c>
      <c r="B346" s="1" t="s">
        <v>643</v>
      </c>
    </row>
    <row r="347" spans="1:2" x14ac:dyDescent="0.25">
      <c r="A347" s="1" t="s">
        <v>253</v>
      </c>
      <c r="B347" s="1" t="s">
        <v>644</v>
      </c>
    </row>
    <row r="348" spans="1:2" x14ac:dyDescent="0.25">
      <c r="A348" s="1" t="s">
        <v>645</v>
      </c>
      <c r="B348" s="1" t="s">
        <v>646</v>
      </c>
    </row>
    <row r="349" spans="1:2" x14ac:dyDescent="0.25">
      <c r="A349" s="1" t="s">
        <v>92</v>
      </c>
      <c r="B349" s="1" t="s">
        <v>647</v>
      </c>
    </row>
    <row r="350" spans="1:2" x14ac:dyDescent="0.25">
      <c r="A350" s="1" t="s">
        <v>648</v>
      </c>
      <c r="B350" s="1" t="s">
        <v>649</v>
      </c>
    </row>
    <row r="351" spans="1:2" x14ac:dyDescent="0.25">
      <c r="A351" s="1" t="s">
        <v>650</v>
      </c>
      <c r="B351" s="1" t="s">
        <v>651</v>
      </c>
    </row>
    <row r="352" spans="1:2" x14ac:dyDescent="0.25">
      <c r="A352" s="1" t="s">
        <v>652</v>
      </c>
      <c r="B352" s="1" t="s">
        <v>653</v>
      </c>
    </row>
    <row r="353" spans="1:2" x14ac:dyDescent="0.25">
      <c r="A353" s="1" t="s">
        <v>654</v>
      </c>
      <c r="B353" s="1" t="s">
        <v>655</v>
      </c>
    </row>
    <row r="354" spans="1:2" x14ac:dyDescent="0.25">
      <c r="A354" s="1" t="s">
        <v>656</v>
      </c>
      <c r="B354" s="1" t="s">
        <v>657</v>
      </c>
    </row>
    <row r="355" spans="1:2" x14ac:dyDescent="0.25">
      <c r="A355" s="1" t="s">
        <v>658</v>
      </c>
      <c r="B355" s="1" t="s">
        <v>659</v>
      </c>
    </row>
    <row r="356" spans="1:2" x14ac:dyDescent="0.25">
      <c r="A356" s="1" t="s">
        <v>343</v>
      </c>
      <c r="B356" s="1" t="s">
        <v>660</v>
      </c>
    </row>
    <row r="357" spans="1:2" x14ac:dyDescent="0.25">
      <c r="A357" s="1" t="s">
        <v>90</v>
      </c>
      <c r="B357" s="1" t="s">
        <v>661</v>
      </c>
    </row>
    <row r="358" spans="1:2" x14ac:dyDescent="0.25">
      <c r="A358" s="1" t="s">
        <v>662</v>
      </c>
      <c r="B358" s="1" t="s">
        <v>663</v>
      </c>
    </row>
    <row r="359" spans="1:2" x14ac:dyDescent="0.25">
      <c r="A359" s="1" t="s">
        <v>167</v>
      </c>
      <c r="B359" s="1" t="s">
        <v>664</v>
      </c>
    </row>
    <row r="360" spans="1:2" x14ac:dyDescent="0.25">
      <c r="A360" s="1" t="s">
        <v>155</v>
      </c>
      <c r="B360" s="1" t="s">
        <v>665</v>
      </c>
    </row>
    <row r="361" spans="1:2" x14ac:dyDescent="0.25">
      <c r="A361" s="1" t="s">
        <v>666</v>
      </c>
      <c r="B361" s="1" t="s">
        <v>667</v>
      </c>
    </row>
    <row r="362" spans="1:2" x14ac:dyDescent="0.25">
      <c r="A362" s="1" t="s">
        <v>668</v>
      </c>
      <c r="B362" s="1" t="s">
        <v>669</v>
      </c>
    </row>
    <row r="363" spans="1:2" x14ac:dyDescent="0.25">
      <c r="A363" s="1" t="s">
        <v>423</v>
      </c>
      <c r="B363" s="1" t="s">
        <v>670</v>
      </c>
    </row>
    <row r="364" spans="1:2" x14ac:dyDescent="0.25">
      <c r="A364" s="1" t="s">
        <v>671</v>
      </c>
      <c r="B364" s="1" t="s">
        <v>672</v>
      </c>
    </row>
    <row r="365" spans="1:2" x14ac:dyDescent="0.25">
      <c r="A365" s="1" t="s">
        <v>673</v>
      </c>
      <c r="B365" s="1" t="s">
        <v>674</v>
      </c>
    </row>
    <row r="366" spans="1:2" x14ac:dyDescent="0.25">
      <c r="A366" s="1" t="s">
        <v>675</v>
      </c>
      <c r="B366" s="1" t="s">
        <v>676</v>
      </c>
    </row>
    <row r="367" spans="1:2" x14ac:dyDescent="0.25">
      <c r="A367" s="1" t="s">
        <v>677</v>
      </c>
      <c r="B367" s="1" t="s">
        <v>678</v>
      </c>
    </row>
    <row r="368" spans="1:2" x14ac:dyDescent="0.25">
      <c r="A368" s="1" t="s">
        <v>679</v>
      </c>
      <c r="B368" s="1" t="s">
        <v>680</v>
      </c>
    </row>
    <row r="369" spans="1:2" x14ac:dyDescent="0.25">
      <c r="A369" s="1" t="s">
        <v>681</v>
      </c>
      <c r="B369" s="1" t="s">
        <v>682</v>
      </c>
    </row>
    <row r="370" spans="1:2" x14ac:dyDescent="0.25">
      <c r="A370" s="1" t="s">
        <v>683</v>
      </c>
      <c r="B370" s="1" t="s">
        <v>684</v>
      </c>
    </row>
    <row r="371" spans="1:2" x14ac:dyDescent="0.25">
      <c r="A371" s="1" t="s">
        <v>685</v>
      </c>
      <c r="B371" s="1" t="s">
        <v>686</v>
      </c>
    </row>
    <row r="372" spans="1:2" x14ac:dyDescent="0.25">
      <c r="A372" s="1" t="s">
        <v>687</v>
      </c>
      <c r="B372" s="1" t="s">
        <v>688</v>
      </c>
    </row>
    <row r="373" spans="1:2" x14ac:dyDescent="0.25">
      <c r="A373" s="1" t="s">
        <v>689</v>
      </c>
      <c r="B373" s="1" t="s">
        <v>690</v>
      </c>
    </row>
    <row r="374" spans="1:2" x14ac:dyDescent="0.25">
      <c r="A374" s="1" t="s">
        <v>691</v>
      </c>
      <c r="B374" s="1" t="s">
        <v>692</v>
      </c>
    </row>
    <row r="375" spans="1:2" x14ac:dyDescent="0.25">
      <c r="A375" s="1" t="s">
        <v>693</v>
      </c>
      <c r="B375" s="1" t="s">
        <v>694</v>
      </c>
    </row>
    <row r="376" spans="1:2" x14ac:dyDescent="0.25">
      <c r="A376" s="1" t="s">
        <v>695</v>
      </c>
      <c r="B376" s="1" t="s">
        <v>696</v>
      </c>
    </row>
    <row r="377" spans="1:2" x14ac:dyDescent="0.25">
      <c r="A377" s="1" t="s">
        <v>697</v>
      </c>
      <c r="B377" s="1" t="s">
        <v>698</v>
      </c>
    </row>
    <row r="378" spans="1:2" x14ac:dyDescent="0.25">
      <c r="A378" s="1" t="s">
        <v>699</v>
      </c>
      <c r="B378" s="1" t="s">
        <v>700</v>
      </c>
    </row>
    <row r="379" spans="1:2" x14ac:dyDescent="0.25">
      <c r="A379" s="1" t="s">
        <v>701</v>
      </c>
      <c r="B379" s="1" t="s">
        <v>702</v>
      </c>
    </row>
    <row r="380" spans="1:2" x14ac:dyDescent="0.25">
      <c r="A380" s="1" t="s">
        <v>703</v>
      </c>
      <c r="B380" s="1" t="s">
        <v>704</v>
      </c>
    </row>
    <row r="381" spans="1:2" x14ac:dyDescent="0.25">
      <c r="A381" s="1" t="s">
        <v>705</v>
      </c>
      <c r="B381" s="1" t="s">
        <v>706</v>
      </c>
    </row>
    <row r="382" spans="1:2" x14ac:dyDescent="0.25">
      <c r="A382" s="1" t="s">
        <v>707</v>
      </c>
      <c r="B382" s="1" t="s">
        <v>708</v>
      </c>
    </row>
    <row r="383" spans="1:2" x14ac:dyDescent="0.25">
      <c r="A383" s="1" t="s">
        <v>709</v>
      </c>
      <c r="B383" s="1" t="s">
        <v>710</v>
      </c>
    </row>
    <row r="384" spans="1:2" x14ac:dyDescent="0.25">
      <c r="A384" s="1" t="s">
        <v>711</v>
      </c>
      <c r="B384" s="1" t="s">
        <v>712</v>
      </c>
    </row>
    <row r="385" spans="1:2" x14ac:dyDescent="0.25">
      <c r="A385" s="1" t="s">
        <v>713</v>
      </c>
      <c r="B385" s="1" t="s">
        <v>714</v>
      </c>
    </row>
    <row r="386" spans="1:2" x14ac:dyDescent="0.25">
      <c r="A386" s="1" t="s">
        <v>715</v>
      </c>
      <c r="B386" s="1" t="s">
        <v>716</v>
      </c>
    </row>
    <row r="387" spans="1:2" x14ac:dyDescent="0.25">
      <c r="A387" s="1" t="s">
        <v>717</v>
      </c>
      <c r="B387" s="1" t="s">
        <v>718</v>
      </c>
    </row>
    <row r="388" spans="1:2" x14ac:dyDescent="0.25">
      <c r="A388" s="1" t="s">
        <v>719</v>
      </c>
      <c r="B388" s="1" t="s">
        <v>720</v>
      </c>
    </row>
    <row r="389" spans="1:2" x14ac:dyDescent="0.25">
      <c r="A389" s="1" t="s">
        <v>721</v>
      </c>
      <c r="B389" s="1" t="s">
        <v>722</v>
      </c>
    </row>
    <row r="390" spans="1:2" x14ac:dyDescent="0.25">
      <c r="A390" s="1" t="s">
        <v>723</v>
      </c>
      <c r="B390" s="1" t="s">
        <v>724</v>
      </c>
    </row>
    <row r="391" spans="1:2" x14ac:dyDescent="0.25">
      <c r="A391" s="1" t="s">
        <v>725</v>
      </c>
      <c r="B391" s="1" t="s">
        <v>726</v>
      </c>
    </row>
    <row r="392" spans="1:2" x14ac:dyDescent="0.25">
      <c r="A392" s="1" t="s">
        <v>727</v>
      </c>
      <c r="B392" s="1" t="s">
        <v>728</v>
      </c>
    </row>
    <row r="393" spans="1:2" x14ac:dyDescent="0.25">
      <c r="A393" s="1" t="s">
        <v>729</v>
      </c>
      <c r="B393" s="1" t="s">
        <v>730</v>
      </c>
    </row>
    <row r="394" spans="1:2" x14ac:dyDescent="0.25">
      <c r="A394" s="1" t="s">
        <v>731</v>
      </c>
      <c r="B394" s="1" t="s">
        <v>732</v>
      </c>
    </row>
    <row r="395" spans="1:2" x14ac:dyDescent="0.25">
      <c r="A395" s="1" t="s">
        <v>733</v>
      </c>
      <c r="B395" s="1" t="s">
        <v>734</v>
      </c>
    </row>
    <row r="396" spans="1:2" x14ac:dyDescent="0.25">
      <c r="A396" s="1" t="s">
        <v>735</v>
      </c>
      <c r="B396" s="1" t="s">
        <v>736</v>
      </c>
    </row>
    <row r="397" spans="1:2" x14ac:dyDescent="0.25">
      <c r="A397" s="1" t="s">
        <v>737</v>
      </c>
      <c r="B397" s="1" t="s">
        <v>738</v>
      </c>
    </row>
    <row r="398" spans="1:2" x14ac:dyDescent="0.25">
      <c r="A398" s="1" t="s">
        <v>739</v>
      </c>
      <c r="B398" s="1" t="s">
        <v>740</v>
      </c>
    </row>
    <row r="399" spans="1:2" x14ac:dyDescent="0.25">
      <c r="A399" s="1" t="s">
        <v>741</v>
      </c>
      <c r="B399" s="1" t="s">
        <v>742</v>
      </c>
    </row>
    <row r="400" spans="1:2" x14ac:dyDescent="0.25">
      <c r="A400" s="1" t="s">
        <v>743</v>
      </c>
      <c r="B400" s="1" t="s">
        <v>744</v>
      </c>
    </row>
    <row r="401" spans="1:2" x14ac:dyDescent="0.25">
      <c r="A401" s="1" t="s">
        <v>745</v>
      </c>
      <c r="B401" s="1" t="s">
        <v>746</v>
      </c>
    </row>
    <row r="402" spans="1:2" x14ac:dyDescent="0.25">
      <c r="A402" s="1" t="s">
        <v>747</v>
      </c>
      <c r="B402" s="1" t="s">
        <v>748</v>
      </c>
    </row>
    <row r="403" spans="1:2" x14ac:dyDescent="0.25">
      <c r="A403" s="1" t="s">
        <v>749</v>
      </c>
      <c r="B403" s="1" t="s">
        <v>750</v>
      </c>
    </row>
    <row r="404" spans="1:2" x14ac:dyDescent="0.25">
      <c r="A404" s="1" t="s">
        <v>751</v>
      </c>
      <c r="B404" s="1" t="s">
        <v>752</v>
      </c>
    </row>
    <row r="405" spans="1:2" x14ac:dyDescent="0.25">
      <c r="A405" s="1" t="s">
        <v>753</v>
      </c>
      <c r="B405" s="1" t="s">
        <v>754</v>
      </c>
    </row>
    <row r="406" spans="1:2" x14ac:dyDescent="0.25">
      <c r="A406" s="1" t="s">
        <v>755</v>
      </c>
      <c r="B406" s="1" t="s">
        <v>756</v>
      </c>
    </row>
    <row r="407" spans="1:2" x14ac:dyDescent="0.25">
      <c r="A407" s="1" t="s">
        <v>757</v>
      </c>
      <c r="B407" s="1" t="s">
        <v>758</v>
      </c>
    </row>
    <row r="408" spans="1:2" x14ac:dyDescent="0.25">
      <c r="A408" s="1" t="s">
        <v>759</v>
      </c>
      <c r="B408" s="1" t="s">
        <v>760</v>
      </c>
    </row>
    <row r="409" spans="1:2" x14ac:dyDescent="0.25">
      <c r="A409" s="1" t="s">
        <v>761</v>
      </c>
      <c r="B409" s="1" t="s">
        <v>762</v>
      </c>
    </row>
    <row r="410" spans="1:2" x14ac:dyDescent="0.25">
      <c r="A410" s="1" t="s">
        <v>763</v>
      </c>
      <c r="B410" s="1" t="s">
        <v>764</v>
      </c>
    </row>
    <row r="411" spans="1:2" x14ac:dyDescent="0.25">
      <c r="A411" s="1" t="s">
        <v>679</v>
      </c>
      <c r="B411" s="1" t="s">
        <v>765</v>
      </c>
    </row>
    <row r="412" spans="1:2" x14ac:dyDescent="0.25">
      <c r="A412" s="1" t="s">
        <v>766</v>
      </c>
      <c r="B412" s="1" t="s">
        <v>767</v>
      </c>
    </row>
    <row r="413" spans="1:2" x14ac:dyDescent="0.25">
      <c r="A413" s="1" t="s">
        <v>441</v>
      </c>
      <c r="B413" s="1" t="s">
        <v>768</v>
      </c>
    </row>
    <row r="414" spans="1:2" x14ac:dyDescent="0.25">
      <c r="A414" s="1" t="s">
        <v>769</v>
      </c>
      <c r="B414" s="1" t="s">
        <v>770</v>
      </c>
    </row>
    <row r="415" spans="1:2" x14ac:dyDescent="0.25">
      <c r="A415" s="1" t="s">
        <v>771</v>
      </c>
      <c r="B415" s="1" t="s">
        <v>772</v>
      </c>
    </row>
    <row r="416" spans="1:2" x14ac:dyDescent="0.25">
      <c r="A416" s="1" t="s">
        <v>662</v>
      </c>
      <c r="B416" s="1" t="s">
        <v>773</v>
      </c>
    </row>
    <row r="417" spans="1:2" x14ac:dyDescent="0.25">
      <c r="A417" s="1" t="s">
        <v>774</v>
      </c>
      <c r="B417" s="1" t="s">
        <v>775</v>
      </c>
    </row>
    <row r="418" spans="1:2" x14ac:dyDescent="0.25">
      <c r="A418" s="1" t="s">
        <v>253</v>
      </c>
      <c r="B418" s="1" t="s">
        <v>776</v>
      </c>
    </row>
    <row r="419" spans="1:2" x14ac:dyDescent="0.25">
      <c r="A419" s="1" t="s">
        <v>434</v>
      </c>
      <c r="B419" s="1" t="s">
        <v>777</v>
      </c>
    </row>
    <row r="420" spans="1:2" x14ac:dyDescent="0.25">
      <c r="A420" s="1" t="s">
        <v>778</v>
      </c>
      <c r="B420" s="1" t="s">
        <v>779</v>
      </c>
    </row>
    <row r="421" spans="1:2" x14ac:dyDescent="0.25">
      <c r="A421" s="1" t="s">
        <v>167</v>
      </c>
      <c r="B421" s="1" t="s">
        <v>780</v>
      </c>
    </row>
    <row r="422" spans="1:2" x14ac:dyDescent="0.25">
      <c r="A422" s="1" t="s">
        <v>781</v>
      </c>
      <c r="B422" s="1" t="s">
        <v>782</v>
      </c>
    </row>
    <row r="423" spans="1:2" x14ac:dyDescent="0.25">
      <c r="A423" s="1" t="s">
        <v>274</v>
      </c>
      <c r="B423" s="1" t="s">
        <v>783</v>
      </c>
    </row>
    <row r="424" spans="1:2" x14ac:dyDescent="0.25">
      <c r="A424" s="1" t="s">
        <v>163</v>
      </c>
      <c r="B424" s="1" t="s">
        <v>784</v>
      </c>
    </row>
    <row r="425" spans="1:2" x14ac:dyDescent="0.25">
      <c r="A425" s="1" t="s">
        <v>785</v>
      </c>
      <c r="B425" s="1" t="s">
        <v>786</v>
      </c>
    </row>
    <row r="426" spans="1:2" x14ac:dyDescent="0.25">
      <c r="A426" s="1" t="s">
        <v>787</v>
      </c>
      <c r="B426" s="1" t="s">
        <v>788</v>
      </c>
    </row>
    <row r="427" spans="1:2" x14ac:dyDescent="0.25">
      <c r="A427" s="1" t="s">
        <v>789</v>
      </c>
      <c r="B427" s="1" t="s">
        <v>790</v>
      </c>
    </row>
    <row r="428" spans="1:2" x14ac:dyDescent="0.25">
      <c r="A428" s="1" t="s">
        <v>791</v>
      </c>
      <c r="B428" s="1" t="s">
        <v>792</v>
      </c>
    </row>
    <row r="429" spans="1:2" x14ac:dyDescent="0.25">
      <c r="A429" s="1" t="s">
        <v>793</v>
      </c>
      <c r="B429" s="1" t="s">
        <v>794</v>
      </c>
    </row>
    <row r="430" spans="1:2" x14ac:dyDescent="0.25">
      <c r="A430" s="1" t="s">
        <v>795</v>
      </c>
      <c r="B430" s="1" t="s">
        <v>796</v>
      </c>
    </row>
    <row r="431" spans="1:2" x14ac:dyDescent="0.25">
      <c r="A431" s="1" t="s">
        <v>797</v>
      </c>
      <c r="B431" s="1" t="s">
        <v>798</v>
      </c>
    </row>
    <row r="432" spans="1:2" x14ac:dyDescent="0.25">
      <c r="A432" s="1" t="s">
        <v>441</v>
      </c>
      <c r="B432" s="1" t="s">
        <v>799</v>
      </c>
    </row>
    <row r="433" spans="1:2" x14ac:dyDescent="0.25">
      <c r="A433" s="1" t="s">
        <v>264</v>
      </c>
      <c r="B433" s="1" t="s">
        <v>800</v>
      </c>
    </row>
    <row r="434" spans="1:2" x14ac:dyDescent="0.25">
      <c r="A434" s="1" t="s">
        <v>167</v>
      </c>
      <c r="B434" s="1" t="s">
        <v>801</v>
      </c>
    </row>
    <row r="435" spans="1:2" x14ac:dyDescent="0.25">
      <c r="A435" s="1" t="s">
        <v>802</v>
      </c>
      <c r="B435" s="1" t="s">
        <v>803</v>
      </c>
    </row>
    <row r="436" spans="1:2" x14ac:dyDescent="0.25">
      <c r="A436" s="1" t="s">
        <v>302</v>
      </c>
      <c r="B436" s="1" t="s">
        <v>804</v>
      </c>
    </row>
    <row r="437" spans="1:2" x14ac:dyDescent="0.25">
      <c r="A437" s="1" t="s">
        <v>805</v>
      </c>
      <c r="B437" s="1" t="s">
        <v>806</v>
      </c>
    </row>
    <row r="438" spans="1:2" x14ac:dyDescent="0.25">
      <c r="A438" s="1" t="s">
        <v>619</v>
      </c>
      <c r="B438" s="1" t="s">
        <v>807</v>
      </c>
    </row>
    <row r="439" spans="1:2" x14ac:dyDescent="0.25">
      <c r="A439" s="1" t="s">
        <v>808</v>
      </c>
      <c r="B439" s="1" t="s">
        <v>809</v>
      </c>
    </row>
    <row r="440" spans="1:2" x14ac:dyDescent="0.25">
      <c r="A440" s="1" t="s">
        <v>810</v>
      </c>
      <c r="B440" s="1" t="s">
        <v>811</v>
      </c>
    </row>
    <row r="441" spans="1:2" x14ac:dyDescent="0.25">
      <c r="A441" s="1" t="s">
        <v>812</v>
      </c>
      <c r="B441" s="1" t="s">
        <v>813</v>
      </c>
    </row>
    <row r="442" spans="1:2" x14ac:dyDescent="0.25">
      <c r="A442" s="1" t="s">
        <v>619</v>
      </c>
      <c r="B442" s="1" t="s">
        <v>814</v>
      </c>
    </row>
    <row r="443" spans="1:2" x14ac:dyDescent="0.25">
      <c r="A443" s="1" t="s">
        <v>808</v>
      </c>
      <c r="B443" s="1" t="s">
        <v>815</v>
      </c>
    </row>
    <row r="444" spans="1:2" x14ac:dyDescent="0.25">
      <c r="A444" s="1" t="s">
        <v>816</v>
      </c>
      <c r="B444" s="1" t="s">
        <v>817</v>
      </c>
    </row>
    <row r="445" spans="1:2" x14ac:dyDescent="0.25">
      <c r="A445" s="1" t="s">
        <v>818</v>
      </c>
      <c r="B445" s="1" t="s">
        <v>819</v>
      </c>
    </row>
    <row r="446" spans="1:2" x14ac:dyDescent="0.25">
      <c r="A446" s="1" t="s">
        <v>820</v>
      </c>
      <c r="B446" s="1" t="s">
        <v>821</v>
      </c>
    </row>
    <row r="447" spans="1:2" x14ac:dyDescent="0.25">
      <c r="A447" s="1" t="s">
        <v>167</v>
      </c>
      <c r="B447" s="1" t="s">
        <v>822</v>
      </c>
    </row>
    <row r="448" spans="1:2" x14ac:dyDescent="0.25">
      <c r="A448" s="1" t="s">
        <v>823</v>
      </c>
      <c r="B448" s="1" t="s">
        <v>824</v>
      </c>
    </row>
    <row r="449" spans="1:2" x14ac:dyDescent="0.25">
      <c r="A449" s="1" t="s">
        <v>825</v>
      </c>
      <c r="B449" s="1" t="s">
        <v>826</v>
      </c>
    </row>
    <row r="450" spans="1:2" x14ac:dyDescent="0.25">
      <c r="A450" s="1" t="s">
        <v>827</v>
      </c>
      <c r="B450" s="1" t="s">
        <v>828</v>
      </c>
    </row>
    <row r="451" spans="1:2" x14ac:dyDescent="0.25">
      <c r="A451" s="1" t="s">
        <v>829</v>
      </c>
      <c r="B451" s="1" t="s">
        <v>830</v>
      </c>
    </row>
    <row r="452" spans="1:2" x14ac:dyDescent="0.25">
      <c r="A452" s="1" t="s">
        <v>831</v>
      </c>
      <c r="B452" s="1" t="s">
        <v>832</v>
      </c>
    </row>
    <row r="453" spans="1:2" x14ac:dyDescent="0.25">
      <c r="A453" s="1" t="s">
        <v>833</v>
      </c>
      <c r="B453" s="1" t="s">
        <v>834</v>
      </c>
    </row>
    <row r="454" spans="1:2" x14ac:dyDescent="0.25">
      <c r="A454" s="1" t="s">
        <v>835</v>
      </c>
      <c r="B454" s="1" t="s">
        <v>836</v>
      </c>
    </row>
    <row r="455" spans="1:2" x14ac:dyDescent="0.25">
      <c r="A455" s="1" t="s">
        <v>434</v>
      </c>
      <c r="B455" s="1" t="s">
        <v>837</v>
      </c>
    </row>
    <row r="456" spans="1:2" x14ac:dyDescent="0.25">
      <c r="A456" s="1" t="s">
        <v>436</v>
      </c>
      <c r="B456" s="1" t="s">
        <v>838</v>
      </c>
    </row>
    <row r="457" spans="1:2" x14ac:dyDescent="0.25">
      <c r="A457" s="1" t="s">
        <v>167</v>
      </c>
      <c r="B457" s="1" t="s">
        <v>839</v>
      </c>
    </row>
    <row r="458" spans="1:2" x14ac:dyDescent="0.25">
      <c r="A458" s="1" t="s">
        <v>253</v>
      </c>
      <c r="B458" s="1" t="s">
        <v>840</v>
      </c>
    </row>
    <row r="459" spans="1:2" x14ac:dyDescent="0.25">
      <c r="A459" s="1" t="s">
        <v>163</v>
      </c>
      <c r="B459" s="1" t="s">
        <v>841</v>
      </c>
    </row>
    <row r="460" spans="1:2" x14ac:dyDescent="0.25">
      <c r="A460" s="1" t="s">
        <v>842</v>
      </c>
      <c r="B460" s="1" t="s">
        <v>843</v>
      </c>
    </row>
    <row r="461" spans="1:2" x14ac:dyDescent="0.25">
      <c r="A461" s="1" t="s">
        <v>766</v>
      </c>
      <c r="B461" s="1" t="s">
        <v>844</v>
      </c>
    </row>
    <row r="462" spans="1:2" x14ac:dyDescent="0.25">
      <c r="A462" s="1" t="s">
        <v>151</v>
      </c>
      <c r="B462" s="1" t="s">
        <v>845</v>
      </c>
    </row>
    <row r="463" spans="1:2" x14ac:dyDescent="0.25">
      <c r="A463" s="1" t="s">
        <v>846</v>
      </c>
      <c r="B463" s="1" t="s">
        <v>847</v>
      </c>
    </row>
    <row r="464" spans="1:2" x14ac:dyDescent="0.25">
      <c r="A464" s="1" t="s">
        <v>360</v>
      </c>
      <c r="B464" s="1" t="s">
        <v>848</v>
      </c>
    </row>
    <row r="465" spans="1:2" x14ac:dyDescent="0.25">
      <c r="A465" s="1" t="s">
        <v>849</v>
      </c>
      <c r="B465" s="1" t="s">
        <v>850</v>
      </c>
    </row>
    <row r="466" spans="1:2" x14ac:dyDescent="0.25">
      <c r="A466" s="1" t="s">
        <v>851</v>
      </c>
      <c r="B466" s="1" t="s">
        <v>852</v>
      </c>
    </row>
    <row r="467" spans="1:2" x14ac:dyDescent="0.25">
      <c r="A467" s="1" t="s">
        <v>853</v>
      </c>
      <c r="B467" s="1" t="s">
        <v>854</v>
      </c>
    </row>
    <row r="468" spans="1:2" x14ac:dyDescent="0.25">
      <c r="A468" s="1" t="s">
        <v>855</v>
      </c>
      <c r="B468" s="1" t="s">
        <v>856</v>
      </c>
    </row>
    <row r="469" spans="1:2" x14ac:dyDescent="0.25">
      <c r="A469" s="1" t="s">
        <v>857</v>
      </c>
      <c r="B469" s="1" t="s">
        <v>858</v>
      </c>
    </row>
    <row r="470" spans="1:2" x14ac:dyDescent="0.25">
      <c r="A470" s="1" t="s">
        <v>859</v>
      </c>
      <c r="B470" s="1" t="s">
        <v>860</v>
      </c>
    </row>
    <row r="471" spans="1:2" x14ac:dyDescent="0.25">
      <c r="A471" s="1" t="s">
        <v>861</v>
      </c>
      <c r="B471" s="1" t="s">
        <v>862</v>
      </c>
    </row>
    <row r="472" spans="1:2" x14ac:dyDescent="0.25">
      <c r="A472" s="1" t="s">
        <v>863</v>
      </c>
      <c r="B472" s="1" t="s">
        <v>864</v>
      </c>
    </row>
    <row r="473" spans="1:2" x14ac:dyDescent="0.25">
      <c r="A473" s="1" t="s">
        <v>865</v>
      </c>
      <c r="B473" s="1" t="s">
        <v>866</v>
      </c>
    </row>
    <row r="474" spans="1:2" x14ac:dyDescent="0.25">
      <c r="A474" s="1" t="s">
        <v>867</v>
      </c>
      <c r="B474" s="1" t="s">
        <v>868</v>
      </c>
    </row>
    <row r="475" spans="1:2" x14ac:dyDescent="0.25">
      <c r="A475" s="1" t="s">
        <v>869</v>
      </c>
      <c r="B475" s="1" t="s">
        <v>870</v>
      </c>
    </row>
    <row r="476" spans="1:2" x14ac:dyDescent="0.25">
      <c r="A476" s="1" t="s">
        <v>871</v>
      </c>
      <c r="B476" s="1" t="s">
        <v>872</v>
      </c>
    </row>
    <row r="477" spans="1:2" x14ac:dyDescent="0.25">
      <c r="A477" s="1" t="s">
        <v>873</v>
      </c>
      <c r="B477" s="1" t="s">
        <v>874</v>
      </c>
    </row>
    <row r="478" spans="1:2" x14ac:dyDescent="0.25">
      <c r="A478" s="1" t="s">
        <v>875</v>
      </c>
      <c r="B478" s="1" t="s">
        <v>876</v>
      </c>
    </row>
    <row r="479" spans="1:2" x14ac:dyDescent="0.25">
      <c r="A479" s="1" t="s">
        <v>877</v>
      </c>
      <c r="B479" s="1" t="s">
        <v>878</v>
      </c>
    </row>
    <row r="480" spans="1:2" x14ac:dyDescent="0.25">
      <c r="A480" s="1" t="s">
        <v>879</v>
      </c>
      <c r="B480" s="1" t="s">
        <v>880</v>
      </c>
    </row>
    <row r="481" spans="1:2" x14ac:dyDescent="0.25">
      <c r="A481" s="1" t="s">
        <v>881</v>
      </c>
      <c r="B481" s="1" t="s">
        <v>882</v>
      </c>
    </row>
    <row r="482" spans="1:2" x14ac:dyDescent="0.25">
      <c r="A482" s="1" t="s">
        <v>883</v>
      </c>
      <c r="B482" s="1" t="s">
        <v>884</v>
      </c>
    </row>
    <row r="483" spans="1:2" x14ac:dyDescent="0.25">
      <c r="A483" s="1" t="s">
        <v>885</v>
      </c>
      <c r="B483" s="1" t="s">
        <v>886</v>
      </c>
    </row>
    <row r="484" spans="1:2" x14ac:dyDescent="0.25">
      <c r="A484" s="1" t="s">
        <v>887</v>
      </c>
      <c r="B484" s="1" t="s">
        <v>888</v>
      </c>
    </row>
    <row r="485" spans="1:2" x14ac:dyDescent="0.25">
      <c r="A485" s="1" t="s">
        <v>14</v>
      </c>
      <c r="B485" s="1" t="s">
        <v>889</v>
      </c>
    </row>
    <row r="486" spans="1:2" x14ac:dyDescent="0.25">
      <c r="A486" s="1" t="s">
        <v>264</v>
      </c>
      <c r="B486" s="1" t="s">
        <v>890</v>
      </c>
    </row>
    <row r="487" spans="1:2" x14ac:dyDescent="0.25">
      <c r="A487" s="1" t="s">
        <v>253</v>
      </c>
      <c r="B487" s="1" t="s">
        <v>891</v>
      </c>
    </row>
    <row r="488" spans="1:2" x14ac:dyDescent="0.25">
      <c r="A488" s="1" t="s">
        <v>90</v>
      </c>
      <c r="B488" s="1" t="s">
        <v>892</v>
      </c>
    </row>
    <row r="489" spans="1:2" x14ac:dyDescent="0.25">
      <c r="A489" s="1" t="s">
        <v>893</v>
      </c>
      <c r="B489" s="1" t="s">
        <v>894</v>
      </c>
    </row>
    <row r="490" spans="1:2" x14ac:dyDescent="0.25">
      <c r="A490" s="1" t="s">
        <v>895</v>
      </c>
      <c r="B490" s="1" t="s">
        <v>896</v>
      </c>
    </row>
    <row r="491" spans="1:2" x14ac:dyDescent="0.25">
      <c r="A491" s="1" t="s">
        <v>897</v>
      </c>
      <c r="B491" s="1" t="s">
        <v>898</v>
      </c>
    </row>
    <row r="492" spans="1:2" x14ac:dyDescent="0.25">
      <c r="A492" s="1" t="s">
        <v>875</v>
      </c>
      <c r="B492" s="1" t="s">
        <v>899</v>
      </c>
    </row>
    <row r="493" spans="1:2" x14ac:dyDescent="0.25">
      <c r="A493" s="1" t="s">
        <v>14</v>
      </c>
      <c r="B493" s="1" t="s">
        <v>900</v>
      </c>
    </row>
    <row r="494" spans="1:2" x14ac:dyDescent="0.25">
      <c r="A494" s="1" t="s">
        <v>901</v>
      </c>
      <c r="B494" s="1" t="s">
        <v>902</v>
      </c>
    </row>
    <row r="495" spans="1:2" x14ac:dyDescent="0.25">
      <c r="A495" s="1" t="s">
        <v>14</v>
      </c>
      <c r="B495" s="1" t="s">
        <v>903</v>
      </c>
    </row>
    <row r="496" spans="1:2" x14ac:dyDescent="0.25">
      <c r="A496" s="1" t="s">
        <v>901</v>
      </c>
      <c r="B496" s="1" t="s">
        <v>904</v>
      </c>
    </row>
    <row r="497" spans="1:2" x14ac:dyDescent="0.25">
      <c r="A497" s="1" t="s">
        <v>905</v>
      </c>
      <c r="B497" s="1" t="s">
        <v>906</v>
      </c>
    </row>
    <row r="498" spans="1:2" x14ac:dyDescent="0.25">
      <c r="A498" s="1" t="s">
        <v>679</v>
      </c>
      <c r="B498" s="1" t="s">
        <v>907</v>
      </c>
    </row>
    <row r="499" spans="1:2" x14ac:dyDescent="0.25">
      <c r="A499" s="1" t="s">
        <v>766</v>
      </c>
      <c r="B499" s="1" t="s">
        <v>908</v>
      </c>
    </row>
    <row r="500" spans="1:2" x14ac:dyDescent="0.25">
      <c r="A500" s="1" t="s">
        <v>909</v>
      </c>
      <c r="B500" s="1" t="s">
        <v>910</v>
      </c>
    </row>
    <row r="501" spans="1:2" x14ac:dyDescent="0.25">
      <c r="A501" s="1" t="s">
        <v>436</v>
      </c>
      <c r="B501" s="1" t="s">
        <v>911</v>
      </c>
    </row>
    <row r="502" spans="1:2" x14ac:dyDescent="0.25">
      <c r="A502" s="1" t="s">
        <v>253</v>
      </c>
      <c r="B502" s="1" t="s">
        <v>912</v>
      </c>
    </row>
    <row r="503" spans="1:2" x14ac:dyDescent="0.25">
      <c r="A503" s="1" t="s">
        <v>434</v>
      </c>
      <c r="B503" s="1" t="s">
        <v>913</v>
      </c>
    </row>
    <row r="504" spans="1:2" x14ac:dyDescent="0.25">
      <c r="A504" s="1" t="s">
        <v>914</v>
      </c>
      <c r="B504" s="1" t="s">
        <v>915</v>
      </c>
    </row>
    <row r="505" spans="1:2" x14ac:dyDescent="0.25">
      <c r="A505" s="1" t="s">
        <v>615</v>
      </c>
      <c r="B505" s="1" t="s">
        <v>916</v>
      </c>
    </row>
    <row r="506" spans="1:2" x14ac:dyDescent="0.25">
      <c r="A506" s="1" t="s">
        <v>167</v>
      </c>
      <c r="B506" s="1" t="s">
        <v>917</v>
      </c>
    </row>
    <row r="507" spans="1:2" x14ac:dyDescent="0.25">
      <c r="A507" s="1" t="s">
        <v>918</v>
      </c>
      <c r="B507" s="1" t="s">
        <v>919</v>
      </c>
    </row>
    <row r="508" spans="1:2" x14ac:dyDescent="0.25">
      <c r="A508" s="1" t="s">
        <v>920</v>
      </c>
      <c r="B508" s="1" t="s">
        <v>921</v>
      </c>
    </row>
    <row r="509" spans="1:2" x14ac:dyDescent="0.25">
      <c r="A509" s="1" t="s">
        <v>922</v>
      </c>
      <c r="B509" s="1" t="s">
        <v>923</v>
      </c>
    </row>
    <row r="510" spans="1:2" x14ac:dyDescent="0.25">
      <c r="A510" s="1" t="s">
        <v>924</v>
      </c>
      <c r="B510" s="1" t="s">
        <v>925</v>
      </c>
    </row>
    <row r="511" spans="1:2" x14ac:dyDescent="0.25">
      <c r="A511" s="1" t="s">
        <v>926</v>
      </c>
      <c r="B511" s="1" t="s">
        <v>927</v>
      </c>
    </row>
    <row r="512" spans="1:2" x14ac:dyDescent="0.25">
      <c r="A512" s="1" t="s">
        <v>928</v>
      </c>
      <c r="B512" s="1" t="s">
        <v>929</v>
      </c>
    </row>
    <row r="513" spans="1:2" x14ac:dyDescent="0.25">
      <c r="A513" s="1" t="s">
        <v>930</v>
      </c>
      <c r="B513" s="1" t="s">
        <v>931</v>
      </c>
    </row>
    <row r="514" spans="1:2" x14ac:dyDescent="0.25">
      <c r="A514" s="1" t="s">
        <v>932</v>
      </c>
      <c r="B514" s="1" t="s">
        <v>933</v>
      </c>
    </row>
    <row r="515" spans="1:2" x14ac:dyDescent="0.25">
      <c r="A515" s="1" t="s">
        <v>934</v>
      </c>
      <c r="B515" s="1" t="s">
        <v>935</v>
      </c>
    </row>
    <row r="516" spans="1:2" x14ac:dyDescent="0.25">
      <c r="A516" s="1" t="s">
        <v>936</v>
      </c>
      <c r="B516" s="1" t="s">
        <v>937</v>
      </c>
    </row>
    <row r="517" spans="1:2" x14ac:dyDescent="0.25">
      <c r="A517" s="1" t="s">
        <v>938</v>
      </c>
      <c r="B517" s="1" t="s">
        <v>939</v>
      </c>
    </row>
    <row r="518" spans="1:2" x14ac:dyDescent="0.25">
      <c r="A518" s="1" t="s">
        <v>940</v>
      </c>
      <c r="B518" s="1" t="s">
        <v>941</v>
      </c>
    </row>
    <row r="519" spans="1:2" x14ac:dyDescent="0.25">
      <c r="A519" s="1" t="s">
        <v>942</v>
      </c>
      <c r="B519" s="1" t="s">
        <v>943</v>
      </c>
    </row>
    <row r="520" spans="1:2" x14ac:dyDescent="0.25">
      <c r="A520" s="1" t="s">
        <v>944</v>
      </c>
      <c r="B520" s="1" t="s">
        <v>945</v>
      </c>
    </row>
    <row r="521" spans="1:2" x14ac:dyDescent="0.25">
      <c r="A521" s="1" t="s">
        <v>946</v>
      </c>
      <c r="B521" s="1" t="s">
        <v>947</v>
      </c>
    </row>
    <row r="522" spans="1:2" x14ac:dyDescent="0.25">
      <c r="A522" s="1" t="s">
        <v>948</v>
      </c>
      <c r="B522" s="1" t="s">
        <v>949</v>
      </c>
    </row>
    <row r="523" spans="1:2" x14ac:dyDescent="0.25">
      <c r="A523" s="1" t="s">
        <v>950</v>
      </c>
      <c r="B523" s="1" t="s">
        <v>951</v>
      </c>
    </row>
    <row r="524" spans="1:2" x14ac:dyDescent="0.25">
      <c r="A524" s="1" t="s">
        <v>362</v>
      </c>
      <c r="B524" s="1" t="s">
        <v>952</v>
      </c>
    </row>
    <row r="525" spans="1:2" x14ac:dyDescent="0.25">
      <c r="A525" s="1" t="s">
        <v>953</v>
      </c>
      <c r="B525" s="1" t="s">
        <v>954</v>
      </c>
    </row>
    <row r="526" spans="1:2" x14ac:dyDescent="0.25">
      <c r="A526" s="1" t="s">
        <v>955</v>
      </c>
      <c r="B526" s="1" t="s">
        <v>956</v>
      </c>
    </row>
    <row r="527" spans="1:2" x14ac:dyDescent="0.25">
      <c r="A527" s="1" t="s">
        <v>14</v>
      </c>
      <c r="B527" s="1" t="s">
        <v>957</v>
      </c>
    </row>
    <row r="528" spans="1:2" x14ac:dyDescent="0.25">
      <c r="A528" s="1" t="s">
        <v>909</v>
      </c>
      <c r="B528" s="1" t="s">
        <v>958</v>
      </c>
    </row>
    <row r="529" spans="1:2" x14ac:dyDescent="0.25">
      <c r="A529" s="1" t="s">
        <v>959</v>
      </c>
      <c r="B529" s="1" t="s">
        <v>960</v>
      </c>
    </row>
    <row r="530" spans="1:2" x14ac:dyDescent="0.25">
      <c r="A530" s="1" t="s">
        <v>961</v>
      </c>
      <c r="B530" s="1" t="s">
        <v>962</v>
      </c>
    </row>
    <row r="531" spans="1:2" x14ac:dyDescent="0.25">
      <c r="A531" s="1" t="s">
        <v>963</v>
      </c>
      <c r="B531" s="1" t="s">
        <v>964</v>
      </c>
    </row>
    <row r="532" spans="1:2" x14ac:dyDescent="0.25">
      <c r="A532" s="1" t="s">
        <v>965</v>
      </c>
      <c r="B532" s="1" t="s">
        <v>966</v>
      </c>
    </row>
    <row r="533" spans="1:2" x14ac:dyDescent="0.25">
      <c r="A533" s="1" t="s">
        <v>909</v>
      </c>
      <c r="B533" s="1" t="s">
        <v>967</v>
      </c>
    </row>
    <row r="534" spans="1:2" x14ac:dyDescent="0.25">
      <c r="A534" s="1" t="s">
        <v>968</v>
      </c>
      <c r="B534" s="1" t="s">
        <v>969</v>
      </c>
    </row>
    <row r="535" spans="1:2" x14ac:dyDescent="0.25">
      <c r="A535" s="1" t="s">
        <v>970</v>
      </c>
      <c r="B535" s="1" t="s">
        <v>971</v>
      </c>
    </row>
    <row r="536" spans="1:2" x14ac:dyDescent="0.25">
      <c r="A536" s="1" t="s">
        <v>972</v>
      </c>
      <c r="B536" s="1" t="s">
        <v>973</v>
      </c>
    </row>
    <row r="537" spans="1:2" x14ac:dyDescent="0.25">
      <c r="A537" s="1" t="s">
        <v>974</v>
      </c>
      <c r="B537" s="1" t="s">
        <v>975</v>
      </c>
    </row>
    <row r="538" spans="1:2" x14ac:dyDescent="0.25">
      <c r="A538" s="1" t="s">
        <v>976</v>
      </c>
      <c r="B538" s="1" t="s">
        <v>977</v>
      </c>
    </row>
    <row r="539" spans="1:2" x14ac:dyDescent="0.25">
      <c r="A539" s="1" t="s">
        <v>978</v>
      </c>
      <c r="B539" s="1" t="s">
        <v>979</v>
      </c>
    </row>
    <row r="540" spans="1:2" x14ac:dyDescent="0.25">
      <c r="A540" s="1" t="s">
        <v>980</v>
      </c>
      <c r="B540" s="1" t="s">
        <v>981</v>
      </c>
    </row>
    <row r="541" spans="1:2" x14ac:dyDescent="0.25">
      <c r="A541" s="1" t="s">
        <v>982</v>
      </c>
      <c r="B541" s="1" t="s">
        <v>983</v>
      </c>
    </row>
    <row r="542" spans="1:2" x14ac:dyDescent="0.25">
      <c r="A542" s="1" t="s">
        <v>984</v>
      </c>
      <c r="B542" s="1" t="s">
        <v>985</v>
      </c>
    </row>
    <row r="543" spans="1:2" x14ac:dyDescent="0.25">
      <c r="A543" s="1" t="s">
        <v>986</v>
      </c>
      <c r="B543" s="1" t="s">
        <v>987</v>
      </c>
    </row>
    <row r="544" spans="1:2" x14ac:dyDescent="0.25">
      <c r="A544" s="1" t="s">
        <v>988</v>
      </c>
      <c r="B544" s="1" t="s">
        <v>989</v>
      </c>
    </row>
    <row r="545" spans="1:2" x14ac:dyDescent="0.25">
      <c r="A545" s="1" t="s">
        <v>76</v>
      </c>
      <c r="B545" s="1" t="s">
        <v>990</v>
      </c>
    </row>
    <row r="546" spans="1:2" x14ac:dyDescent="0.25">
      <c r="A546" s="1" t="s">
        <v>991</v>
      </c>
      <c r="B546" s="1" t="s">
        <v>992</v>
      </c>
    </row>
    <row r="547" spans="1:2" x14ac:dyDescent="0.25">
      <c r="A547" s="1" t="s">
        <v>993</v>
      </c>
      <c r="B547" s="1" t="s">
        <v>994</v>
      </c>
    </row>
    <row r="548" spans="1:2" x14ac:dyDescent="0.25">
      <c r="A548" s="1" t="s">
        <v>995</v>
      </c>
      <c r="B548" s="1" t="s">
        <v>996</v>
      </c>
    </row>
    <row r="549" spans="1:2" x14ac:dyDescent="0.25">
      <c r="A549" s="1" t="s">
        <v>997</v>
      </c>
      <c r="B549" s="1" t="s">
        <v>998</v>
      </c>
    </row>
    <row r="550" spans="1:2" x14ac:dyDescent="0.25">
      <c r="A550" s="1" t="s">
        <v>151</v>
      </c>
      <c r="B550" s="1" t="s">
        <v>999</v>
      </c>
    </row>
    <row r="551" spans="1:2" x14ac:dyDescent="0.25">
      <c r="A551" s="1" t="s">
        <v>163</v>
      </c>
      <c r="B551" s="1" t="s">
        <v>1000</v>
      </c>
    </row>
    <row r="552" spans="1:2" x14ac:dyDescent="0.25">
      <c r="A552" s="1" t="s">
        <v>1001</v>
      </c>
      <c r="B552" s="1" t="s">
        <v>1002</v>
      </c>
    </row>
    <row r="553" spans="1:2" x14ac:dyDescent="0.25">
      <c r="A553" s="1" t="s">
        <v>1003</v>
      </c>
      <c r="B553" s="1" t="s">
        <v>1004</v>
      </c>
    </row>
    <row r="554" spans="1:2" x14ac:dyDescent="0.25">
      <c r="A554" s="1" t="s">
        <v>334</v>
      </c>
      <c r="B554" s="1" t="s">
        <v>1005</v>
      </c>
    </row>
    <row r="555" spans="1:2" x14ac:dyDescent="0.25">
      <c r="A555" s="1" t="s">
        <v>274</v>
      </c>
      <c r="B555" s="1" t="s">
        <v>1006</v>
      </c>
    </row>
    <row r="556" spans="1:2" x14ac:dyDescent="0.25">
      <c r="A556" s="1" t="s">
        <v>1007</v>
      </c>
      <c r="B556" s="1" t="s">
        <v>1008</v>
      </c>
    </row>
    <row r="557" spans="1:2" x14ac:dyDescent="0.25">
      <c r="A557" s="1" t="s">
        <v>1009</v>
      </c>
      <c r="B557" s="1" t="s">
        <v>1010</v>
      </c>
    </row>
    <row r="558" spans="1:2" x14ac:dyDescent="0.25">
      <c r="A558" s="1" t="s">
        <v>1011</v>
      </c>
      <c r="B558" s="1" t="s">
        <v>1012</v>
      </c>
    </row>
    <row r="559" spans="1:2" x14ac:dyDescent="0.25">
      <c r="A559" s="1" t="s">
        <v>1013</v>
      </c>
      <c r="B559" s="1" t="s">
        <v>1014</v>
      </c>
    </row>
    <row r="560" spans="1:2" x14ac:dyDescent="0.25">
      <c r="A560" s="1" t="s">
        <v>122</v>
      </c>
      <c r="B560" s="1" t="s">
        <v>1015</v>
      </c>
    </row>
    <row r="561" spans="1:2" x14ac:dyDescent="0.25">
      <c r="A561" s="1" t="s">
        <v>1016</v>
      </c>
      <c r="B561" s="1" t="s">
        <v>1017</v>
      </c>
    </row>
    <row r="562" spans="1:2" x14ac:dyDescent="0.25">
      <c r="A562" s="1" t="s">
        <v>1018</v>
      </c>
      <c r="B562" s="1" t="s">
        <v>1019</v>
      </c>
    </row>
    <row r="563" spans="1:2" x14ac:dyDescent="0.25">
      <c r="A563" s="1" t="s">
        <v>1020</v>
      </c>
      <c r="B563" s="1" t="s">
        <v>1021</v>
      </c>
    </row>
    <row r="564" spans="1:2" x14ac:dyDescent="0.25">
      <c r="A564" s="1" t="s">
        <v>1022</v>
      </c>
      <c r="B564" s="1" t="s">
        <v>1023</v>
      </c>
    </row>
    <row r="565" spans="1:2" x14ac:dyDescent="0.25">
      <c r="A565" s="1" t="s">
        <v>1024</v>
      </c>
      <c r="B565" s="1" t="s">
        <v>1025</v>
      </c>
    </row>
    <row r="566" spans="1:2" x14ac:dyDescent="0.25">
      <c r="A566" s="1" t="s">
        <v>1026</v>
      </c>
      <c r="B566" s="1" t="s">
        <v>1027</v>
      </c>
    </row>
    <row r="567" spans="1:2" x14ac:dyDescent="0.25">
      <c r="A567" s="1" t="s">
        <v>1028</v>
      </c>
      <c r="B567" s="1" t="s">
        <v>1029</v>
      </c>
    </row>
    <row r="568" spans="1:2" x14ac:dyDescent="0.25">
      <c r="A568" s="1" t="s">
        <v>1030</v>
      </c>
      <c r="B568" s="1" t="s">
        <v>1031</v>
      </c>
    </row>
    <row r="569" spans="1:2" x14ac:dyDescent="0.25">
      <c r="A569" s="1" t="s">
        <v>1032</v>
      </c>
      <c r="B569" s="1" t="s">
        <v>1033</v>
      </c>
    </row>
    <row r="570" spans="1:2" x14ac:dyDescent="0.25">
      <c r="A570" s="1" t="s">
        <v>1034</v>
      </c>
      <c r="B570" s="1" t="s">
        <v>1035</v>
      </c>
    </row>
    <row r="571" spans="1:2" x14ac:dyDescent="0.25">
      <c r="A571" s="1" t="s">
        <v>1036</v>
      </c>
      <c r="B571" s="1" t="s">
        <v>1037</v>
      </c>
    </row>
    <row r="572" spans="1:2" x14ac:dyDescent="0.25">
      <c r="A572" s="1" t="s">
        <v>1038</v>
      </c>
      <c r="B572" s="1" t="s">
        <v>1039</v>
      </c>
    </row>
    <row r="573" spans="1:2" x14ac:dyDescent="0.25">
      <c r="A573" s="1" t="s">
        <v>1040</v>
      </c>
      <c r="B573" s="1" t="s">
        <v>1041</v>
      </c>
    </row>
    <row r="574" spans="1:2" x14ac:dyDescent="0.25">
      <c r="A574" s="1" t="s">
        <v>1042</v>
      </c>
      <c r="B574" s="1" t="s">
        <v>1043</v>
      </c>
    </row>
    <row r="575" spans="1:2" x14ac:dyDescent="0.25">
      <c r="A575" s="1" t="s">
        <v>1044</v>
      </c>
      <c r="B575" s="1" t="s">
        <v>1045</v>
      </c>
    </row>
    <row r="576" spans="1:2" x14ac:dyDescent="0.25">
      <c r="A576" s="1" t="s">
        <v>1046</v>
      </c>
      <c r="B576" s="1" t="s">
        <v>1047</v>
      </c>
    </row>
    <row r="577" spans="1:2" x14ac:dyDescent="0.25">
      <c r="A577" s="1" t="s">
        <v>1048</v>
      </c>
      <c r="B577" s="1" t="s">
        <v>1049</v>
      </c>
    </row>
    <row r="578" spans="1:2" x14ac:dyDescent="0.25">
      <c r="A578" s="1" t="s">
        <v>1050</v>
      </c>
      <c r="B578" s="1" t="s">
        <v>1051</v>
      </c>
    </row>
    <row r="579" spans="1:2" x14ac:dyDescent="0.25">
      <c r="A579" s="1" t="s">
        <v>1052</v>
      </c>
      <c r="B579" s="1" t="s">
        <v>1053</v>
      </c>
    </row>
    <row r="580" spans="1:2" x14ac:dyDescent="0.25">
      <c r="A580" s="1" t="s">
        <v>1054</v>
      </c>
      <c r="B580" s="1" t="s">
        <v>1055</v>
      </c>
    </row>
    <row r="581" spans="1:2" x14ac:dyDescent="0.25">
      <c r="A581" s="1" t="s">
        <v>1056</v>
      </c>
      <c r="B581" s="1" t="s">
        <v>1057</v>
      </c>
    </row>
    <row r="582" spans="1:2" x14ac:dyDescent="0.25">
      <c r="A582" s="1" t="s">
        <v>1058</v>
      </c>
      <c r="B582" s="1" t="s">
        <v>1059</v>
      </c>
    </row>
    <row r="583" spans="1:2" x14ac:dyDescent="0.25">
      <c r="A583" s="1" t="s">
        <v>1060</v>
      </c>
      <c r="B583" s="1" t="s">
        <v>1061</v>
      </c>
    </row>
    <row r="584" spans="1:2" x14ac:dyDescent="0.25">
      <c r="A584" s="1" t="s">
        <v>1062</v>
      </c>
      <c r="B584" s="1" t="s">
        <v>1063</v>
      </c>
    </row>
    <row r="585" spans="1:2" x14ac:dyDescent="0.25">
      <c r="A585" s="1" t="s">
        <v>1064</v>
      </c>
      <c r="B585" s="1" t="s">
        <v>1065</v>
      </c>
    </row>
    <row r="586" spans="1:2" x14ac:dyDescent="0.25">
      <c r="A586" s="1" t="s">
        <v>1066</v>
      </c>
      <c r="B586" s="1" t="s">
        <v>1067</v>
      </c>
    </row>
    <row r="587" spans="1:2" x14ac:dyDescent="0.25">
      <c r="A587" s="1" t="s">
        <v>1068</v>
      </c>
      <c r="B587" s="1" t="s">
        <v>1069</v>
      </c>
    </row>
    <row r="588" spans="1:2" x14ac:dyDescent="0.25">
      <c r="A588" s="1" t="s">
        <v>1070</v>
      </c>
      <c r="B588" s="1" t="s">
        <v>1071</v>
      </c>
    </row>
    <row r="589" spans="1:2" x14ac:dyDescent="0.25">
      <c r="A589" s="1" t="s">
        <v>1072</v>
      </c>
      <c r="B589" s="1" t="s">
        <v>1073</v>
      </c>
    </row>
    <row r="590" spans="1:2" x14ac:dyDescent="0.25">
      <c r="A590" s="1" t="s">
        <v>1074</v>
      </c>
      <c r="B590" s="1" t="s">
        <v>1075</v>
      </c>
    </row>
    <row r="591" spans="1:2" x14ac:dyDescent="0.25">
      <c r="A591" s="1" t="s">
        <v>1076</v>
      </c>
      <c r="B591" s="1" t="s">
        <v>1077</v>
      </c>
    </row>
    <row r="592" spans="1:2" x14ac:dyDescent="0.25">
      <c r="A592" s="1" t="s">
        <v>974</v>
      </c>
      <c r="B592" s="1" t="s">
        <v>1078</v>
      </c>
    </row>
    <row r="593" spans="1:2" x14ac:dyDescent="0.25">
      <c r="A593" s="1" t="s">
        <v>1079</v>
      </c>
      <c r="B593" s="1" t="s">
        <v>1080</v>
      </c>
    </row>
    <row r="594" spans="1:2" x14ac:dyDescent="0.25">
      <c r="A594" s="1" t="s">
        <v>1074</v>
      </c>
      <c r="B594" s="1" t="s">
        <v>1081</v>
      </c>
    </row>
    <row r="595" spans="1:2" x14ac:dyDescent="0.25">
      <c r="A595" s="1" t="s">
        <v>1082</v>
      </c>
      <c r="B595" s="1" t="s">
        <v>1083</v>
      </c>
    </row>
    <row r="596" spans="1:2" x14ac:dyDescent="0.25">
      <c r="A596" s="1" t="s">
        <v>1084</v>
      </c>
      <c r="B596" s="1" t="s">
        <v>1085</v>
      </c>
    </row>
    <row r="597" spans="1:2" x14ac:dyDescent="0.25">
      <c r="A597" s="1" t="s">
        <v>1007</v>
      </c>
      <c r="B597" s="1" t="s">
        <v>1086</v>
      </c>
    </row>
    <row r="598" spans="1:2" x14ac:dyDescent="0.25">
      <c r="A598" s="1" t="s">
        <v>163</v>
      </c>
      <c r="B598" s="1" t="s">
        <v>1087</v>
      </c>
    </row>
    <row r="599" spans="1:2" x14ac:dyDescent="0.25">
      <c r="A599" s="1" t="s">
        <v>1088</v>
      </c>
      <c r="B599" s="1" t="s">
        <v>1089</v>
      </c>
    </row>
    <row r="600" spans="1:2" x14ac:dyDescent="0.25">
      <c r="A600" s="1" t="s">
        <v>423</v>
      </c>
      <c r="B600" s="1" t="s">
        <v>1090</v>
      </c>
    </row>
    <row r="601" spans="1:2" x14ac:dyDescent="0.25">
      <c r="A601" s="1" t="s">
        <v>1091</v>
      </c>
      <c r="B601" s="1" t="s">
        <v>1092</v>
      </c>
    </row>
    <row r="602" spans="1:2" x14ac:dyDescent="0.25">
      <c r="A602" s="1" t="s">
        <v>1093</v>
      </c>
      <c r="B602" s="1" t="s">
        <v>1094</v>
      </c>
    </row>
    <row r="603" spans="1:2" x14ac:dyDescent="0.25">
      <c r="A603" s="1" t="s">
        <v>1095</v>
      </c>
      <c r="B603" s="1" t="s">
        <v>1096</v>
      </c>
    </row>
    <row r="604" spans="1:2" x14ac:dyDescent="0.25">
      <c r="A604" s="1" t="s">
        <v>1097</v>
      </c>
      <c r="B604" s="1" t="s">
        <v>1098</v>
      </c>
    </row>
    <row r="605" spans="1:2" x14ac:dyDescent="0.25">
      <c r="A605" s="1" t="s">
        <v>1099</v>
      </c>
      <c r="B605" s="1" t="s">
        <v>1100</v>
      </c>
    </row>
    <row r="606" spans="1:2" x14ac:dyDescent="0.25">
      <c r="A606" s="1" t="s">
        <v>1101</v>
      </c>
      <c r="B606" s="1" t="s">
        <v>1102</v>
      </c>
    </row>
    <row r="607" spans="1:2" x14ac:dyDescent="0.25">
      <c r="A607" s="1" t="s">
        <v>1103</v>
      </c>
      <c r="B607" s="1" t="s">
        <v>1104</v>
      </c>
    </row>
    <row r="608" spans="1:2" x14ac:dyDescent="0.25">
      <c r="A608" s="1" t="s">
        <v>1105</v>
      </c>
      <c r="B608" s="1" t="s">
        <v>1106</v>
      </c>
    </row>
    <row r="609" spans="1:2" x14ac:dyDescent="0.25">
      <c r="A609" s="1" t="s">
        <v>1107</v>
      </c>
      <c r="B609" s="1" t="s">
        <v>1108</v>
      </c>
    </row>
    <row r="610" spans="1:2" x14ac:dyDescent="0.25">
      <c r="A610" s="1" t="s">
        <v>1109</v>
      </c>
      <c r="B610" s="1" t="s">
        <v>1110</v>
      </c>
    </row>
    <row r="611" spans="1:2" x14ac:dyDescent="0.25">
      <c r="A611" s="1" t="s">
        <v>1111</v>
      </c>
      <c r="B611" s="1" t="s">
        <v>1112</v>
      </c>
    </row>
    <row r="612" spans="1:2" x14ac:dyDescent="0.25">
      <c r="A612" s="1" t="s">
        <v>1113</v>
      </c>
      <c r="B612" s="1" t="s">
        <v>1114</v>
      </c>
    </row>
    <row r="613" spans="1:2" x14ac:dyDescent="0.25">
      <c r="A613" s="1" t="s">
        <v>1115</v>
      </c>
      <c r="B613" s="1" t="s">
        <v>1116</v>
      </c>
    </row>
    <row r="614" spans="1:2" x14ac:dyDescent="0.25">
      <c r="A614" s="1" t="s">
        <v>1117</v>
      </c>
      <c r="B614" s="1" t="s">
        <v>1118</v>
      </c>
    </row>
    <row r="615" spans="1:2" x14ac:dyDescent="0.25">
      <c r="A615" s="1" t="s">
        <v>1117</v>
      </c>
      <c r="B615" s="1" t="s">
        <v>1119</v>
      </c>
    </row>
    <row r="616" spans="1:2" x14ac:dyDescent="0.25">
      <c r="A616" s="1" t="s">
        <v>1117</v>
      </c>
      <c r="B616" s="1" t="s">
        <v>1120</v>
      </c>
    </row>
    <row r="617" spans="1:2" x14ac:dyDescent="0.25">
      <c r="A617" s="1" t="s">
        <v>1117</v>
      </c>
      <c r="B617" s="1" t="s">
        <v>1121</v>
      </c>
    </row>
    <row r="618" spans="1:2" x14ac:dyDescent="0.25">
      <c r="A618" s="1" t="s">
        <v>1117</v>
      </c>
      <c r="B618" s="1" t="s">
        <v>1122</v>
      </c>
    </row>
    <row r="619" spans="1:2" x14ac:dyDescent="0.25">
      <c r="A619" s="1" t="s">
        <v>1117</v>
      </c>
      <c r="B619" s="1" t="s">
        <v>1123</v>
      </c>
    </row>
    <row r="620" spans="1:2" x14ac:dyDescent="0.25">
      <c r="A620" s="1" t="s">
        <v>1117</v>
      </c>
      <c r="B620" s="1" t="s">
        <v>1124</v>
      </c>
    </row>
    <row r="621" spans="1:2" x14ac:dyDescent="0.25">
      <c r="A621" s="1" t="s">
        <v>1117</v>
      </c>
      <c r="B621" s="1" t="s">
        <v>1125</v>
      </c>
    </row>
    <row r="622" spans="1:2" x14ac:dyDescent="0.25">
      <c r="A622" s="1" t="s">
        <v>1117</v>
      </c>
      <c r="B622" s="1" t="s">
        <v>1126</v>
      </c>
    </row>
    <row r="623" spans="1:2" x14ac:dyDescent="0.25">
      <c r="A623" s="1" t="s">
        <v>1117</v>
      </c>
      <c r="B623" s="1" t="s">
        <v>1127</v>
      </c>
    </row>
    <row r="624" spans="1:2" x14ac:dyDescent="0.25">
      <c r="A624" s="1" t="s">
        <v>1117</v>
      </c>
      <c r="B624" s="1" t="s">
        <v>1128</v>
      </c>
    </row>
    <row r="625" spans="1:2" x14ac:dyDescent="0.25">
      <c r="A625" s="1" t="s">
        <v>1117</v>
      </c>
      <c r="B625" s="1" t="s">
        <v>1129</v>
      </c>
    </row>
    <row r="626" spans="1:2" x14ac:dyDescent="0.25">
      <c r="A626" s="1" t="s">
        <v>1117</v>
      </c>
      <c r="B626" s="1" t="s">
        <v>1130</v>
      </c>
    </row>
    <row r="627" spans="1:2" x14ac:dyDescent="0.25">
      <c r="A627" s="1" t="s">
        <v>1117</v>
      </c>
      <c r="B627" s="1" t="s">
        <v>1131</v>
      </c>
    </row>
    <row r="628" spans="1:2" x14ac:dyDescent="0.25">
      <c r="A628" s="1" t="s">
        <v>641</v>
      </c>
      <c r="B628" s="1" t="s">
        <v>1132</v>
      </c>
    </row>
    <row r="629" spans="1:2" x14ac:dyDescent="0.25">
      <c r="A629" s="1" t="s">
        <v>88</v>
      </c>
      <c r="B629" s="1" t="s">
        <v>1133</v>
      </c>
    </row>
    <row r="630" spans="1:2" x14ac:dyDescent="0.25">
      <c r="A630" s="1" t="s">
        <v>1134</v>
      </c>
      <c r="B630" s="1" t="s">
        <v>1135</v>
      </c>
    </row>
    <row r="631" spans="1:2" x14ac:dyDescent="0.25">
      <c r="A631" s="1" t="s">
        <v>76</v>
      </c>
      <c r="B631" s="1" t="s">
        <v>1136</v>
      </c>
    </row>
    <row r="632" spans="1:2" x14ac:dyDescent="0.25">
      <c r="A632" s="1" t="s">
        <v>1137</v>
      </c>
      <c r="B632" s="1" t="s">
        <v>1138</v>
      </c>
    </row>
    <row r="633" spans="1:2" x14ac:dyDescent="0.25">
      <c r="A633" s="1" t="s">
        <v>167</v>
      </c>
      <c r="B633" s="1" t="s">
        <v>1139</v>
      </c>
    </row>
    <row r="634" spans="1:2" x14ac:dyDescent="0.25">
      <c r="A634" s="1" t="s">
        <v>1140</v>
      </c>
      <c r="B634" s="1" t="s">
        <v>1141</v>
      </c>
    </row>
    <row r="635" spans="1:2" x14ac:dyDescent="0.25">
      <c r="A635" s="1" t="s">
        <v>423</v>
      </c>
      <c r="B635" s="1" t="s">
        <v>1142</v>
      </c>
    </row>
    <row r="636" spans="1:2" x14ac:dyDescent="0.25">
      <c r="A636" s="1" t="s">
        <v>1143</v>
      </c>
      <c r="B636" s="1" t="s">
        <v>1144</v>
      </c>
    </row>
    <row r="637" spans="1:2" x14ac:dyDescent="0.25">
      <c r="A637" s="1" t="s">
        <v>1145</v>
      </c>
      <c r="B637" s="1" t="s">
        <v>1146</v>
      </c>
    </row>
    <row r="638" spans="1:2" x14ac:dyDescent="0.25">
      <c r="A638" s="1" t="s">
        <v>1147</v>
      </c>
      <c r="B638" s="1" t="s">
        <v>1148</v>
      </c>
    </row>
    <row r="639" spans="1:2" x14ac:dyDescent="0.25">
      <c r="A639" s="1" t="s">
        <v>1149</v>
      </c>
      <c r="B639" s="1" t="s">
        <v>1150</v>
      </c>
    </row>
    <row r="640" spans="1:2" x14ac:dyDescent="0.25">
      <c r="A640" s="1" t="s">
        <v>1151</v>
      </c>
      <c r="B640" s="1" t="s">
        <v>1152</v>
      </c>
    </row>
    <row r="641" spans="1:2" x14ac:dyDescent="0.25">
      <c r="A641" s="1" t="s">
        <v>1153</v>
      </c>
      <c r="B641" s="1" t="s">
        <v>1154</v>
      </c>
    </row>
    <row r="642" spans="1:2" x14ac:dyDescent="0.25">
      <c r="A642" s="1" t="s">
        <v>1155</v>
      </c>
      <c r="B642" s="1" t="s">
        <v>1156</v>
      </c>
    </row>
    <row r="643" spans="1:2" x14ac:dyDescent="0.25">
      <c r="A643" s="1" t="s">
        <v>1157</v>
      </c>
      <c r="B643" s="1" t="s">
        <v>1158</v>
      </c>
    </row>
    <row r="644" spans="1:2" x14ac:dyDescent="0.25">
      <c r="A644" s="1" t="s">
        <v>1159</v>
      </c>
      <c r="B644" s="1" t="s">
        <v>1160</v>
      </c>
    </row>
    <row r="645" spans="1:2" x14ac:dyDescent="0.25">
      <c r="A645" s="1" t="s">
        <v>1161</v>
      </c>
      <c r="B645" s="1" t="s">
        <v>1162</v>
      </c>
    </row>
    <row r="646" spans="1:2" x14ac:dyDescent="0.25">
      <c r="A646" s="1" t="s">
        <v>1163</v>
      </c>
      <c r="B646" s="1" t="s">
        <v>1164</v>
      </c>
    </row>
    <row r="647" spans="1:2" x14ac:dyDescent="0.25">
      <c r="A647" s="1" t="s">
        <v>1165</v>
      </c>
      <c r="B647" s="1" t="s">
        <v>1166</v>
      </c>
    </row>
    <row r="648" spans="1:2" x14ac:dyDescent="0.25">
      <c r="A648" s="1" t="s">
        <v>1167</v>
      </c>
      <c r="B648" s="1" t="s">
        <v>1168</v>
      </c>
    </row>
    <row r="649" spans="1:2" x14ac:dyDescent="0.25">
      <c r="A649" s="1" t="s">
        <v>1169</v>
      </c>
      <c r="B649" s="1" t="s">
        <v>1170</v>
      </c>
    </row>
    <row r="650" spans="1:2" x14ac:dyDescent="0.25">
      <c r="A650" s="1" t="s">
        <v>1171</v>
      </c>
      <c r="B650" s="1" t="s">
        <v>1172</v>
      </c>
    </row>
    <row r="651" spans="1:2" x14ac:dyDescent="0.25">
      <c r="A651" s="1" t="s">
        <v>1173</v>
      </c>
      <c r="B651" s="1" t="s">
        <v>1174</v>
      </c>
    </row>
    <row r="652" spans="1:2" x14ac:dyDescent="0.25">
      <c r="A652" s="1" t="s">
        <v>1175</v>
      </c>
      <c r="B652" s="1" t="s">
        <v>1176</v>
      </c>
    </row>
    <row r="653" spans="1:2" x14ac:dyDescent="0.25">
      <c r="A653" s="1" t="s">
        <v>360</v>
      </c>
      <c r="B653" s="1" t="s">
        <v>1177</v>
      </c>
    </row>
    <row r="654" spans="1:2" x14ac:dyDescent="0.25">
      <c r="A654" s="1" t="s">
        <v>1178</v>
      </c>
      <c r="B654" s="1" t="s">
        <v>1179</v>
      </c>
    </row>
    <row r="655" spans="1:2" x14ac:dyDescent="0.25">
      <c r="A655" s="1" t="s">
        <v>1180</v>
      </c>
      <c r="B655" s="1" t="s">
        <v>1181</v>
      </c>
    </row>
    <row r="656" spans="1:2" x14ac:dyDescent="0.25">
      <c r="A656" s="1" t="s">
        <v>1182</v>
      </c>
      <c r="B656" s="1" t="s">
        <v>1183</v>
      </c>
    </row>
    <row r="657" spans="1:2" x14ac:dyDescent="0.25">
      <c r="A657" s="1" t="s">
        <v>1184</v>
      </c>
      <c r="B657" s="1" t="s">
        <v>1185</v>
      </c>
    </row>
    <row r="658" spans="1:2" x14ac:dyDescent="0.25">
      <c r="A658" s="1" t="s">
        <v>1186</v>
      </c>
      <c r="B658" s="1" t="s">
        <v>1187</v>
      </c>
    </row>
    <row r="659" spans="1:2" x14ac:dyDescent="0.25">
      <c r="A659" s="1" t="s">
        <v>1188</v>
      </c>
      <c r="B659" s="1" t="s">
        <v>1189</v>
      </c>
    </row>
    <row r="660" spans="1:2" x14ac:dyDescent="0.25">
      <c r="A660" s="1" t="s">
        <v>679</v>
      </c>
      <c r="B660" s="1" t="s">
        <v>1190</v>
      </c>
    </row>
    <row r="661" spans="1:2" x14ac:dyDescent="0.25">
      <c r="A661" s="1" t="s">
        <v>1191</v>
      </c>
      <c r="B661" s="1" t="s">
        <v>1192</v>
      </c>
    </row>
    <row r="662" spans="1:2" x14ac:dyDescent="0.25">
      <c r="A662" s="1" t="s">
        <v>1193</v>
      </c>
      <c r="B662" s="1" t="s">
        <v>1194</v>
      </c>
    </row>
    <row r="663" spans="1:2" x14ac:dyDescent="0.25">
      <c r="A663" s="1" t="s">
        <v>1195</v>
      </c>
      <c r="B663" s="1" t="s">
        <v>1196</v>
      </c>
    </row>
    <row r="664" spans="1:2" x14ac:dyDescent="0.25">
      <c r="A664" s="1" t="s">
        <v>1197</v>
      </c>
      <c r="B664" s="1" t="s">
        <v>1198</v>
      </c>
    </row>
    <row r="665" spans="1:2" x14ac:dyDescent="0.25">
      <c r="A665" s="1" t="s">
        <v>1199</v>
      </c>
      <c r="B665" s="1" t="s">
        <v>1200</v>
      </c>
    </row>
    <row r="666" spans="1:2" x14ac:dyDescent="0.25">
      <c r="A666" s="1" t="s">
        <v>1201</v>
      </c>
      <c r="B666" s="1" t="s">
        <v>1202</v>
      </c>
    </row>
    <row r="667" spans="1:2" x14ac:dyDescent="0.25">
      <c r="A667" s="1" t="s">
        <v>163</v>
      </c>
      <c r="B667" s="1" t="s">
        <v>1203</v>
      </c>
    </row>
    <row r="668" spans="1:2" x14ac:dyDescent="0.25">
      <c r="A668" s="1" t="s">
        <v>1204</v>
      </c>
      <c r="B668" s="1" t="s">
        <v>1205</v>
      </c>
    </row>
    <row r="669" spans="1:2" x14ac:dyDescent="0.25">
      <c r="A669" s="1" t="s">
        <v>1206</v>
      </c>
      <c r="B669" s="1" t="s">
        <v>1207</v>
      </c>
    </row>
    <row r="670" spans="1:2" x14ac:dyDescent="0.25">
      <c r="A670" s="1" t="s">
        <v>1208</v>
      </c>
      <c r="B670" s="1" t="s">
        <v>1209</v>
      </c>
    </row>
    <row r="671" spans="1:2" x14ac:dyDescent="0.25">
      <c r="A671" s="1" t="s">
        <v>1210</v>
      </c>
      <c r="B671" s="1" t="s">
        <v>1211</v>
      </c>
    </row>
    <row r="672" spans="1:2" x14ac:dyDescent="0.25">
      <c r="A672" s="1" t="s">
        <v>1212</v>
      </c>
      <c r="B672" s="1" t="s">
        <v>1213</v>
      </c>
    </row>
    <row r="673" spans="1:2" x14ac:dyDescent="0.25">
      <c r="A673" s="1" t="s">
        <v>1214</v>
      </c>
      <c r="B673" s="1" t="s">
        <v>1215</v>
      </c>
    </row>
    <row r="674" spans="1:2" x14ac:dyDescent="0.25">
      <c r="A674" s="1" t="s">
        <v>1216</v>
      </c>
      <c r="B674" s="1" t="s">
        <v>1217</v>
      </c>
    </row>
    <row r="675" spans="1:2" x14ac:dyDescent="0.25">
      <c r="A675" s="1" t="s">
        <v>1218</v>
      </c>
      <c r="B675" s="1" t="s">
        <v>1219</v>
      </c>
    </row>
    <row r="676" spans="1:2" x14ac:dyDescent="0.25">
      <c r="A676" s="1" t="s">
        <v>1220</v>
      </c>
      <c r="B676" s="1" t="s">
        <v>1221</v>
      </c>
    </row>
    <row r="677" spans="1:2" x14ac:dyDescent="0.25">
      <c r="A677" s="1" t="s">
        <v>1222</v>
      </c>
      <c r="B677" s="1" t="s">
        <v>1223</v>
      </c>
    </row>
    <row r="678" spans="1:2" x14ac:dyDescent="0.25">
      <c r="A678" s="1" t="s">
        <v>1224</v>
      </c>
      <c r="B678" s="1" t="s">
        <v>1225</v>
      </c>
    </row>
    <row r="679" spans="1:2" x14ac:dyDescent="0.25">
      <c r="A679" s="1" t="s">
        <v>1226</v>
      </c>
      <c r="B679" s="1" t="s">
        <v>1227</v>
      </c>
    </row>
    <row r="680" spans="1:2" x14ac:dyDescent="0.25">
      <c r="A680" s="1" t="s">
        <v>1228</v>
      </c>
      <c r="B680" s="1" t="s">
        <v>1229</v>
      </c>
    </row>
    <row r="681" spans="1:2" x14ac:dyDescent="0.25">
      <c r="A681" s="1" t="s">
        <v>1230</v>
      </c>
      <c r="B681" s="1" t="s">
        <v>1231</v>
      </c>
    </row>
    <row r="682" spans="1:2" x14ac:dyDescent="0.25">
      <c r="A682" s="1" t="s">
        <v>1232</v>
      </c>
      <c r="B682" s="1" t="s">
        <v>1233</v>
      </c>
    </row>
    <row r="683" spans="1:2" x14ac:dyDescent="0.25">
      <c r="A683" s="1" t="s">
        <v>1234</v>
      </c>
      <c r="B683" s="1" t="s">
        <v>1235</v>
      </c>
    </row>
    <row r="684" spans="1:2" x14ac:dyDescent="0.25">
      <c r="A684" s="1" t="s">
        <v>1236</v>
      </c>
      <c r="B684" s="1" t="s">
        <v>1237</v>
      </c>
    </row>
    <row r="685" spans="1:2" x14ac:dyDescent="0.25">
      <c r="A685" s="1" t="s">
        <v>1238</v>
      </c>
      <c r="B685" s="1" t="s">
        <v>1239</v>
      </c>
    </row>
    <row r="686" spans="1:2" x14ac:dyDescent="0.25">
      <c r="A686" s="1" t="s">
        <v>1240</v>
      </c>
      <c r="B686" s="1" t="s">
        <v>1241</v>
      </c>
    </row>
    <row r="687" spans="1:2" x14ac:dyDescent="0.25">
      <c r="A687" s="1" t="s">
        <v>1242</v>
      </c>
      <c r="B687" s="1" t="s">
        <v>1243</v>
      </c>
    </row>
    <row r="688" spans="1:2" x14ac:dyDescent="0.25">
      <c r="A688" s="1" t="s">
        <v>1244</v>
      </c>
      <c r="B688" s="1" t="s">
        <v>1245</v>
      </c>
    </row>
    <row r="689" spans="1:2" x14ac:dyDescent="0.25">
      <c r="A689" s="1" t="s">
        <v>1246</v>
      </c>
      <c r="B689" s="1" t="s">
        <v>1247</v>
      </c>
    </row>
    <row r="690" spans="1:2" x14ac:dyDescent="0.25">
      <c r="A690" s="1" t="s">
        <v>1248</v>
      </c>
      <c r="B690" s="1" t="s">
        <v>1249</v>
      </c>
    </row>
    <row r="691" spans="1:2" x14ac:dyDescent="0.25">
      <c r="A691" s="1" t="s">
        <v>1250</v>
      </c>
      <c r="B691" s="1" t="s">
        <v>1251</v>
      </c>
    </row>
    <row r="692" spans="1:2" x14ac:dyDescent="0.25">
      <c r="A692" s="1" t="s">
        <v>1252</v>
      </c>
      <c r="B692" s="1" t="s">
        <v>1253</v>
      </c>
    </row>
    <row r="693" spans="1:2" x14ac:dyDescent="0.25">
      <c r="A693" s="1" t="s">
        <v>1254</v>
      </c>
      <c r="B693" s="1" t="s">
        <v>1255</v>
      </c>
    </row>
    <row r="694" spans="1:2" x14ac:dyDescent="0.25">
      <c r="A694" s="1" t="s">
        <v>1256</v>
      </c>
      <c r="B694" s="1" t="s">
        <v>1257</v>
      </c>
    </row>
    <row r="695" spans="1:2" x14ac:dyDescent="0.25">
      <c r="A695" s="1" t="s">
        <v>1258</v>
      </c>
      <c r="B695" s="1" t="s">
        <v>1259</v>
      </c>
    </row>
    <row r="696" spans="1:2" x14ac:dyDescent="0.25">
      <c r="A696" s="1" t="s">
        <v>1260</v>
      </c>
      <c r="B696" s="1" t="s">
        <v>1261</v>
      </c>
    </row>
    <row r="697" spans="1:2" x14ac:dyDescent="0.25">
      <c r="A697" s="1" t="s">
        <v>1262</v>
      </c>
      <c r="B697" s="1" t="s">
        <v>1263</v>
      </c>
    </row>
    <row r="698" spans="1:2" x14ac:dyDescent="0.25">
      <c r="A698" s="1" t="s">
        <v>1264</v>
      </c>
      <c r="B698" s="1" t="s">
        <v>1265</v>
      </c>
    </row>
    <row r="699" spans="1:2" x14ac:dyDescent="0.25">
      <c r="A699" s="1" t="s">
        <v>1266</v>
      </c>
      <c r="B699" s="1" t="s">
        <v>1267</v>
      </c>
    </row>
    <row r="700" spans="1:2" x14ac:dyDescent="0.25">
      <c r="A700" s="1" t="s">
        <v>1268</v>
      </c>
      <c r="B700" s="1" t="s">
        <v>1269</v>
      </c>
    </row>
    <row r="701" spans="1:2" x14ac:dyDescent="0.25">
      <c r="A701" s="1" t="s">
        <v>1270</v>
      </c>
      <c r="B701" s="1" t="s">
        <v>1271</v>
      </c>
    </row>
    <row r="702" spans="1:2" x14ac:dyDescent="0.25">
      <c r="A702" s="1" t="s">
        <v>1272</v>
      </c>
      <c r="B702" s="1" t="s">
        <v>1273</v>
      </c>
    </row>
    <row r="703" spans="1:2" x14ac:dyDescent="0.25">
      <c r="A703" s="1" t="s">
        <v>1274</v>
      </c>
      <c r="B703" s="1" t="s">
        <v>1275</v>
      </c>
    </row>
    <row r="704" spans="1:2" x14ac:dyDescent="0.25">
      <c r="A704" s="1" t="s">
        <v>1276</v>
      </c>
      <c r="B704" s="1" t="s">
        <v>1277</v>
      </c>
    </row>
    <row r="705" spans="1:2" x14ac:dyDescent="0.25">
      <c r="A705" s="1" t="s">
        <v>1278</v>
      </c>
      <c r="B705" s="1" t="s">
        <v>1279</v>
      </c>
    </row>
    <row r="706" spans="1:2" x14ac:dyDescent="0.25">
      <c r="A706" s="1" t="s">
        <v>1280</v>
      </c>
      <c r="B706" s="1" t="s">
        <v>1281</v>
      </c>
    </row>
    <row r="707" spans="1:2" x14ac:dyDescent="0.25">
      <c r="A707" s="1" t="s">
        <v>1282</v>
      </c>
      <c r="B707" s="1" t="s">
        <v>1283</v>
      </c>
    </row>
    <row r="708" spans="1:2" x14ac:dyDescent="0.25">
      <c r="A708" s="1" t="s">
        <v>1284</v>
      </c>
      <c r="B708" s="1" t="s">
        <v>1285</v>
      </c>
    </row>
    <row r="709" spans="1:2" x14ac:dyDescent="0.25">
      <c r="A709" s="1" t="s">
        <v>1286</v>
      </c>
      <c r="B709" s="1" t="s">
        <v>1287</v>
      </c>
    </row>
    <row r="710" spans="1:2" x14ac:dyDescent="0.25">
      <c r="A710" s="1" t="s">
        <v>1288</v>
      </c>
      <c r="B710" s="1" t="s">
        <v>1289</v>
      </c>
    </row>
    <row r="711" spans="1:2" x14ac:dyDescent="0.25">
      <c r="A711" s="1" t="s">
        <v>1290</v>
      </c>
      <c r="B711" s="1" t="s">
        <v>1291</v>
      </c>
    </row>
    <row r="712" spans="1:2" x14ac:dyDescent="0.25">
      <c r="A712" s="1" t="s">
        <v>1292</v>
      </c>
      <c r="B712" s="1" t="s">
        <v>1293</v>
      </c>
    </row>
    <row r="713" spans="1:2" x14ac:dyDescent="0.25">
      <c r="A713" s="1" t="s">
        <v>1294</v>
      </c>
      <c r="B713" s="1" t="s">
        <v>1295</v>
      </c>
    </row>
    <row r="714" spans="1:2" x14ac:dyDescent="0.25">
      <c r="A714" s="1" t="s">
        <v>1296</v>
      </c>
      <c r="B714" s="1" t="s">
        <v>1297</v>
      </c>
    </row>
    <row r="715" spans="1:2" x14ac:dyDescent="0.25">
      <c r="A715" s="1" t="s">
        <v>1298</v>
      </c>
      <c r="B715" s="1" t="s">
        <v>1299</v>
      </c>
    </row>
    <row r="716" spans="1:2" x14ac:dyDescent="0.25">
      <c r="A716" s="1" t="s">
        <v>1300</v>
      </c>
      <c r="B716" s="1" t="s">
        <v>1301</v>
      </c>
    </row>
    <row r="717" spans="1:2" x14ac:dyDescent="0.25">
      <c r="A717" s="1" t="s">
        <v>1302</v>
      </c>
      <c r="B717" s="1" t="s">
        <v>1303</v>
      </c>
    </row>
    <row r="718" spans="1:2" x14ac:dyDescent="0.25">
      <c r="A718" s="1" t="s">
        <v>1304</v>
      </c>
      <c r="B718" s="1" t="s">
        <v>1305</v>
      </c>
    </row>
    <row r="719" spans="1:2" x14ac:dyDescent="0.25">
      <c r="A719" s="1" t="s">
        <v>1306</v>
      </c>
      <c r="B719" s="1" t="s">
        <v>1307</v>
      </c>
    </row>
    <row r="720" spans="1:2" x14ac:dyDescent="0.25">
      <c r="A720" s="1" t="s">
        <v>1308</v>
      </c>
      <c r="B720" s="1" t="s">
        <v>1309</v>
      </c>
    </row>
    <row r="721" spans="1:2" x14ac:dyDescent="0.25">
      <c r="A721" s="1" t="s">
        <v>1310</v>
      </c>
      <c r="B721" s="1" t="s">
        <v>1311</v>
      </c>
    </row>
    <row r="722" spans="1:2" x14ac:dyDescent="0.25">
      <c r="A722" s="1" t="s">
        <v>1312</v>
      </c>
      <c r="B722" s="1" t="s">
        <v>1313</v>
      </c>
    </row>
    <row r="723" spans="1:2" x14ac:dyDescent="0.25">
      <c r="A723" s="1" t="s">
        <v>1314</v>
      </c>
      <c r="B723" s="1" t="s">
        <v>1315</v>
      </c>
    </row>
    <row r="724" spans="1:2" x14ac:dyDescent="0.25">
      <c r="A724" s="1" t="s">
        <v>1316</v>
      </c>
      <c r="B724" s="1" t="s">
        <v>1317</v>
      </c>
    </row>
    <row r="725" spans="1:2" x14ac:dyDescent="0.25">
      <c r="A725" s="1" t="s">
        <v>1318</v>
      </c>
      <c r="B725" s="1" t="s">
        <v>1319</v>
      </c>
    </row>
    <row r="726" spans="1:2" x14ac:dyDescent="0.25">
      <c r="A726" s="1" t="s">
        <v>1320</v>
      </c>
      <c r="B726" s="1" t="s">
        <v>1321</v>
      </c>
    </row>
    <row r="727" spans="1:2" x14ac:dyDescent="0.25">
      <c r="A727" s="1" t="s">
        <v>1322</v>
      </c>
      <c r="B727" s="1" t="s">
        <v>1323</v>
      </c>
    </row>
    <row r="728" spans="1:2" x14ac:dyDescent="0.25">
      <c r="A728" s="1" t="s">
        <v>1324</v>
      </c>
      <c r="B728" s="1" t="s">
        <v>1325</v>
      </c>
    </row>
    <row r="729" spans="1:2" x14ac:dyDescent="0.25">
      <c r="A729" s="1" t="s">
        <v>1326</v>
      </c>
      <c r="B729" s="1" t="s">
        <v>1327</v>
      </c>
    </row>
    <row r="730" spans="1:2" x14ac:dyDescent="0.25">
      <c r="A730" s="1" t="s">
        <v>1328</v>
      </c>
      <c r="B730" s="1" t="s">
        <v>1329</v>
      </c>
    </row>
    <row r="731" spans="1:2" x14ac:dyDescent="0.25">
      <c r="A731" s="1" t="s">
        <v>1330</v>
      </c>
      <c r="B731" s="1" t="s">
        <v>1331</v>
      </c>
    </row>
    <row r="732" spans="1:2" x14ac:dyDescent="0.25">
      <c r="A732" s="1" t="s">
        <v>1332</v>
      </c>
      <c r="B732" s="1" t="s">
        <v>1333</v>
      </c>
    </row>
    <row r="733" spans="1:2" x14ac:dyDescent="0.25">
      <c r="A733" s="1" t="s">
        <v>1334</v>
      </c>
      <c r="B733" s="1" t="s">
        <v>1335</v>
      </c>
    </row>
    <row r="734" spans="1:2" x14ac:dyDescent="0.25">
      <c r="A734" s="1" t="s">
        <v>1336</v>
      </c>
      <c r="B734" s="1" t="s">
        <v>1337</v>
      </c>
    </row>
    <row r="735" spans="1:2" x14ac:dyDescent="0.25">
      <c r="A735" s="1" t="s">
        <v>1338</v>
      </c>
      <c r="B735" s="1" t="s">
        <v>1339</v>
      </c>
    </row>
    <row r="736" spans="1:2" x14ac:dyDescent="0.25">
      <c r="A736" s="1" t="s">
        <v>1340</v>
      </c>
      <c r="B736" s="1" t="s">
        <v>1341</v>
      </c>
    </row>
    <row r="737" spans="1:2" x14ac:dyDescent="0.25">
      <c r="A737" s="1" t="s">
        <v>1342</v>
      </c>
      <c r="B737" s="1" t="s">
        <v>1343</v>
      </c>
    </row>
    <row r="738" spans="1:2" x14ac:dyDescent="0.25">
      <c r="A738" s="1" t="s">
        <v>1344</v>
      </c>
      <c r="B738" s="1" t="s">
        <v>1345</v>
      </c>
    </row>
    <row r="739" spans="1:2" x14ac:dyDescent="0.25">
      <c r="A739" s="1" t="s">
        <v>1346</v>
      </c>
      <c r="B739" s="1" t="s">
        <v>1347</v>
      </c>
    </row>
    <row r="740" spans="1:2" x14ac:dyDescent="0.25">
      <c r="A740" s="1" t="s">
        <v>1348</v>
      </c>
      <c r="B740" s="1" t="s">
        <v>1349</v>
      </c>
    </row>
    <row r="741" spans="1:2" x14ac:dyDescent="0.25">
      <c r="A741" s="1" t="s">
        <v>1350</v>
      </c>
      <c r="B741" s="1" t="s">
        <v>1351</v>
      </c>
    </row>
    <row r="742" spans="1:2" x14ac:dyDescent="0.25">
      <c r="A742" s="1" t="s">
        <v>1352</v>
      </c>
      <c r="B742" s="1" t="s">
        <v>1353</v>
      </c>
    </row>
    <row r="743" spans="1:2" x14ac:dyDescent="0.25">
      <c r="A743" s="1" t="s">
        <v>1354</v>
      </c>
      <c r="B743" s="1" t="s">
        <v>1355</v>
      </c>
    </row>
    <row r="744" spans="1:2" x14ac:dyDescent="0.25">
      <c r="A744" s="1" t="s">
        <v>1356</v>
      </c>
      <c r="B744" s="1" t="s">
        <v>1357</v>
      </c>
    </row>
    <row r="745" spans="1:2" x14ac:dyDescent="0.25">
      <c r="A745" s="1" t="s">
        <v>1358</v>
      </c>
      <c r="B745" s="1" t="s">
        <v>1359</v>
      </c>
    </row>
    <row r="746" spans="1:2" x14ac:dyDescent="0.25">
      <c r="A746" s="1" t="s">
        <v>1360</v>
      </c>
      <c r="B746" s="1" t="s">
        <v>1361</v>
      </c>
    </row>
    <row r="747" spans="1:2" x14ac:dyDescent="0.25">
      <c r="A747" s="1" t="s">
        <v>1362</v>
      </c>
      <c r="B747" s="1" t="s">
        <v>1363</v>
      </c>
    </row>
    <row r="748" spans="1:2" x14ac:dyDescent="0.25">
      <c r="A748" s="1" t="s">
        <v>1364</v>
      </c>
      <c r="B748" s="1" t="s">
        <v>1365</v>
      </c>
    </row>
    <row r="749" spans="1:2" x14ac:dyDescent="0.25">
      <c r="A749" s="1" t="s">
        <v>1366</v>
      </c>
      <c r="B749" s="1" t="s">
        <v>1367</v>
      </c>
    </row>
    <row r="750" spans="1:2" x14ac:dyDescent="0.25">
      <c r="A750" s="1" t="s">
        <v>1368</v>
      </c>
      <c r="B750" s="1" t="s">
        <v>1369</v>
      </c>
    </row>
    <row r="751" spans="1:2" x14ac:dyDescent="0.25">
      <c r="A751" s="1" t="s">
        <v>1370</v>
      </c>
      <c r="B751" s="1" t="s">
        <v>1371</v>
      </c>
    </row>
    <row r="752" spans="1:2" x14ac:dyDescent="0.25">
      <c r="A752" s="1" t="s">
        <v>1372</v>
      </c>
      <c r="B752" s="1" t="s">
        <v>1373</v>
      </c>
    </row>
    <row r="753" spans="1:2" x14ac:dyDescent="0.25">
      <c r="A753" s="1" t="s">
        <v>1374</v>
      </c>
      <c r="B753" s="1" t="s">
        <v>1375</v>
      </c>
    </row>
    <row r="754" spans="1:2" x14ac:dyDescent="0.25">
      <c r="A754" s="1" t="s">
        <v>1376</v>
      </c>
      <c r="B754" s="1" t="s">
        <v>1377</v>
      </c>
    </row>
    <row r="755" spans="1:2" x14ac:dyDescent="0.25">
      <c r="A755" s="1" t="s">
        <v>1378</v>
      </c>
      <c r="B755" s="1" t="s">
        <v>1379</v>
      </c>
    </row>
    <row r="756" spans="1:2" x14ac:dyDescent="0.25">
      <c r="A756" s="1" t="s">
        <v>1380</v>
      </c>
      <c r="B756" s="1" t="s">
        <v>1381</v>
      </c>
    </row>
    <row r="757" spans="1:2" x14ac:dyDescent="0.25">
      <c r="A757" s="1" t="s">
        <v>1382</v>
      </c>
      <c r="B757" s="1" t="s">
        <v>1383</v>
      </c>
    </row>
    <row r="758" spans="1:2" x14ac:dyDescent="0.25">
      <c r="A758" s="1" t="s">
        <v>1384</v>
      </c>
      <c r="B758" s="1" t="s">
        <v>1385</v>
      </c>
    </row>
    <row r="759" spans="1:2" x14ac:dyDescent="0.25">
      <c r="A759" s="1" t="s">
        <v>1386</v>
      </c>
      <c r="B759" s="1" t="s">
        <v>1387</v>
      </c>
    </row>
    <row r="760" spans="1:2" x14ac:dyDescent="0.25">
      <c r="A760" s="1" t="s">
        <v>1388</v>
      </c>
      <c r="B760" s="1" t="s">
        <v>1389</v>
      </c>
    </row>
    <row r="761" spans="1:2" x14ac:dyDescent="0.25">
      <c r="A761" s="1" t="s">
        <v>1390</v>
      </c>
      <c r="B761" s="1" t="s">
        <v>1391</v>
      </c>
    </row>
    <row r="762" spans="1:2" x14ac:dyDescent="0.25">
      <c r="A762" s="1" t="s">
        <v>1392</v>
      </c>
      <c r="B762" s="1" t="s">
        <v>1393</v>
      </c>
    </row>
    <row r="763" spans="1:2" x14ac:dyDescent="0.25">
      <c r="A763" s="1" t="s">
        <v>1394</v>
      </c>
      <c r="B763" s="1" t="s">
        <v>1395</v>
      </c>
    </row>
    <row r="764" spans="1:2" x14ac:dyDescent="0.25">
      <c r="A764" s="1" t="s">
        <v>1396</v>
      </c>
      <c r="B764" s="1" t="s">
        <v>1397</v>
      </c>
    </row>
    <row r="765" spans="1:2" x14ac:dyDescent="0.25">
      <c r="A765" s="1" t="s">
        <v>1398</v>
      </c>
      <c r="B765" s="1" t="s">
        <v>1399</v>
      </c>
    </row>
    <row r="766" spans="1:2" x14ac:dyDescent="0.25">
      <c r="A766" s="1" t="s">
        <v>1400</v>
      </c>
      <c r="B766" s="1" t="s">
        <v>1401</v>
      </c>
    </row>
    <row r="767" spans="1:2" x14ac:dyDescent="0.25">
      <c r="A767" s="1" t="s">
        <v>1402</v>
      </c>
      <c r="B767" s="1" t="s">
        <v>1403</v>
      </c>
    </row>
    <row r="768" spans="1:2" x14ac:dyDescent="0.25">
      <c r="A768" s="1" t="s">
        <v>1404</v>
      </c>
      <c r="B768" s="1" t="s">
        <v>1405</v>
      </c>
    </row>
    <row r="769" spans="1:2" x14ac:dyDescent="0.25">
      <c r="A769" s="1" t="s">
        <v>1406</v>
      </c>
      <c r="B769" s="1" t="s">
        <v>1407</v>
      </c>
    </row>
    <row r="770" spans="1:2" x14ac:dyDescent="0.25">
      <c r="A770" s="1" t="s">
        <v>1408</v>
      </c>
      <c r="B770" s="1" t="s">
        <v>1409</v>
      </c>
    </row>
    <row r="771" spans="1:2" x14ac:dyDescent="0.25">
      <c r="A771" s="1" t="s">
        <v>1410</v>
      </c>
      <c r="B771" s="1" t="s">
        <v>1411</v>
      </c>
    </row>
    <row r="772" spans="1:2" x14ac:dyDescent="0.25">
      <c r="A772" s="1" t="s">
        <v>1412</v>
      </c>
      <c r="B772" s="1" t="s">
        <v>1413</v>
      </c>
    </row>
    <row r="773" spans="1:2" x14ac:dyDescent="0.25">
      <c r="A773" s="1" t="s">
        <v>1414</v>
      </c>
      <c r="B773" s="1" t="s">
        <v>1415</v>
      </c>
    </row>
    <row r="774" spans="1:2" x14ac:dyDescent="0.25">
      <c r="A774" s="1" t="s">
        <v>1416</v>
      </c>
      <c r="B774" s="1" t="s">
        <v>1417</v>
      </c>
    </row>
    <row r="775" spans="1:2" x14ac:dyDescent="0.25">
      <c r="A775" s="1" t="s">
        <v>1418</v>
      </c>
      <c r="B775" s="1" t="s">
        <v>1419</v>
      </c>
    </row>
    <row r="776" spans="1:2" x14ac:dyDescent="0.25">
      <c r="A776" s="1" t="s">
        <v>1420</v>
      </c>
      <c r="B776" s="1" t="s">
        <v>1421</v>
      </c>
    </row>
    <row r="777" spans="1:2" x14ac:dyDescent="0.25">
      <c r="A777" s="1" t="s">
        <v>1422</v>
      </c>
      <c r="B777" s="1" t="s">
        <v>1423</v>
      </c>
    </row>
    <row r="778" spans="1:2" x14ac:dyDescent="0.25">
      <c r="A778" s="1" t="s">
        <v>1424</v>
      </c>
      <c r="B778" s="1" t="s">
        <v>1425</v>
      </c>
    </row>
    <row r="779" spans="1:2" x14ac:dyDescent="0.25">
      <c r="A779" s="1" t="s">
        <v>1426</v>
      </c>
      <c r="B779" s="1" t="s">
        <v>1427</v>
      </c>
    </row>
    <row r="780" spans="1:2" x14ac:dyDescent="0.25">
      <c r="A780" s="1" t="s">
        <v>1428</v>
      </c>
      <c r="B780" s="1" t="s">
        <v>1429</v>
      </c>
    </row>
    <row r="781" spans="1:2" x14ac:dyDescent="0.25">
      <c r="A781" s="1" t="s">
        <v>1430</v>
      </c>
      <c r="B781" s="1" t="s">
        <v>1431</v>
      </c>
    </row>
    <row r="782" spans="1:2" x14ac:dyDescent="0.25">
      <c r="A782" s="1" t="s">
        <v>1432</v>
      </c>
      <c r="B782" s="1" t="s">
        <v>1433</v>
      </c>
    </row>
    <row r="783" spans="1:2" x14ac:dyDescent="0.25">
      <c r="A783" s="1" t="s">
        <v>1434</v>
      </c>
      <c r="B783" s="1" t="s">
        <v>1435</v>
      </c>
    </row>
    <row r="784" spans="1:2" x14ac:dyDescent="0.25">
      <c r="A784" s="1" t="s">
        <v>1436</v>
      </c>
      <c r="B784" s="1" t="s">
        <v>1437</v>
      </c>
    </row>
    <row r="785" spans="1:2" x14ac:dyDescent="0.25">
      <c r="A785" s="1" t="s">
        <v>1438</v>
      </c>
      <c r="B785" s="1" t="s">
        <v>1439</v>
      </c>
    </row>
    <row r="786" spans="1:2" x14ac:dyDescent="0.25">
      <c r="A786" s="1" t="s">
        <v>1440</v>
      </c>
      <c r="B786" s="1" t="s">
        <v>1441</v>
      </c>
    </row>
    <row r="787" spans="1:2" x14ac:dyDescent="0.25">
      <c r="A787" s="1" t="s">
        <v>1442</v>
      </c>
      <c r="B787" s="1" t="s">
        <v>1443</v>
      </c>
    </row>
    <row r="788" spans="1:2" x14ac:dyDescent="0.25">
      <c r="A788" s="1" t="s">
        <v>1444</v>
      </c>
      <c r="B788" s="1" t="s">
        <v>1445</v>
      </c>
    </row>
    <row r="789" spans="1:2" x14ac:dyDescent="0.25">
      <c r="A789" s="1" t="s">
        <v>1446</v>
      </c>
      <c r="B789" s="1" t="s">
        <v>1447</v>
      </c>
    </row>
    <row r="790" spans="1:2" x14ac:dyDescent="0.25">
      <c r="A790" s="1" t="s">
        <v>1448</v>
      </c>
      <c r="B790" s="1" t="s">
        <v>1449</v>
      </c>
    </row>
    <row r="791" spans="1:2" x14ac:dyDescent="0.25">
      <c r="A791" s="1" t="s">
        <v>1450</v>
      </c>
      <c r="B791" s="1" t="s">
        <v>1451</v>
      </c>
    </row>
    <row r="792" spans="1:2" x14ac:dyDescent="0.25">
      <c r="A792" s="1" t="s">
        <v>1452</v>
      </c>
      <c r="B792" s="1" t="s">
        <v>1453</v>
      </c>
    </row>
    <row r="793" spans="1:2" x14ac:dyDescent="0.25">
      <c r="A793" s="1" t="s">
        <v>1454</v>
      </c>
      <c r="B793" s="1" t="s">
        <v>1455</v>
      </c>
    </row>
    <row r="794" spans="1:2" x14ac:dyDescent="0.25">
      <c r="A794" s="1" t="s">
        <v>1456</v>
      </c>
      <c r="B794" s="1" t="s">
        <v>1457</v>
      </c>
    </row>
    <row r="795" spans="1:2" x14ac:dyDescent="0.25">
      <c r="A795" s="1" t="s">
        <v>1458</v>
      </c>
      <c r="B795" s="1" t="s">
        <v>1459</v>
      </c>
    </row>
    <row r="796" spans="1:2" x14ac:dyDescent="0.25">
      <c r="A796" s="1" t="s">
        <v>1460</v>
      </c>
      <c r="B796" s="1" t="s">
        <v>1461</v>
      </c>
    </row>
    <row r="797" spans="1:2" x14ac:dyDescent="0.25">
      <c r="A797" s="1" t="s">
        <v>1462</v>
      </c>
      <c r="B797" s="1" t="s">
        <v>1463</v>
      </c>
    </row>
    <row r="798" spans="1:2" x14ac:dyDescent="0.25">
      <c r="A798" s="1" t="s">
        <v>1464</v>
      </c>
      <c r="B798" s="1" t="s">
        <v>1465</v>
      </c>
    </row>
    <row r="799" spans="1:2" x14ac:dyDescent="0.25">
      <c r="A799" s="1" t="s">
        <v>1466</v>
      </c>
      <c r="B799" s="1" t="s">
        <v>1467</v>
      </c>
    </row>
    <row r="800" spans="1:2" x14ac:dyDescent="0.25">
      <c r="A800" s="1" t="s">
        <v>1468</v>
      </c>
      <c r="B800" s="1" t="s">
        <v>1469</v>
      </c>
    </row>
    <row r="801" spans="1:2" x14ac:dyDescent="0.25">
      <c r="A801" s="1" t="s">
        <v>1470</v>
      </c>
      <c r="B801" s="1" t="s">
        <v>1471</v>
      </c>
    </row>
    <row r="802" spans="1:2" x14ac:dyDescent="0.25">
      <c r="A802" s="1" t="s">
        <v>1472</v>
      </c>
      <c r="B802" s="1" t="s">
        <v>1473</v>
      </c>
    </row>
    <row r="803" spans="1:2" x14ac:dyDescent="0.25">
      <c r="A803" s="1" t="s">
        <v>1474</v>
      </c>
      <c r="B803" s="1" t="s">
        <v>1475</v>
      </c>
    </row>
    <row r="804" spans="1:2" x14ac:dyDescent="0.25">
      <c r="A804" s="1" t="s">
        <v>1476</v>
      </c>
      <c r="B804" s="1" t="s">
        <v>1477</v>
      </c>
    </row>
    <row r="805" spans="1:2" x14ac:dyDescent="0.25">
      <c r="A805" s="1" t="s">
        <v>1478</v>
      </c>
      <c r="B805" s="1" t="s">
        <v>1479</v>
      </c>
    </row>
    <row r="806" spans="1:2" x14ac:dyDescent="0.25">
      <c r="A806" s="1" t="s">
        <v>1480</v>
      </c>
      <c r="B806" s="1" t="s">
        <v>1481</v>
      </c>
    </row>
    <row r="807" spans="1:2" x14ac:dyDescent="0.25">
      <c r="A807" s="1" t="s">
        <v>1482</v>
      </c>
      <c r="B807" s="1" t="s">
        <v>1483</v>
      </c>
    </row>
    <row r="808" spans="1:2" x14ac:dyDescent="0.25">
      <c r="A808" s="1" t="s">
        <v>1484</v>
      </c>
      <c r="B808" s="1" t="s">
        <v>1485</v>
      </c>
    </row>
    <row r="809" spans="1:2" x14ac:dyDescent="0.25">
      <c r="A809" s="1" t="s">
        <v>1486</v>
      </c>
      <c r="B809" s="1" t="s">
        <v>1487</v>
      </c>
    </row>
    <row r="810" spans="1:2" x14ac:dyDescent="0.25">
      <c r="A810" s="1" t="s">
        <v>1488</v>
      </c>
      <c r="B810" s="1" t="s">
        <v>1489</v>
      </c>
    </row>
    <row r="811" spans="1:2" x14ac:dyDescent="0.25">
      <c r="A811" s="1" t="s">
        <v>1490</v>
      </c>
      <c r="B811" s="1" t="s">
        <v>1491</v>
      </c>
    </row>
    <row r="812" spans="1:2" x14ac:dyDescent="0.25">
      <c r="A812" s="1" t="s">
        <v>1492</v>
      </c>
      <c r="B812" s="1" t="s">
        <v>1493</v>
      </c>
    </row>
    <row r="813" spans="1:2" x14ac:dyDescent="0.25">
      <c r="A813" s="1" t="s">
        <v>1494</v>
      </c>
      <c r="B813" s="1" t="s">
        <v>1495</v>
      </c>
    </row>
    <row r="814" spans="1:2" x14ac:dyDescent="0.25">
      <c r="A814" s="1" t="s">
        <v>1496</v>
      </c>
      <c r="B814" s="1" t="s">
        <v>1497</v>
      </c>
    </row>
    <row r="815" spans="1:2" x14ac:dyDescent="0.25">
      <c r="A815" s="1" t="s">
        <v>1498</v>
      </c>
      <c r="B815" s="1" t="s">
        <v>1499</v>
      </c>
    </row>
    <row r="816" spans="1:2" x14ac:dyDescent="0.25">
      <c r="A816" s="1" t="s">
        <v>1500</v>
      </c>
      <c r="B816" s="1" t="s">
        <v>1501</v>
      </c>
    </row>
    <row r="817" spans="1:2" x14ac:dyDescent="0.25">
      <c r="A817" s="1" t="s">
        <v>1502</v>
      </c>
      <c r="B817" s="1" t="s">
        <v>1503</v>
      </c>
    </row>
    <row r="818" spans="1:2" x14ac:dyDescent="0.25">
      <c r="A818" s="1" t="s">
        <v>1504</v>
      </c>
      <c r="B818" s="1" t="s">
        <v>1505</v>
      </c>
    </row>
    <row r="819" spans="1:2" x14ac:dyDescent="0.25">
      <c r="A819" s="1" t="s">
        <v>1506</v>
      </c>
      <c r="B819" s="1" t="s">
        <v>1507</v>
      </c>
    </row>
    <row r="820" spans="1:2" x14ac:dyDescent="0.25">
      <c r="A820" s="1" t="s">
        <v>262</v>
      </c>
      <c r="B820" s="1" t="s">
        <v>1508</v>
      </c>
    </row>
    <row r="821" spans="1:2" x14ac:dyDescent="0.25">
      <c r="A821" s="1" t="s">
        <v>1509</v>
      </c>
      <c r="B821" s="1" t="s">
        <v>1510</v>
      </c>
    </row>
    <row r="822" spans="1:2" x14ac:dyDescent="0.25">
      <c r="A822" s="1" t="s">
        <v>1511</v>
      </c>
      <c r="B822" s="1" t="s">
        <v>1512</v>
      </c>
    </row>
    <row r="823" spans="1:2" x14ac:dyDescent="0.25">
      <c r="A823" s="1" t="s">
        <v>1513</v>
      </c>
      <c r="B823" s="1" t="s">
        <v>1514</v>
      </c>
    </row>
    <row r="824" spans="1:2" x14ac:dyDescent="0.25">
      <c r="A824" s="1" t="s">
        <v>1515</v>
      </c>
      <c r="B824" s="1" t="s">
        <v>1516</v>
      </c>
    </row>
    <row r="825" spans="1:2" x14ac:dyDescent="0.25">
      <c r="A825" s="1" t="s">
        <v>1517</v>
      </c>
      <c r="B825" s="1" t="s">
        <v>1518</v>
      </c>
    </row>
    <row r="826" spans="1:2" x14ac:dyDescent="0.25">
      <c r="A826" s="1" t="s">
        <v>1519</v>
      </c>
      <c r="B826" s="1" t="s">
        <v>1520</v>
      </c>
    </row>
    <row r="827" spans="1:2" x14ac:dyDescent="0.25">
      <c r="A827" s="1" t="s">
        <v>1521</v>
      </c>
      <c r="B827" s="1" t="s">
        <v>1522</v>
      </c>
    </row>
    <row r="828" spans="1:2" x14ac:dyDescent="0.25">
      <c r="A828" s="1" t="s">
        <v>1523</v>
      </c>
      <c r="B828" s="1" t="s">
        <v>1524</v>
      </c>
    </row>
    <row r="829" spans="1:2" x14ac:dyDescent="0.25">
      <c r="A829" s="1" t="s">
        <v>1525</v>
      </c>
      <c r="B829" s="1" t="s">
        <v>1526</v>
      </c>
    </row>
    <row r="830" spans="1:2" x14ac:dyDescent="0.25">
      <c r="A830" s="1" t="s">
        <v>1527</v>
      </c>
      <c r="B830" s="1" t="s">
        <v>1528</v>
      </c>
    </row>
    <row r="831" spans="1:2" x14ac:dyDescent="0.25">
      <c r="A831" s="1" t="s">
        <v>1529</v>
      </c>
      <c r="B831" s="1" t="s">
        <v>1530</v>
      </c>
    </row>
    <row r="832" spans="1:2" x14ac:dyDescent="0.25">
      <c r="A832" s="1" t="s">
        <v>1531</v>
      </c>
      <c r="B832" s="1" t="s">
        <v>1532</v>
      </c>
    </row>
    <row r="833" spans="1:2" x14ac:dyDescent="0.25">
      <c r="A833" s="1" t="s">
        <v>1533</v>
      </c>
      <c r="B833" s="1" t="s">
        <v>1534</v>
      </c>
    </row>
    <row r="834" spans="1:2" x14ac:dyDescent="0.25">
      <c r="A834" s="1" t="s">
        <v>1535</v>
      </c>
      <c r="B834" s="1" t="s">
        <v>1536</v>
      </c>
    </row>
    <row r="835" spans="1:2" x14ac:dyDescent="0.25">
      <c r="A835" s="1" t="s">
        <v>687</v>
      </c>
      <c r="B835" s="1" t="s">
        <v>1537</v>
      </c>
    </row>
    <row r="836" spans="1:2" x14ac:dyDescent="0.25">
      <c r="A836" s="1" t="s">
        <v>1538</v>
      </c>
      <c r="B836" s="1" t="s">
        <v>1539</v>
      </c>
    </row>
    <row r="837" spans="1:2" x14ac:dyDescent="0.25">
      <c r="A837" s="1" t="s">
        <v>1540</v>
      </c>
      <c r="B837" s="1" t="s">
        <v>1541</v>
      </c>
    </row>
    <row r="838" spans="1:2" x14ac:dyDescent="0.25">
      <c r="A838" s="1" t="s">
        <v>1542</v>
      </c>
      <c r="B838" s="1" t="s">
        <v>1543</v>
      </c>
    </row>
    <row r="839" spans="1:2" x14ac:dyDescent="0.25">
      <c r="A839" s="1" t="s">
        <v>395</v>
      </c>
      <c r="B839" s="1" t="s">
        <v>1544</v>
      </c>
    </row>
    <row r="840" spans="1:2" x14ac:dyDescent="0.25">
      <c r="A840" s="1" t="s">
        <v>1545</v>
      </c>
      <c r="B840" s="1" t="s">
        <v>1546</v>
      </c>
    </row>
    <row r="841" spans="1:2" x14ac:dyDescent="0.25">
      <c r="A841" s="1" t="s">
        <v>1547</v>
      </c>
      <c r="B841" s="1" t="s">
        <v>1548</v>
      </c>
    </row>
    <row r="842" spans="1:2" x14ac:dyDescent="0.25">
      <c r="A842" s="1" t="s">
        <v>1549</v>
      </c>
      <c r="B842" s="1" t="s">
        <v>1550</v>
      </c>
    </row>
    <row r="843" spans="1:2" x14ac:dyDescent="0.25">
      <c r="A843" s="1" t="s">
        <v>1551</v>
      </c>
      <c r="B843" s="1" t="s">
        <v>1552</v>
      </c>
    </row>
    <row r="844" spans="1:2" x14ac:dyDescent="0.25">
      <c r="A844" s="1" t="s">
        <v>1553</v>
      </c>
      <c r="B844" s="1" t="s">
        <v>1554</v>
      </c>
    </row>
    <row r="845" spans="1:2" x14ac:dyDescent="0.25">
      <c r="A845" s="1" t="s">
        <v>1555</v>
      </c>
      <c r="B845" s="1" t="s">
        <v>1556</v>
      </c>
    </row>
    <row r="846" spans="1:2" x14ac:dyDescent="0.25">
      <c r="A846" s="1" t="s">
        <v>1557</v>
      </c>
      <c r="B846" s="1" t="s">
        <v>1558</v>
      </c>
    </row>
    <row r="847" spans="1:2" x14ac:dyDescent="0.25">
      <c r="A847" s="1" t="s">
        <v>1559</v>
      </c>
      <c r="B847" s="1" t="s">
        <v>1560</v>
      </c>
    </row>
    <row r="848" spans="1:2" x14ac:dyDescent="0.25">
      <c r="A848" s="1" t="s">
        <v>1561</v>
      </c>
      <c r="B848" s="1" t="s">
        <v>1562</v>
      </c>
    </row>
    <row r="849" spans="1:2" x14ac:dyDescent="0.25">
      <c r="A849" s="1" t="s">
        <v>1563</v>
      </c>
      <c r="B849" s="1" t="s">
        <v>1564</v>
      </c>
    </row>
    <row r="850" spans="1:2" x14ac:dyDescent="0.25">
      <c r="A850" s="1" t="s">
        <v>1565</v>
      </c>
      <c r="B850" s="1" t="s">
        <v>1566</v>
      </c>
    </row>
    <row r="851" spans="1:2" x14ac:dyDescent="0.25">
      <c r="A851" s="1" t="s">
        <v>1567</v>
      </c>
      <c r="B851" s="1" t="s">
        <v>1568</v>
      </c>
    </row>
    <row r="852" spans="1:2" x14ac:dyDescent="0.25">
      <c r="A852" s="1" t="s">
        <v>1569</v>
      </c>
      <c r="B852" s="1" t="s">
        <v>1570</v>
      </c>
    </row>
    <row r="853" spans="1:2" x14ac:dyDescent="0.25">
      <c r="A853" s="1" t="s">
        <v>1571</v>
      </c>
      <c r="B853" s="1" t="s">
        <v>1572</v>
      </c>
    </row>
    <row r="854" spans="1:2" x14ac:dyDescent="0.25">
      <c r="A854" s="1" t="s">
        <v>1573</v>
      </c>
      <c r="B854" s="1" t="s">
        <v>1574</v>
      </c>
    </row>
    <row r="855" spans="1:2" x14ac:dyDescent="0.25">
      <c r="A855" s="1" t="s">
        <v>1575</v>
      </c>
      <c r="B855" s="1" t="s">
        <v>1576</v>
      </c>
    </row>
    <row r="856" spans="1:2" x14ac:dyDescent="0.25">
      <c r="A856" s="1" t="s">
        <v>1577</v>
      </c>
      <c r="B856" s="1" t="s">
        <v>1578</v>
      </c>
    </row>
    <row r="857" spans="1:2" x14ac:dyDescent="0.25">
      <c r="A857" s="1" t="s">
        <v>1579</v>
      </c>
      <c r="B857" s="1" t="s">
        <v>1580</v>
      </c>
    </row>
    <row r="858" spans="1:2" x14ac:dyDescent="0.25">
      <c r="A858" s="1" t="s">
        <v>1581</v>
      </c>
      <c r="B858" s="1" t="s">
        <v>1582</v>
      </c>
    </row>
    <row r="859" spans="1:2" x14ac:dyDescent="0.25">
      <c r="A859" s="1" t="s">
        <v>1583</v>
      </c>
      <c r="B859" s="1" t="s">
        <v>1584</v>
      </c>
    </row>
    <row r="860" spans="1:2" x14ac:dyDescent="0.25">
      <c r="A860" s="1" t="s">
        <v>1585</v>
      </c>
      <c r="B860" s="1" t="s">
        <v>1586</v>
      </c>
    </row>
    <row r="861" spans="1:2" x14ac:dyDescent="0.25">
      <c r="A861" s="1" t="s">
        <v>1587</v>
      </c>
      <c r="B861" s="1" t="s">
        <v>1588</v>
      </c>
    </row>
    <row r="862" spans="1:2" x14ac:dyDescent="0.25">
      <c r="A862" s="1" t="s">
        <v>1589</v>
      </c>
      <c r="B862" s="1" t="s">
        <v>1590</v>
      </c>
    </row>
    <row r="863" spans="1:2" x14ac:dyDescent="0.25">
      <c r="A863" s="1" t="s">
        <v>1591</v>
      </c>
      <c r="B863" s="1" t="s">
        <v>1592</v>
      </c>
    </row>
    <row r="864" spans="1:2" x14ac:dyDescent="0.25">
      <c r="A864" s="1" t="s">
        <v>1593</v>
      </c>
      <c r="B864" s="1" t="s">
        <v>1594</v>
      </c>
    </row>
    <row r="865" spans="1:2" x14ac:dyDescent="0.25">
      <c r="A865" s="1" t="s">
        <v>1595</v>
      </c>
      <c r="B865" s="1" t="s">
        <v>1596</v>
      </c>
    </row>
    <row r="866" spans="1:2" x14ac:dyDescent="0.25">
      <c r="A866" s="1" t="s">
        <v>1597</v>
      </c>
      <c r="B866" s="1" t="s">
        <v>1598</v>
      </c>
    </row>
    <row r="867" spans="1:2" x14ac:dyDescent="0.25">
      <c r="A867" s="1" t="s">
        <v>1599</v>
      </c>
      <c r="B867" s="1" t="s">
        <v>1600</v>
      </c>
    </row>
    <row r="868" spans="1:2" x14ac:dyDescent="0.25">
      <c r="A868" s="1" t="s">
        <v>1601</v>
      </c>
      <c r="B868" s="1" t="s">
        <v>1602</v>
      </c>
    </row>
    <row r="869" spans="1:2" x14ac:dyDescent="0.25">
      <c r="A869" s="1" t="s">
        <v>262</v>
      </c>
      <c r="B869" s="1" t="s">
        <v>1603</v>
      </c>
    </row>
    <row r="870" spans="1:2" x14ac:dyDescent="0.25">
      <c r="A870" s="1" t="s">
        <v>679</v>
      </c>
      <c r="B870" s="1" t="s">
        <v>1604</v>
      </c>
    </row>
    <row r="871" spans="1:2" x14ac:dyDescent="0.25">
      <c r="A871" s="1" t="s">
        <v>766</v>
      </c>
      <c r="B871" s="1" t="s">
        <v>1605</v>
      </c>
    </row>
    <row r="872" spans="1:2" x14ac:dyDescent="0.25">
      <c r="A872" s="1" t="s">
        <v>1606</v>
      </c>
      <c r="B872" s="1" t="s">
        <v>1607</v>
      </c>
    </row>
    <row r="873" spans="1:2" x14ac:dyDescent="0.25">
      <c r="A873" s="1" t="s">
        <v>90</v>
      </c>
      <c r="B873" s="1" t="s">
        <v>1608</v>
      </c>
    </row>
    <row r="874" spans="1:2" x14ac:dyDescent="0.25">
      <c r="A874" s="1" t="s">
        <v>1609</v>
      </c>
      <c r="B874" s="1" t="s">
        <v>1610</v>
      </c>
    </row>
    <row r="875" spans="1:2" x14ac:dyDescent="0.25">
      <c r="A875" s="1" t="s">
        <v>92</v>
      </c>
      <c r="B875" s="1" t="s">
        <v>1611</v>
      </c>
    </row>
    <row r="876" spans="1:2" x14ac:dyDescent="0.25">
      <c r="A876" s="1" t="s">
        <v>274</v>
      </c>
      <c r="B876" s="1" t="s">
        <v>1612</v>
      </c>
    </row>
    <row r="877" spans="1:2" x14ac:dyDescent="0.25">
      <c r="A877" s="1" t="s">
        <v>151</v>
      </c>
      <c r="B877" s="1" t="s">
        <v>1613</v>
      </c>
    </row>
    <row r="878" spans="1:2" x14ac:dyDescent="0.25">
      <c r="A878" s="1" t="s">
        <v>1614</v>
      </c>
      <c r="B878" s="1" t="s">
        <v>1615</v>
      </c>
    </row>
    <row r="879" spans="1:2" x14ac:dyDescent="0.25">
      <c r="A879" s="1" t="s">
        <v>1616</v>
      </c>
      <c r="B879" s="1" t="s">
        <v>1617</v>
      </c>
    </row>
    <row r="880" spans="1:2" x14ac:dyDescent="0.25">
      <c r="A880" s="1" t="s">
        <v>1618</v>
      </c>
      <c r="B880" s="1" t="s">
        <v>1619</v>
      </c>
    </row>
    <row r="881" spans="1:2" x14ac:dyDescent="0.25">
      <c r="A881" s="1" t="s">
        <v>1620</v>
      </c>
      <c r="B881" s="1" t="s">
        <v>1621</v>
      </c>
    </row>
    <row r="882" spans="1:2" x14ac:dyDescent="0.25">
      <c r="A882" s="1" t="s">
        <v>1622</v>
      </c>
      <c r="B882" s="1" t="s">
        <v>1623</v>
      </c>
    </row>
    <row r="883" spans="1:2" x14ac:dyDescent="0.25">
      <c r="A883" s="1" t="s">
        <v>1624</v>
      </c>
      <c r="B883" s="1" t="s">
        <v>1625</v>
      </c>
    </row>
    <row r="884" spans="1:2" x14ac:dyDescent="0.25">
      <c r="A884" s="1" t="s">
        <v>1626</v>
      </c>
      <c r="B884" s="1" t="s">
        <v>1627</v>
      </c>
    </row>
    <row r="885" spans="1:2" x14ac:dyDescent="0.25">
      <c r="A885" s="1" t="s">
        <v>1628</v>
      </c>
      <c r="B885" s="1" t="s">
        <v>1629</v>
      </c>
    </row>
    <row r="886" spans="1:2" x14ac:dyDescent="0.25">
      <c r="A886" s="1" t="s">
        <v>1630</v>
      </c>
      <c r="B886" s="1" t="s">
        <v>1631</v>
      </c>
    </row>
    <row r="887" spans="1:2" x14ac:dyDescent="0.25">
      <c r="A887" s="1" t="s">
        <v>1632</v>
      </c>
      <c r="B887" s="1" t="s">
        <v>1633</v>
      </c>
    </row>
    <row r="888" spans="1:2" x14ac:dyDescent="0.25">
      <c r="A888" s="1" t="s">
        <v>1634</v>
      </c>
      <c r="B888" s="1" t="s">
        <v>1635</v>
      </c>
    </row>
    <row r="889" spans="1:2" x14ac:dyDescent="0.25">
      <c r="A889" s="1" t="s">
        <v>1636</v>
      </c>
      <c r="B889" s="1" t="s">
        <v>1637</v>
      </c>
    </row>
    <row r="890" spans="1:2" x14ac:dyDescent="0.25">
      <c r="A890" s="1" t="s">
        <v>1638</v>
      </c>
      <c r="B890" s="1" t="s">
        <v>1639</v>
      </c>
    </row>
    <row r="891" spans="1:2" x14ac:dyDescent="0.25">
      <c r="A891" s="1" t="s">
        <v>1640</v>
      </c>
      <c r="B891" s="1" t="s">
        <v>1641</v>
      </c>
    </row>
    <row r="892" spans="1:2" x14ac:dyDescent="0.25">
      <c r="A892" s="1" t="s">
        <v>1642</v>
      </c>
      <c r="B892" s="1" t="s">
        <v>1643</v>
      </c>
    </row>
    <row r="893" spans="1:2" x14ac:dyDescent="0.25">
      <c r="A893" s="1" t="s">
        <v>1644</v>
      </c>
      <c r="B893" s="1" t="s">
        <v>1645</v>
      </c>
    </row>
    <row r="894" spans="1:2" x14ac:dyDescent="0.25">
      <c r="A894" s="1" t="s">
        <v>1646</v>
      </c>
      <c r="B894" s="1" t="s">
        <v>1647</v>
      </c>
    </row>
    <row r="895" spans="1:2" x14ac:dyDescent="0.25">
      <c r="A895" s="1" t="s">
        <v>1648</v>
      </c>
      <c r="B895" s="1" t="s">
        <v>1649</v>
      </c>
    </row>
    <row r="896" spans="1:2" x14ac:dyDescent="0.25">
      <c r="A896" s="1" t="s">
        <v>1650</v>
      </c>
      <c r="B896" s="1" t="s">
        <v>1651</v>
      </c>
    </row>
    <row r="897" spans="1:2" x14ac:dyDescent="0.25">
      <c r="A897" s="1" t="s">
        <v>1652</v>
      </c>
      <c r="B897" s="1" t="s">
        <v>1653</v>
      </c>
    </row>
    <row r="898" spans="1:2" x14ac:dyDescent="0.25">
      <c r="A898" s="1" t="s">
        <v>1654</v>
      </c>
      <c r="B898" s="1" t="s">
        <v>1655</v>
      </c>
    </row>
    <row r="899" spans="1:2" x14ac:dyDescent="0.25">
      <c r="A899" s="1" t="s">
        <v>351</v>
      </c>
      <c r="B899" s="1" t="s">
        <v>1656</v>
      </c>
    </row>
    <row r="900" spans="1:2" x14ac:dyDescent="0.25">
      <c r="A900" s="1" t="s">
        <v>42</v>
      </c>
      <c r="B900" s="1" t="s">
        <v>1657</v>
      </c>
    </row>
    <row r="901" spans="1:2" x14ac:dyDescent="0.25">
      <c r="A901" s="1" t="s">
        <v>1658</v>
      </c>
      <c r="B901" s="1" t="s">
        <v>1659</v>
      </c>
    </row>
    <row r="902" spans="1:2" x14ac:dyDescent="0.25">
      <c r="A902" s="1" t="s">
        <v>1660</v>
      </c>
      <c r="B902" s="1" t="s">
        <v>1661</v>
      </c>
    </row>
    <row r="903" spans="1:2" x14ac:dyDescent="0.25">
      <c r="A903" s="1" t="s">
        <v>1662</v>
      </c>
      <c r="B903" s="1" t="s">
        <v>1663</v>
      </c>
    </row>
    <row r="904" spans="1:2" x14ac:dyDescent="0.25">
      <c r="A904" s="1" t="s">
        <v>1664</v>
      </c>
      <c r="B904" s="1" t="s">
        <v>1665</v>
      </c>
    </row>
    <row r="905" spans="1:2" x14ac:dyDescent="0.25">
      <c r="A905" s="1" t="s">
        <v>1666</v>
      </c>
      <c r="B905" s="1" t="s">
        <v>1667</v>
      </c>
    </row>
    <row r="906" spans="1:2" x14ac:dyDescent="0.25">
      <c r="A906" s="1" t="s">
        <v>1668</v>
      </c>
      <c r="B906" s="1" t="s">
        <v>1669</v>
      </c>
    </row>
    <row r="907" spans="1:2" x14ac:dyDescent="0.25">
      <c r="A907" s="1" t="s">
        <v>1670</v>
      </c>
      <c r="B907" s="1" t="s">
        <v>1671</v>
      </c>
    </row>
    <row r="908" spans="1:2" x14ac:dyDescent="0.25">
      <c r="A908" s="1" t="s">
        <v>1672</v>
      </c>
      <c r="B908" s="1" t="s">
        <v>1673</v>
      </c>
    </row>
    <row r="909" spans="1:2" x14ac:dyDescent="0.25">
      <c r="A909" s="1" t="s">
        <v>1674</v>
      </c>
      <c r="B909" s="1" t="s">
        <v>1675</v>
      </c>
    </row>
    <row r="910" spans="1:2" x14ac:dyDescent="0.25">
      <c r="A910" s="1" t="s">
        <v>1676</v>
      </c>
      <c r="B910" s="1" t="s">
        <v>1677</v>
      </c>
    </row>
    <row r="911" spans="1:2" x14ac:dyDescent="0.25">
      <c r="A911" s="1" t="s">
        <v>1678</v>
      </c>
      <c r="B911" s="1" t="s">
        <v>1679</v>
      </c>
    </row>
    <row r="912" spans="1:2" x14ac:dyDescent="0.25">
      <c r="A912" s="1" t="s">
        <v>1680</v>
      </c>
      <c r="B912" s="1" t="s">
        <v>1681</v>
      </c>
    </row>
    <row r="913" spans="1:2" x14ac:dyDescent="0.25">
      <c r="A913" s="1" t="s">
        <v>1682</v>
      </c>
      <c r="B913" s="1" t="s">
        <v>1683</v>
      </c>
    </row>
    <row r="914" spans="1:2" x14ac:dyDescent="0.25">
      <c r="A914" s="1" t="s">
        <v>1684</v>
      </c>
      <c r="B914" s="1" t="s">
        <v>1685</v>
      </c>
    </row>
    <row r="915" spans="1:2" x14ac:dyDescent="0.25">
      <c r="A915" s="1" t="s">
        <v>1686</v>
      </c>
      <c r="B915" s="1" t="s">
        <v>1687</v>
      </c>
    </row>
    <row r="916" spans="1:2" x14ac:dyDescent="0.25">
      <c r="A916" s="1" t="s">
        <v>14</v>
      </c>
      <c r="B916" s="1" t="s">
        <v>1688</v>
      </c>
    </row>
    <row r="917" spans="1:2" x14ac:dyDescent="0.25">
      <c r="A917" s="1" t="s">
        <v>253</v>
      </c>
      <c r="B917" s="1" t="s">
        <v>1689</v>
      </c>
    </row>
    <row r="918" spans="1:2" x14ac:dyDescent="0.25">
      <c r="A918" s="1" t="s">
        <v>90</v>
      </c>
      <c r="B918" s="1" t="s">
        <v>1690</v>
      </c>
    </row>
    <row r="919" spans="1:2" x14ac:dyDescent="0.25">
      <c r="A919" s="1" t="s">
        <v>264</v>
      </c>
      <c r="B919" s="1" t="s">
        <v>1691</v>
      </c>
    </row>
    <row r="920" spans="1:2" x14ac:dyDescent="0.25">
      <c r="A920" s="1" t="s">
        <v>16</v>
      </c>
      <c r="B920" s="1" t="s">
        <v>1692</v>
      </c>
    </row>
    <row r="921" spans="1:2" x14ac:dyDescent="0.25">
      <c r="A921" s="1" t="s">
        <v>423</v>
      </c>
      <c r="B921" s="1" t="s">
        <v>1693</v>
      </c>
    </row>
    <row r="922" spans="1:2" x14ac:dyDescent="0.25">
      <c r="A922" s="1" t="s">
        <v>1694</v>
      </c>
      <c r="B922" s="1" t="s">
        <v>1695</v>
      </c>
    </row>
    <row r="923" spans="1:2" x14ac:dyDescent="0.25">
      <c r="A923" s="1" t="s">
        <v>340</v>
      </c>
      <c r="B923" s="1" t="s">
        <v>1696</v>
      </c>
    </row>
    <row r="924" spans="1:2" x14ac:dyDescent="0.25">
      <c r="A924" s="1" t="s">
        <v>1697</v>
      </c>
      <c r="B924" s="1" t="s">
        <v>1698</v>
      </c>
    </row>
    <row r="925" spans="1:2" x14ac:dyDescent="0.25">
      <c r="A925" s="1" t="s">
        <v>1699</v>
      </c>
      <c r="B925" s="1" t="s">
        <v>1700</v>
      </c>
    </row>
    <row r="926" spans="1:2" x14ac:dyDescent="0.25">
      <c r="A926" s="1" t="s">
        <v>1701</v>
      </c>
      <c r="B926" s="1" t="s">
        <v>1702</v>
      </c>
    </row>
    <row r="927" spans="1:2" x14ac:dyDescent="0.25">
      <c r="A927" s="1" t="s">
        <v>1703</v>
      </c>
      <c r="B927" s="1" t="s">
        <v>1704</v>
      </c>
    </row>
    <row r="928" spans="1:2" x14ac:dyDescent="0.25">
      <c r="A928" s="1" t="s">
        <v>1705</v>
      </c>
      <c r="B928" s="1" t="s">
        <v>1706</v>
      </c>
    </row>
    <row r="929" spans="1:2" x14ac:dyDescent="0.25">
      <c r="A929" s="1" t="s">
        <v>1707</v>
      </c>
      <c r="B929" s="1" t="s">
        <v>1708</v>
      </c>
    </row>
    <row r="930" spans="1:2" x14ac:dyDescent="0.25">
      <c r="A930" s="1" t="s">
        <v>1709</v>
      </c>
      <c r="B930" s="1" t="s">
        <v>1710</v>
      </c>
    </row>
    <row r="931" spans="1:2" x14ac:dyDescent="0.25">
      <c r="A931" s="1" t="s">
        <v>1711</v>
      </c>
      <c r="B931" s="1" t="s">
        <v>1712</v>
      </c>
    </row>
    <row r="932" spans="1:2" x14ac:dyDescent="0.25">
      <c r="A932" s="1" t="s">
        <v>286</v>
      </c>
      <c r="B932" s="1" t="s">
        <v>1713</v>
      </c>
    </row>
    <row r="933" spans="1:2" x14ac:dyDescent="0.25">
      <c r="A933" s="1" t="s">
        <v>358</v>
      </c>
      <c r="B933" s="1" t="s">
        <v>1714</v>
      </c>
    </row>
    <row r="934" spans="1:2" x14ac:dyDescent="0.25">
      <c r="A934" s="1" t="s">
        <v>1715</v>
      </c>
      <c r="B934" s="1" t="s">
        <v>1716</v>
      </c>
    </row>
    <row r="935" spans="1:2" x14ac:dyDescent="0.25">
      <c r="A935" s="1" t="s">
        <v>1717</v>
      </c>
      <c r="B935" s="1" t="s">
        <v>1718</v>
      </c>
    </row>
    <row r="936" spans="1:2" x14ac:dyDescent="0.25">
      <c r="A936" s="1" t="s">
        <v>253</v>
      </c>
      <c r="B936" s="1" t="s">
        <v>1719</v>
      </c>
    </row>
    <row r="937" spans="1:2" x14ac:dyDescent="0.25">
      <c r="A937" s="1" t="s">
        <v>90</v>
      </c>
      <c r="B937" s="1" t="s">
        <v>1720</v>
      </c>
    </row>
    <row r="938" spans="1:2" x14ac:dyDescent="0.25">
      <c r="A938" s="1" t="s">
        <v>264</v>
      </c>
      <c r="B938" s="1" t="s">
        <v>1721</v>
      </c>
    </row>
    <row r="939" spans="1:2" x14ac:dyDescent="0.25">
      <c r="A939" s="1" t="s">
        <v>16</v>
      </c>
      <c r="B939" s="1" t="s">
        <v>1722</v>
      </c>
    </row>
    <row r="940" spans="1:2" x14ac:dyDescent="0.25">
      <c r="A940" s="1" t="s">
        <v>274</v>
      </c>
      <c r="B940" s="1" t="s">
        <v>1723</v>
      </c>
    </row>
    <row r="941" spans="1:2" x14ac:dyDescent="0.25">
      <c r="A941" s="1" t="s">
        <v>151</v>
      </c>
      <c r="B941" s="1" t="s">
        <v>1724</v>
      </c>
    </row>
    <row r="942" spans="1:2" x14ac:dyDescent="0.25">
      <c r="A942" s="1" t="s">
        <v>441</v>
      </c>
      <c r="B942" s="1" t="s">
        <v>1725</v>
      </c>
    </row>
    <row r="943" spans="1:2" x14ac:dyDescent="0.25">
      <c r="A943" s="1" t="s">
        <v>1726</v>
      </c>
      <c r="B943" s="1" t="s">
        <v>1727</v>
      </c>
    </row>
    <row r="944" spans="1:2" x14ac:dyDescent="0.25">
      <c r="A944" s="1" t="s">
        <v>1728</v>
      </c>
      <c r="B944" s="1" t="s">
        <v>1729</v>
      </c>
    </row>
    <row r="945" spans="1:2" x14ac:dyDescent="0.25">
      <c r="A945" s="1" t="s">
        <v>397</v>
      </c>
      <c r="B945" s="1" t="s">
        <v>1730</v>
      </c>
    </row>
    <row r="946" spans="1:2" x14ac:dyDescent="0.25">
      <c r="A946" s="1" t="s">
        <v>1731</v>
      </c>
      <c r="B946" s="1" t="s">
        <v>1732</v>
      </c>
    </row>
    <row r="947" spans="1:2" x14ac:dyDescent="0.25">
      <c r="A947" s="1" t="s">
        <v>1733</v>
      </c>
      <c r="B947" s="1" t="s">
        <v>1734</v>
      </c>
    </row>
    <row r="948" spans="1:2" x14ac:dyDescent="0.25">
      <c r="A948" s="1" t="s">
        <v>1735</v>
      </c>
      <c r="B948" s="1" t="s">
        <v>1736</v>
      </c>
    </row>
    <row r="949" spans="1:2" x14ac:dyDescent="0.25">
      <c r="A949" s="1" t="s">
        <v>1737</v>
      </c>
      <c r="B949" s="1" t="s">
        <v>1738</v>
      </c>
    </row>
    <row r="950" spans="1:2" x14ac:dyDescent="0.25">
      <c r="A950" s="1" t="s">
        <v>1739</v>
      </c>
      <c r="B950" s="1" t="s">
        <v>1740</v>
      </c>
    </row>
    <row r="951" spans="1:2" x14ac:dyDescent="0.25">
      <c r="A951" s="1" t="s">
        <v>1741</v>
      </c>
      <c r="B951" s="1" t="s">
        <v>1742</v>
      </c>
    </row>
    <row r="952" spans="1:2" x14ac:dyDescent="0.25">
      <c r="A952" s="1" t="s">
        <v>1743</v>
      </c>
      <c r="B952" s="1" t="s">
        <v>1744</v>
      </c>
    </row>
    <row r="953" spans="1:2" x14ac:dyDescent="0.25">
      <c r="A953" s="1" t="s">
        <v>1745</v>
      </c>
      <c r="B953" s="1" t="s">
        <v>1746</v>
      </c>
    </row>
    <row r="954" spans="1:2" x14ac:dyDescent="0.25">
      <c r="A954" s="1" t="s">
        <v>1747</v>
      </c>
      <c r="B954" s="1" t="s">
        <v>1748</v>
      </c>
    </row>
    <row r="955" spans="1:2" x14ac:dyDescent="0.25">
      <c r="A955" s="1" t="s">
        <v>1749</v>
      </c>
      <c r="B955" s="1" t="s">
        <v>1750</v>
      </c>
    </row>
    <row r="956" spans="1:2" x14ac:dyDescent="0.25">
      <c r="A956" s="1" t="s">
        <v>1751</v>
      </c>
      <c r="B956" s="1" t="s">
        <v>1752</v>
      </c>
    </row>
    <row r="957" spans="1:2" x14ac:dyDescent="0.25">
      <c r="A957" s="1" t="s">
        <v>1753</v>
      </c>
      <c r="B957" s="1" t="s">
        <v>1754</v>
      </c>
    </row>
    <row r="958" spans="1:2" x14ac:dyDescent="0.25">
      <c r="A958" s="1" t="s">
        <v>1755</v>
      </c>
      <c r="B958" s="1" t="s">
        <v>1756</v>
      </c>
    </row>
    <row r="959" spans="1:2" x14ac:dyDescent="0.25">
      <c r="A959" s="1" t="s">
        <v>1757</v>
      </c>
      <c r="B959" s="1" t="s">
        <v>1758</v>
      </c>
    </row>
    <row r="960" spans="1:2" x14ac:dyDescent="0.25">
      <c r="A960" s="1" t="s">
        <v>1759</v>
      </c>
      <c r="B960" s="1" t="s">
        <v>1760</v>
      </c>
    </row>
    <row r="961" spans="1:2" x14ac:dyDescent="0.25">
      <c r="A961" s="1" t="s">
        <v>1761</v>
      </c>
      <c r="B961" s="1" t="s">
        <v>1762</v>
      </c>
    </row>
    <row r="962" spans="1:2" x14ac:dyDescent="0.25">
      <c r="A962" s="1" t="s">
        <v>1763</v>
      </c>
      <c r="B962" s="1" t="s">
        <v>1764</v>
      </c>
    </row>
    <row r="963" spans="1:2" x14ac:dyDescent="0.25">
      <c r="A963" s="1" t="s">
        <v>1765</v>
      </c>
      <c r="B963" s="1" t="s">
        <v>1766</v>
      </c>
    </row>
    <row r="964" spans="1:2" x14ac:dyDescent="0.25">
      <c r="A964" s="1" t="s">
        <v>1767</v>
      </c>
      <c r="B964" s="1" t="s">
        <v>1768</v>
      </c>
    </row>
    <row r="965" spans="1:2" x14ac:dyDescent="0.25">
      <c r="A965" s="1" t="s">
        <v>1769</v>
      </c>
      <c r="B965" s="1" t="s">
        <v>1770</v>
      </c>
    </row>
    <row r="966" spans="1:2" x14ac:dyDescent="0.25">
      <c r="A966" s="1" t="s">
        <v>1771</v>
      </c>
      <c r="B966" s="1" t="s">
        <v>1772</v>
      </c>
    </row>
    <row r="967" spans="1:2" x14ac:dyDescent="0.25">
      <c r="A967" s="1" t="s">
        <v>14</v>
      </c>
      <c r="B967" s="1" t="s">
        <v>1773</v>
      </c>
    </row>
    <row r="968" spans="1:2" x14ac:dyDescent="0.25">
      <c r="A968" s="1" t="s">
        <v>1774</v>
      </c>
      <c r="B968" s="1" t="s">
        <v>1775</v>
      </c>
    </row>
    <row r="969" spans="1:2" x14ac:dyDescent="0.25">
      <c r="A969" s="1" t="s">
        <v>1776</v>
      </c>
      <c r="B969" s="1" t="s">
        <v>1777</v>
      </c>
    </row>
    <row r="970" spans="1:2" x14ac:dyDescent="0.25">
      <c r="A970" s="1" t="s">
        <v>1778</v>
      </c>
      <c r="B970" s="1" t="s">
        <v>1779</v>
      </c>
    </row>
    <row r="971" spans="1:2" x14ac:dyDescent="0.25">
      <c r="A971" s="1" t="s">
        <v>1780</v>
      </c>
      <c r="B971" s="1" t="s">
        <v>1781</v>
      </c>
    </row>
    <row r="972" spans="1:2" x14ac:dyDescent="0.25">
      <c r="A972" s="1" t="s">
        <v>14</v>
      </c>
      <c r="B972" s="1" t="s">
        <v>1782</v>
      </c>
    </row>
    <row r="973" spans="1:2" x14ac:dyDescent="0.25">
      <c r="A973" s="1" t="s">
        <v>14</v>
      </c>
      <c r="B973" s="1" t="s">
        <v>1783</v>
      </c>
    </row>
    <row r="974" spans="1:2" x14ac:dyDescent="0.25">
      <c r="A974" s="1" t="s">
        <v>1784</v>
      </c>
      <c r="B974" s="1" t="s">
        <v>1785</v>
      </c>
    </row>
    <row r="975" spans="1:2" x14ac:dyDescent="0.25">
      <c r="A975" s="1" t="s">
        <v>1786</v>
      </c>
      <c r="B975" s="1" t="s">
        <v>1787</v>
      </c>
    </row>
    <row r="976" spans="1:2" x14ac:dyDescent="0.25">
      <c r="A976" s="1" t="s">
        <v>1788</v>
      </c>
      <c r="B976" s="1" t="s">
        <v>1789</v>
      </c>
    </row>
    <row r="977" spans="1:2" x14ac:dyDescent="0.25">
      <c r="A977" s="1" t="s">
        <v>1790</v>
      </c>
      <c r="B977" s="1" t="s">
        <v>1791</v>
      </c>
    </row>
    <row r="978" spans="1:2" x14ac:dyDescent="0.25">
      <c r="A978" s="1" t="s">
        <v>14</v>
      </c>
      <c r="B978" s="1" t="s">
        <v>1792</v>
      </c>
    </row>
    <row r="979" spans="1:2" x14ac:dyDescent="0.25">
      <c r="A979" s="1" t="s">
        <v>1793</v>
      </c>
      <c r="B979" s="1" t="s">
        <v>1794</v>
      </c>
    </row>
    <row r="980" spans="1:2" x14ac:dyDescent="0.25">
      <c r="A980" s="1" t="s">
        <v>1795</v>
      </c>
      <c r="B980" s="1" t="s">
        <v>1796</v>
      </c>
    </row>
    <row r="981" spans="1:2" x14ac:dyDescent="0.25">
      <c r="A981" s="1" t="s">
        <v>264</v>
      </c>
      <c r="B981" s="1" t="s">
        <v>1797</v>
      </c>
    </row>
    <row r="982" spans="1:2" x14ac:dyDescent="0.25">
      <c r="A982" s="1" t="s">
        <v>434</v>
      </c>
      <c r="B982" s="1" t="s">
        <v>1798</v>
      </c>
    </row>
    <row r="983" spans="1:2" x14ac:dyDescent="0.25">
      <c r="A983" s="1" t="s">
        <v>137</v>
      </c>
      <c r="B983" s="1" t="s">
        <v>1799</v>
      </c>
    </row>
    <row r="984" spans="1:2" x14ac:dyDescent="0.25">
      <c r="A984" s="1" t="s">
        <v>423</v>
      </c>
      <c r="B984" s="1" t="s">
        <v>1800</v>
      </c>
    </row>
    <row r="985" spans="1:2" x14ac:dyDescent="0.25">
      <c r="A985" s="1" t="s">
        <v>253</v>
      </c>
      <c r="B985" s="1" t="s">
        <v>1801</v>
      </c>
    </row>
    <row r="986" spans="1:2" x14ac:dyDescent="0.25">
      <c r="A986" s="1" t="s">
        <v>274</v>
      </c>
      <c r="B986" s="1" t="s">
        <v>1802</v>
      </c>
    </row>
    <row r="987" spans="1:2" x14ac:dyDescent="0.25">
      <c r="A987" s="1" t="s">
        <v>1803</v>
      </c>
      <c r="B987" s="1" t="s">
        <v>1804</v>
      </c>
    </row>
    <row r="988" spans="1:2" x14ac:dyDescent="0.25">
      <c r="A988" s="1" t="s">
        <v>1805</v>
      </c>
      <c r="B988" s="1" t="s">
        <v>1806</v>
      </c>
    </row>
    <row r="989" spans="1:2" x14ac:dyDescent="0.25">
      <c r="A989" s="1" t="s">
        <v>1807</v>
      </c>
      <c r="B989" s="1" t="s">
        <v>1808</v>
      </c>
    </row>
    <row r="990" spans="1:2" x14ac:dyDescent="0.25">
      <c r="A990" s="1" t="s">
        <v>1809</v>
      </c>
      <c r="B990" s="1" t="s">
        <v>1810</v>
      </c>
    </row>
    <row r="991" spans="1:2" x14ac:dyDescent="0.25">
      <c r="A991" s="1" t="s">
        <v>1811</v>
      </c>
      <c r="B991" s="1" t="s">
        <v>1812</v>
      </c>
    </row>
    <row r="992" spans="1:2" x14ac:dyDescent="0.25">
      <c r="A992" s="1" t="s">
        <v>1813</v>
      </c>
      <c r="B992" s="1" t="s">
        <v>1814</v>
      </c>
    </row>
    <row r="993" spans="1:2" x14ac:dyDescent="0.25">
      <c r="A993" s="1" t="s">
        <v>1815</v>
      </c>
      <c r="B993" s="1" t="s">
        <v>1816</v>
      </c>
    </row>
    <row r="994" spans="1:2" x14ac:dyDescent="0.25">
      <c r="A994" s="1" t="s">
        <v>1817</v>
      </c>
      <c r="B994" s="1" t="s">
        <v>1818</v>
      </c>
    </row>
    <row r="995" spans="1:2" x14ac:dyDescent="0.25">
      <c r="A995" s="1" t="s">
        <v>1819</v>
      </c>
      <c r="B995" s="1" t="s">
        <v>1820</v>
      </c>
    </row>
    <row r="996" spans="1:2" x14ac:dyDescent="0.25">
      <c r="A996" s="1" t="s">
        <v>1821</v>
      </c>
      <c r="B996" s="1" t="s">
        <v>1822</v>
      </c>
    </row>
    <row r="997" spans="1:2" x14ac:dyDescent="0.25">
      <c r="A997" s="1" t="s">
        <v>1823</v>
      </c>
      <c r="B997" s="1" t="s">
        <v>1824</v>
      </c>
    </row>
    <row r="998" spans="1:2" x14ac:dyDescent="0.25">
      <c r="A998" s="1" t="s">
        <v>1825</v>
      </c>
      <c r="B998" s="1" t="s">
        <v>1826</v>
      </c>
    </row>
    <row r="999" spans="1:2" x14ac:dyDescent="0.25">
      <c r="A999" s="1" t="s">
        <v>1827</v>
      </c>
      <c r="B999" s="1" t="s">
        <v>1828</v>
      </c>
    </row>
    <row r="1000" spans="1:2" x14ac:dyDescent="0.25">
      <c r="A1000" s="1" t="s">
        <v>1829</v>
      </c>
      <c r="B1000" s="1" t="s">
        <v>1830</v>
      </c>
    </row>
    <row r="1001" spans="1:2" x14ac:dyDescent="0.25">
      <c r="A1001" s="1" t="s">
        <v>1831</v>
      </c>
      <c r="B1001" s="1" t="s">
        <v>1832</v>
      </c>
    </row>
    <row r="1002" spans="1:2" x14ac:dyDescent="0.25">
      <c r="A1002" s="1" t="s">
        <v>1833</v>
      </c>
      <c r="B1002" s="1" t="s">
        <v>1834</v>
      </c>
    </row>
    <row r="1003" spans="1:2" x14ac:dyDescent="0.25">
      <c r="A1003" s="1" t="s">
        <v>1835</v>
      </c>
      <c r="B1003" s="1" t="s">
        <v>1836</v>
      </c>
    </row>
    <row r="1004" spans="1:2" x14ac:dyDescent="0.25">
      <c r="A1004" s="1" t="s">
        <v>1837</v>
      </c>
      <c r="B1004" s="1" t="s">
        <v>1838</v>
      </c>
    </row>
    <row r="1005" spans="1:2" x14ac:dyDescent="0.25">
      <c r="A1005" s="1" t="s">
        <v>1839</v>
      </c>
      <c r="B1005" s="1" t="s">
        <v>1840</v>
      </c>
    </row>
    <row r="1006" spans="1:2" x14ac:dyDescent="0.25">
      <c r="A1006" s="1" t="s">
        <v>1841</v>
      </c>
      <c r="B1006" s="1" t="s">
        <v>1842</v>
      </c>
    </row>
    <row r="1007" spans="1:2" x14ac:dyDescent="0.25">
      <c r="A1007" s="1" t="s">
        <v>1843</v>
      </c>
      <c r="B1007" s="1" t="s">
        <v>1844</v>
      </c>
    </row>
    <row r="1008" spans="1:2" x14ac:dyDescent="0.25">
      <c r="A1008" s="1" t="s">
        <v>1845</v>
      </c>
      <c r="B1008" s="1" t="s">
        <v>1846</v>
      </c>
    </row>
    <row r="1009" spans="1:2" x14ac:dyDescent="0.25">
      <c r="A1009" s="1" t="s">
        <v>948</v>
      </c>
      <c r="B1009" s="1" t="s">
        <v>1847</v>
      </c>
    </row>
    <row r="1010" spans="1:2" x14ac:dyDescent="0.25">
      <c r="A1010" s="1" t="s">
        <v>1848</v>
      </c>
      <c r="B1010" s="1" t="s">
        <v>1849</v>
      </c>
    </row>
    <row r="1011" spans="1:2" x14ac:dyDescent="0.25">
      <c r="A1011" s="1" t="s">
        <v>1850</v>
      </c>
      <c r="B1011" s="1" t="s">
        <v>1851</v>
      </c>
    </row>
    <row r="1012" spans="1:2" x14ac:dyDescent="0.25">
      <c r="A1012" s="1" t="s">
        <v>1852</v>
      </c>
      <c r="B1012" s="1" t="s">
        <v>1853</v>
      </c>
    </row>
    <row r="1013" spans="1:2" x14ac:dyDescent="0.25">
      <c r="A1013" s="1" t="s">
        <v>1854</v>
      </c>
      <c r="B1013" s="1" t="s">
        <v>1855</v>
      </c>
    </row>
    <row r="1014" spans="1:2" x14ac:dyDescent="0.25">
      <c r="A1014" s="1" t="s">
        <v>1856</v>
      </c>
      <c r="B1014" s="1" t="s">
        <v>1857</v>
      </c>
    </row>
    <row r="1015" spans="1:2" x14ac:dyDescent="0.25">
      <c r="A1015" s="1" t="s">
        <v>1858</v>
      </c>
      <c r="B1015" s="1" t="s">
        <v>1859</v>
      </c>
    </row>
    <row r="1016" spans="1:2" x14ac:dyDescent="0.25">
      <c r="A1016" s="1" t="s">
        <v>1860</v>
      </c>
      <c r="B1016" s="1" t="s">
        <v>1861</v>
      </c>
    </row>
    <row r="1017" spans="1:2" x14ac:dyDescent="0.25">
      <c r="A1017" s="1" t="s">
        <v>1862</v>
      </c>
      <c r="B1017" s="1" t="s">
        <v>1863</v>
      </c>
    </row>
    <row r="1018" spans="1:2" x14ac:dyDescent="0.25">
      <c r="A1018" s="1" t="s">
        <v>1864</v>
      </c>
      <c r="B1018" s="1" t="s">
        <v>1865</v>
      </c>
    </row>
    <row r="1019" spans="1:2" x14ac:dyDescent="0.25">
      <c r="A1019" s="1" t="s">
        <v>1866</v>
      </c>
      <c r="B1019" s="1" t="s">
        <v>1867</v>
      </c>
    </row>
    <row r="1020" spans="1:2" x14ac:dyDescent="0.25">
      <c r="A1020" s="1" t="s">
        <v>1868</v>
      </c>
      <c r="B1020" s="1" t="s">
        <v>1869</v>
      </c>
    </row>
    <row r="1021" spans="1:2" x14ac:dyDescent="0.25">
      <c r="A1021" s="1" t="s">
        <v>1870</v>
      </c>
      <c r="B1021" s="1" t="s">
        <v>1871</v>
      </c>
    </row>
    <row r="1022" spans="1:2" x14ac:dyDescent="0.25">
      <c r="A1022" s="1" t="s">
        <v>1872</v>
      </c>
      <c r="B1022" s="1" t="s">
        <v>1873</v>
      </c>
    </row>
    <row r="1023" spans="1:2" x14ac:dyDescent="0.25">
      <c r="A1023" s="1" t="s">
        <v>1874</v>
      </c>
      <c r="B1023" s="1" t="s">
        <v>1875</v>
      </c>
    </row>
    <row r="1024" spans="1:2" x14ac:dyDescent="0.25">
      <c r="A1024" s="1" t="s">
        <v>1876</v>
      </c>
      <c r="B1024" s="1" t="s">
        <v>1877</v>
      </c>
    </row>
    <row r="1025" spans="1:2" x14ac:dyDescent="0.25">
      <c r="A1025" s="1" t="s">
        <v>1878</v>
      </c>
      <c r="B1025" s="1" t="s">
        <v>1879</v>
      </c>
    </row>
    <row r="1026" spans="1:2" x14ac:dyDescent="0.25">
      <c r="A1026" s="1" t="s">
        <v>1880</v>
      </c>
      <c r="B1026" s="1" t="s">
        <v>1881</v>
      </c>
    </row>
    <row r="1027" spans="1:2" x14ac:dyDescent="0.25">
      <c r="A1027" s="1" t="s">
        <v>1882</v>
      </c>
      <c r="B1027" s="1" t="s">
        <v>1883</v>
      </c>
    </row>
    <row r="1028" spans="1:2" x14ac:dyDescent="0.25">
      <c r="A1028" s="1" t="s">
        <v>1884</v>
      </c>
      <c r="B1028" s="1" t="s">
        <v>1885</v>
      </c>
    </row>
    <row r="1029" spans="1:2" x14ac:dyDescent="0.25">
      <c r="A1029" s="1" t="s">
        <v>1886</v>
      </c>
      <c r="B1029" s="1" t="s">
        <v>1887</v>
      </c>
    </row>
    <row r="1030" spans="1:2" x14ac:dyDescent="0.25">
      <c r="A1030" s="1" t="s">
        <v>1888</v>
      </c>
      <c r="B1030" s="1" t="s">
        <v>1889</v>
      </c>
    </row>
    <row r="1031" spans="1:2" x14ac:dyDescent="0.25">
      <c r="A1031" s="1" t="s">
        <v>1890</v>
      </c>
      <c r="B1031" s="1" t="s">
        <v>1891</v>
      </c>
    </row>
    <row r="1032" spans="1:2" x14ac:dyDescent="0.25">
      <c r="A1032" s="1" t="s">
        <v>1892</v>
      </c>
      <c r="B1032" s="1" t="s">
        <v>1893</v>
      </c>
    </row>
    <row r="1033" spans="1:2" x14ac:dyDescent="0.25">
      <c r="A1033" s="1" t="s">
        <v>1894</v>
      </c>
      <c r="B1033" s="1" t="s">
        <v>1895</v>
      </c>
    </row>
    <row r="1034" spans="1:2" x14ac:dyDescent="0.25">
      <c r="A1034" s="1" t="s">
        <v>397</v>
      </c>
      <c r="B1034" s="1" t="s">
        <v>1896</v>
      </c>
    </row>
    <row r="1035" spans="1:2" x14ac:dyDescent="0.25">
      <c r="A1035" s="1" t="s">
        <v>1897</v>
      </c>
      <c r="B1035" s="1" t="s">
        <v>1898</v>
      </c>
    </row>
    <row r="1036" spans="1:2" x14ac:dyDescent="0.25">
      <c r="A1036" s="1" t="s">
        <v>1899</v>
      </c>
      <c r="B1036" s="1" t="s">
        <v>1900</v>
      </c>
    </row>
    <row r="1037" spans="1:2" x14ac:dyDescent="0.25">
      <c r="A1037" s="1" t="s">
        <v>1901</v>
      </c>
      <c r="B1037" s="1" t="s">
        <v>1902</v>
      </c>
    </row>
    <row r="1038" spans="1:2" x14ac:dyDescent="0.25">
      <c r="A1038" s="1" t="s">
        <v>1903</v>
      </c>
      <c r="B1038" s="1" t="s">
        <v>1904</v>
      </c>
    </row>
    <row r="1039" spans="1:2" x14ac:dyDescent="0.25">
      <c r="A1039" s="1" t="s">
        <v>1905</v>
      </c>
      <c r="B1039" s="1" t="s">
        <v>1906</v>
      </c>
    </row>
    <row r="1040" spans="1:2" x14ac:dyDescent="0.25">
      <c r="A1040" s="1" t="s">
        <v>1907</v>
      </c>
      <c r="B1040" s="1" t="s">
        <v>1908</v>
      </c>
    </row>
    <row r="1041" spans="1:2" x14ac:dyDescent="0.25">
      <c r="A1041" s="1" t="s">
        <v>1909</v>
      </c>
      <c r="B1041" s="1" t="s">
        <v>1910</v>
      </c>
    </row>
    <row r="1042" spans="1:2" x14ac:dyDescent="0.25">
      <c r="A1042" s="1" t="s">
        <v>1911</v>
      </c>
      <c r="B1042" s="1" t="s">
        <v>1912</v>
      </c>
    </row>
    <row r="1043" spans="1:2" x14ac:dyDescent="0.25">
      <c r="A1043" s="1" t="s">
        <v>1913</v>
      </c>
      <c r="B1043" s="1" t="s">
        <v>1914</v>
      </c>
    </row>
    <row r="1044" spans="1:2" x14ac:dyDescent="0.25">
      <c r="A1044" s="1" t="s">
        <v>1915</v>
      </c>
      <c r="B1044" s="1" t="s">
        <v>1916</v>
      </c>
    </row>
    <row r="1045" spans="1:2" x14ac:dyDescent="0.25">
      <c r="A1045" s="1" t="s">
        <v>1917</v>
      </c>
      <c r="B1045" s="1" t="s">
        <v>1918</v>
      </c>
    </row>
    <row r="1046" spans="1:2" x14ac:dyDescent="0.25">
      <c r="A1046" s="1" t="s">
        <v>1919</v>
      </c>
      <c r="B1046" s="1" t="s">
        <v>1920</v>
      </c>
    </row>
    <row r="1047" spans="1:2" x14ac:dyDescent="0.25">
      <c r="A1047" s="1" t="s">
        <v>1921</v>
      </c>
      <c r="B1047" s="1" t="s">
        <v>1922</v>
      </c>
    </row>
    <row r="1048" spans="1:2" x14ac:dyDescent="0.25">
      <c r="A1048" s="1" t="s">
        <v>1923</v>
      </c>
      <c r="B1048" s="1" t="s">
        <v>1924</v>
      </c>
    </row>
    <row r="1049" spans="1:2" x14ac:dyDescent="0.25">
      <c r="A1049" s="1" t="s">
        <v>1925</v>
      </c>
      <c r="B1049" s="1" t="s">
        <v>1926</v>
      </c>
    </row>
    <row r="1050" spans="1:2" x14ac:dyDescent="0.25">
      <c r="A1050" s="1" t="s">
        <v>1927</v>
      </c>
      <c r="B1050" s="1" t="s">
        <v>1928</v>
      </c>
    </row>
    <row r="1051" spans="1:2" x14ac:dyDescent="0.25">
      <c r="A1051" s="1" t="s">
        <v>1929</v>
      </c>
      <c r="B1051" s="1" t="s">
        <v>1930</v>
      </c>
    </row>
    <row r="1052" spans="1:2" x14ac:dyDescent="0.25">
      <c r="A1052" s="1" t="s">
        <v>1931</v>
      </c>
      <c r="B1052" s="1" t="s">
        <v>1932</v>
      </c>
    </row>
    <row r="1053" spans="1:2" x14ac:dyDescent="0.25">
      <c r="A1053" s="1" t="s">
        <v>1933</v>
      </c>
      <c r="B1053" s="1" t="s">
        <v>1934</v>
      </c>
    </row>
    <row r="1054" spans="1:2" x14ac:dyDescent="0.25">
      <c r="A1054" s="1" t="s">
        <v>1935</v>
      </c>
      <c r="B1054" s="1" t="s">
        <v>1936</v>
      </c>
    </row>
    <row r="1055" spans="1:2" x14ac:dyDescent="0.25">
      <c r="A1055" s="1" t="s">
        <v>1937</v>
      </c>
      <c r="B1055" s="1" t="s">
        <v>1938</v>
      </c>
    </row>
    <row r="1056" spans="1:2" x14ac:dyDescent="0.25">
      <c r="A1056" s="1" t="s">
        <v>1939</v>
      </c>
      <c r="B1056" s="1" t="s">
        <v>1940</v>
      </c>
    </row>
    <row r="1057" spans="1:2" x14ac:dyDescent="0.25">
      <c r="A1057" s="1" t="s">
        <v>1941</v>
      </c>
      <c r="B1057" s="1" t="s">
        <v>1942</v>
      </c>
    </row>
    <row r="1058" spans="1:2" x14ac:dyDescent="0.25">
      <c r="A1058" s="1" t="s">
        <v>1943</v>
      </c>
      <c r="B1058" s="1" t="s">
        <v>1944</v>
      </c>
    </row>
    <row r="1059" spans="1:2" x14ac:dyDescent="0.25">
      <c r="A1059" s="1" t="s">
        <v>1945</v>
      </c>
      <c r="B1059" s="1" t="s">
        <v>1946</v>
      </c>
    </row>
    <row r="1060" spans="1:2" x14ac:dyDescent="0.25">
      <c r="A1060" s="1" t="s">
        <v>1947</v>
      </c>
      <c r="B1060" s="1" t="s">
        <v>1948</v>
      </c>
    </row>
    <row r="1061" spans="1:2" x14ac:dyDescent="0.25">
      <c r="A1061" s="1" t="s">
        <v>1949</v>
      </c>
      <c r="B1061" s="1" t="s">
        <v>1950</v>
      </c>
    </row>
    <row r="1062" spans="1:2" x14ac:dyDescent="0.25">
      <c r="A1062" s="1" t="s">
        <v>1007</v>
      </c>
      <c r="B1062" s="1" t="s">
        <v>1951</v>
      </c>
    </row>
    <row r="1063" spans="1:2" x14ac:dyDescent="0.25">
      <c r="A1063" s="1" t="s">
        <v>1952</v>
      </c>
      <c r="B1063" s="1" t="s">
        <v>1953</v>
      </c>
    </row>
    <row r="1064" spans="1:2" x14ac:dyDescent="0.25">
      <c r="A1064" s="1" t="s">
        <v>1954</v>
      </c>
      <c r="B1064" s="1" t="s">
        <v>1955</v>
      </c>
    </row>
    <row r="1065" spans="1:2" x14ac:dyDescent="0.25">
      <c r="A1065" s="1" t="s">
        <v>1956</v>
      </c>
      <c r="B1065" s="1" t="s">
        <v>1957</v>
      </c>
    </row>
    <row r="1066" spans="1:2" x14ac:dyDescent="0.25">
      <c r="A1066" s="1" t="s">
        <v>1958</v>
      </c>
      <c r="B1066" s="1" t="s">
        <v>1959</v>
      </c>
    </row>
    <row r="1067" spans="1:2" x14ac:dyDescent="0.25">
      <c r="A1067" s="1" t="s">
        <v>1960</v>
      </c>
      <c r="B1067" s="1" t="s">
        <v>1961</v>
      </c>
    </row>
    <row r="1068" spans="1:2" x14ac:dyDescent="0.25">
      <c r="A1068" s="1" t="s">
        <v>1962</v>
      </c>
      <c r="B1068" s="1" t="s">
        <v>1963</v>
      </c>
    </row>
    <row r="1069" spans="1:2" x14ac:dyDescent="0.25">
      <c r="A1069" s="1" t="s">
        <v>1964</v>
      </c>
      <c r="B1069" s="1" t="s">
        <v>1965</v>
      </c>
    </row>
    <row r="1070" spans="1:2" x14ac:dyDescent="0.25">
      <c r="A1070" s="1" t="s">
        <v>1966</v>
      </c>
      <c r="B1070" s="1" t="s">
        <v>1967</v>
      </c>
    </row>
    <row r="1071" spans="1:2" x14ac:dyDescent="0.25">
      <c r="A1071" s="1" t="s">
        <v>1968</v>
      </c>
      <c r="B1071" s="1" t="s">
        <v>1969</v>
      </c>
    </row>
    <row r="1072" spans="1:2" x14ac:dyDescent="0.25">
      <c r="A1072" s="1" t="s">
        <v>1970</v>
      </c>
      <c r="B1072" s="1" t="s">
        <v>1971</v>
      </c>
    </row>
    <row r="1073" spans="1:2" x14ac:dyDescent="0.25">
      <c r="A1073" s="1" t="s">
        <v>1972</v>
      </c>
      <c r="B1073" s="1" t="s">
        <v>1973</v>
      </c>
    </row>
    <row r="1074" spans="1:2" x14ac:dyDescent="0.25">
      <c r="A1074" s="1" t="s">
        <v>1974</v>
      </c>
      <c r="B1074" s="1" t="s">
        <v>1975</v>
      </c>
    </row>
    <row r="1075" spans="1:2" x14ac:dyDescent="0.25">
      <c r="A1075" s="1" t="s">
        <v>1976</v>
      </c>
      <c r="B1075" s="1" t="s">
        <v>1977</v>
      </c>
    </row>
    <row r="1076" spans="1:2" x14ac:dyDescent="0.25">
      <c r="A1076" s="1" t="s">
        <v>90</v>
      </c>
      <c r="B1076" s="1" t="s">
        <v>1978</v>
      </c>
    </row>
    <row r="1077" spans="1:2" x14ac:dyDescent="0.25">
      <c r="A1077" s="1" t="s">
        <v>1979</v>
      </c>
      <c r="B1077" s="1" t="s">
        <v>1980</v>
      </c>
    </row>
    <row r="1078" spans="1:2" x14ac:dyDescent="0.25">
      <c r="A1078" s="1" t="s">
        <v>1981</v>
      </c>
      <c r="B1078" s="1" t="s">
        <v>1982</v>
      </c>
    </row>
    <row r="1079" spans="1:2" x14ac:dyDescent="0.25">
      <c r="A1079" s="1" t="s">
        <v>1983</v>
      </c>
      <c r="B1079" s="1" t="s">
        <v>1984</v>
      </c>
    </row>
    <row r="1080" spans="1:2" x14ac:dyDescent="0.25">
      <c r="A1080" s="1" t="s">
        <v>1985</v>
      </c>
      <c r="B1080" s="1" t="s">
        <v>1986</v>
      </c>
    </row>
    <row r="1081" spans="1:2" x14ac:dyDescent="0.25">
      <c r="A1081" s="1" t="s">
        <v>1987</v>
      </c>
      <c r="B1081" s="1" t="s">
        <v>1988</v>
      </c>
    </row>
    <row r="1082" spans="1:2" x14ac:dyDescent="0.25">
      <c r="A1082" s="1" t="s">
        <v>1989</v>
      </c>
      <c r="B1082" s="1" t="s">
        <v>1990</v>
      </c>
    </row>
    <row r="1083" spans="1:2" x14ac:dyDescent="0.25">
      <c r="A1083" s="1" t="s">
        <v>1991</v>
      </c>
      <c r="B1083" s="1" t="s">
        <v>1992</v>
      </c>
    </row>
    <row r="1084" spans="1:2" x14ac:dyDescent="0.25">
      <c r="A1084" s="1" t="s">
        <v>1993</v>
      </c>
      <c r="B1084" s="1" t="s">
        <v>1994</v>
      </c>
    </row>
    <row r="1085" spans="1:2" x14ac:dyDescent="0.25">
      <c r="A1085" s="1" t="s">
        <v>1995</v>
      </c>
      <c r="B1085" s="1" t="s">
        <v>1996</v>
      </c>
    </row>
    <row r="1086" spans="1:2" x14ac:dyDescent="0.25">
      <c r="A1086" s="1" t="s">
        <v>1997</v>
      </c>
      <c r="B1086" s="1" t="s">
        <v>1998</v>
      </c>
    </row>
    <row r="1087" spans="1:2" x14ac:dyDescent="0.25">
      <c r="A1087" s="1" t="s">
        <v>1999</v>
      </c>
      <c r="B1087" s="1" t="s">
        <v>2000</v>
      </c>
    </row>
    <row r="1088" spans="1:2" x14ac:dyDescent="0.25">
      <c r="A1088" s="1" t="s">
        <v>2001</v>
      </c>
      <c r="B1088" s="1" t="s">
        <v>2002</v>
      </c>
    </row>
    <row r="1089" spans="1:2" x14ac:dyDescent="0.25">
      <c r="A1089" s="1" t="s">
        <v>2003</v>
      </c>
      <c r="B1089" s="1" t="s">
        <v>2004</v>
      </c>
    </row>
    <row r="1090" spans="1:2" x14ac:dyDescent="0.25">
      <c r="A1090" s="1" t="s">
        <v>2005</v>
      </c>
      <c r="B1090" s="1" t="s">
        <v>2006</v>
      </c>
    </row>
    <row r="1091" spans="1:2" x14ac:dyDescent="0.25">
      <c r="A1091" s="1" t="s">
        <v>2007</v>
      </c>
      <c r="B1091" s="1" t="s">
        <v>2008</v>
      </c>
    </row>
    <row r="1092" spans="1:2" x14ac:dyDescent="0.25">
      <c r="A1092" s="1" t="s">
        <v>14</v>
      </c>
      <c r="B1092" s="1" t="s">
        <v>2009</v>
      </c>
    </row>
    <row r="1093" spans="1:2" x14ac:dyDescent="0.25">
      <c r="A1093" s="1" t="s">
        <v>434</v>
      </c>
      <c r="B1093" s="1" t="s">
        <v>2010</v>
      </c>
    </row>
    <row r="1094" spans="1:2" x14ac:dyDescent="0.25">
      <c r="A1094" s="1" t="s">
        <v>2011</v>
      </c>
      <c r="B1094" s="1" t="s">
        <v>2012</v>
      </c>
    </row>
    <row r="1095" spans="1:2" x14ac:dyDescent="0.25">
      <c r="A1095" s="1" t="s">
        <v>137</v>
      </c>
      <c r="B1095" s="1" t="s">
        <v>2013</v>
      </c>
    </row>
    <row r="1096" spans="1:2" x14ac:dyDescent="0.25">
      <c r="A1096" s="1" t="s">
        <v>2014</v>
      </c>
      <c r="B1096" s="1" t="s">
        <v>2015</v>
      </c>
    </row>
    <row r="1097" spans="1:2" x14ac:dyDescent="0.25">
      <c r="A1097" s="1" t="s">
        <v>2016</v>
      </c>
      <c r="B1097" s="1" t="s">
        <v>2017</v>
      </c>
    </row>
    <row r="1098" spans="1:2" x14ac:dyDescent="0.25">
      <c r="A1098" s="1" t="s">
        <v>2018</v>
      </c>
      <c r="B1098" s="1" t="s">
        <v>2019</v>
      </c>
    </row>
    <row r="1099" spans="1:2" x14ac:dyDescent="0.25">
      <c r="A1099" s="1" t="s">
        <v>2020</v>
      </c>
      <c r="B1099" s="1" t="s">
        <v>2021</v>
      </c>
    </row>
    <row r="1100" spans="1:2" x14ac:dyDescent="0.25">
      <c r="A1100" s="1" t="s">
        <v>2022</v>
      </c>
      <c r="B1100" s="1" t="s">
        <v>2023</v>
      </c>
    </row>
    <row r="1101" spans="1:2" x14ac:dyDescent="0.25">
      <c r="A1101" s="1" t="s">
        <v>264</v>
      </c>
      <c r="B1101" s="1" t="s">
        <v>2024</v>
      </c>
    </row>
    <row r="1102" spans="1:2" x14ac:dyDescent="0.25">
      <c r="A1102" s="1" t="s">
        <v>2025</v>
      </c>
      <c r="B1102" s="1" t="s">
        <v>2026</v>
      </c>
    </row>
    <row r="1103" spans="1:2" x14ac:dyDescent="0.25">
      <c r="A1103" s="1" t="s">
        <v>2027</v>
      </c>
      <c r="B1103" s="1" t="s">
        <v>2028</v>
      </c>
    </row>
    <row r="1104" spans="1:2" x14ac:dyDescent="0.25">
      <c r="A1104" s="1" t="s">
        <v>167</v>
      </c>
      <c r="B1104" s="1" t="s">
        <v>2029</v>
      </c>
    </row>
    <row r="1105" spans="1:2" x14ac:dyDescent="0.25">
      <c r="A1105" s="1" t="s">
        <v>679</v>
      </c>
      <c r="B1105" s="1" t="s">
        <v>2030</v>
      </c>
    </row>
    <row r="1106" spans="1:2" x14ac:dyDescent="0.25">
      <c r="A1106" s="1" t="s">
        <v>766</v>
      </c>
      <c r="B1106" s="1" t="s">
        <v>2031</v>
      </c>
    </row>
    <row r="1107" spans="1:2" x14ac:dyDescent="0.25">
      <c r="A1107" s="1" t="s">
        <v>436</v>
      </c>
      <c r="B1107" s="1" t="s">
        <v>2032</v>
      </c>
    </row>
    <row r="1108" spans="1:2" x14ac:dyDescent="0.25">
      <c r="A1108" s="1" t="s">
        <v>90</v>
      </c>
      <c r="B1108" s="1" t="s">
        <v>2033</v>
      </c>
    </row>
    <row r="1109" spans="1:2" x14ac:dyDescent="0.25">
      <c r="A1109" s="1" t="s">
        <v>2034</v>
      </c>
      <c r="B1109" s="1" t="s">
        <v>2035</v>
      </c>
    </row>
    <row r="1110" spans="1:2" x14ac:dyDescent="0.25">
      <c r="A1110" s="1" t="s">
        <v>92</v>
      </c>
      <c r="B1110" s="1" t="s">
        <v>2036</v>
      </c>
    </row>
    <row r="1111" spans="1:2" x14ac:dyDescent="0.25">
      <c r="A1111" s="1" t="s">
        <v>274</v>
      </c>
      <c r="B1111" s="1" t="s">
        <v>2037</v>
      </c>
    </row>
    <row r="1112" spans="1:2" x14ac:dyDescent="0.25">
      <c r="A1112" s="1" t="s">
        <v>531</v>
      </c>
      <c r="B1112" s="1" t="s">
        <v>2038</v>
      </c>
    </row>
    <row r="1113" spans="1:2" x14ac:dyDescent="0.25">
      <c r="A1113" s="1" t="s">
        <v>2039</v>
      </c>
      <c r="B1113" s="1" t="s">
        <v>2040</v>
      </c>
    </row>
    <row r="1114" spans="1:2" x14ac:dyDescent="0.25">
      <c r="A1114" s="1" t="s">
        <v>2041</v>
      </c>
      <c r="B1114" s="1" t="s">
        <v>2042</v>
      </c>
    </row>
    <row r="1115" spans="1:2" x14ac:dyDescent="0.25">
      <c r="A1115" s="1" t="s">
        <v>2043</v>
      </c>
      <c r="B1115" s="1" t="s">
        <v>2044</v>
      </c>
    </row>
    <row r="1116" spans="1:2" x14ac:dyDescent="0.25">
      <c r="A1116" s="1" t="s">
        <v>2045</v>
      </c>
      <c r="B1116" s="1" t="s">
        <v>2046</v>
      </c>
    </row>
    <row r="1117" spans="1:2" x14ac:dyDescent="0.25">
      <c r="A1117" s="1" t="s">
        <v>2047</v>
      </c>
      <c r="B1117" s="1" t="s">
        <v>2048</v>
      </c>
    </row>
    <row r="1118" spans="1:2" x14ac:dyDescent="0.25">
      <c r="A1118" s="1" t="s">
        <v>2049</v>
      </c>
      <c r="B1118" s="1" t="s">
        <v>2050</v>
      </c>
    </row>
    <row r="1119" spans="1:2" x14ac:dyDescent="0.25">
      <c r="A1119" s="1" t="s">
        <v>2051</v>
      </c>
      <c r="B1119" s="1" t="s">
        <v>2052</v>
      </c>
    </row>
    <row r="1120" spans="1:2" x14ac:dyDescent="0.25">
      <c r="A1120" s="1" t="s">
        <v>2053</v>
      </c>
      <c r="B1120" s="1" t="s">
        <v>2054</v>
      </c>
    </row>
    <row r="1121" spans="1:2" x14ac:dyDescent="0.25">
      <c r="A1121" s="1" t="s">
        <v>2055</v>
      </c>
      <c r="B1121" s="1" t="s">
        <v>2056</v>
      </c>
    </row>
    <row r="1122" spans="1:2" x14ac:dyDescent="0.25">
      <c r="A1122" s="1" t="s">
        <v>2057</v>
      </c>
      <c r="B1122" s="1" t="s">
        <v>2058</v>
      </c>
    </row>
    <row r="1123" spans="1:2" x14ac:dyDescent="0.25">
      <c r="A1123" s="1" t="s">
        <v>2059</v>
      </c>
      <c r="B1123" s="1" t="s">
        <v>2060</v>
      </c>
    </row>
    <row r="1124" spans="1:2" x14ac:dyDescent="0.25">
      <c r="A1124" s="1" t="s">
        <v>2061</v>
      </c>
      <c r="B1124" s="1" t="s">
        <v>2062</v>
      </c>
    </row>
    <row r="1125" spans="1:2" x14ac:dyDescent="0.25">
      <c r="A1125" s="1" t="s">
        <v>2063</v>
      </c>
      <c r="B1125" s="1" t="s">
        <v>2064</v>
      </c>
    </row>
    <row r="1126" spans="1:2" x14ac:dyDescent="0.25">
      <c r="A1126" s="1" t="s">
        <v>2065</v>
      </c>
      <c r="B1126" s="1" t="s">
        <v>2066</v>
      </c>
    </row>
    <row r="1127" spans="1:2" x14ac:dyDescent="0.25">
      <c r="A1127" s="1" t="s">
        <v>2067</v>
      </c>
      <c r="B1127" s="1" t="s">
        <v>2068</v>
      </c>
    </row>
    <row r="1128" spans="1:2" x14ac:dyDescent="0.25">
      <c r="A1128" s="1" t="s">
        <v>2069</v>
      </c>
      <c r="B1128" s="1" t="s">
        <v>2070</v>
      </c>
    </row>
    <row r="1129" spans="1:2" x14ac:dyDescent="0.25">
      <c r="A1129" s="1" t="s">
        <v>2071</v>
      </c>
      <c r="B1129" s="1" t="s">
        <v>2072</v>
      </c>
    </row>
    <row r="1130" spans="1:2" x14ac:dyDescent="0.25">
      <c r="A1130" s="1" t="s">
        <v>2073</v>
      </c>
      <c r="B1130" s="1" t="s">
        <v>2074</v>
      </c>
    </row>
    <row r="1131" spans="1:2" x14ac:dyDescent="0.25">
      <c r="A1131" s="1" t="s">
        <v>2075</v>
      </c>
      <c r="B1131" s="1" t="s">
        <v>2076</v>
      </c>
    </row>
    <row r="1132" spans="1:2" x14ac:dyDescent="0.25">
      <c r="A1132" s="1" t="s">
        <v>2077</v>
      </c>
      <c r="B1132" s="1" t="s">
        <v>2078</v>
      </c>
    </row>
    <row r="1133" spans="1:2" x14ac:dyDescent="0.25">
      <c r="A1133" s="1" t="s">
        <v>2079</v>
      </c>
      <c r="B1133" s="1" t="s">
        <v>2080</v>
      </c>
    </row>
    <row r="1134" spans="1:2" x14ac:dyDescent="0.25">
      <c r="A1134" s="1" t="s">
        <v>679</v>
      </c>
      <c r="B1134" s="1" t="s">
        <v>2081</v>
      </c>
    </row>
    <row r="1135" spans="1:2" x14ac:dyDescent="0.25">
      <c r="A1135" s="1" t="s">
        <v>14</v>
      </c>
      <c r="B1135" s="1" t="s">
        <v>2082</v>
      </c>
    </row>
    <row r="1136" spans="1:2" x14ac:dyDescent="0.25">
      <c r="A1136" s="1" t="s">
        <v>2083</v>
      </c>
      <c r="B1136" s="1" t="s">
        <v>2084</v>
      </c>
    </row>
    <row r="1137" spans="1:2" x14ac:dyDescent="0.25">
      <c r="A1137" s="1" t="s">
        <v>2085</v>
      </c>
      <c r="B1137" s="1" t="s">
        <v>2086</v>
      </c>
    </row>
    <row r="1138" spans="1:2" x14ac:dyDescent="0.25">
      <c r="A1138" s="1" t="s">
        <v>2087</v>
      </c>
      <c r="B1138" s="1" t="s">
        <v>2088</v>
      </c>
    </row>
    <row r="1139" spans="1:2" x14ac:dyDescent="0.25">
      <c r="A1139" s="1" t="s">
        <v>2089</v>
      </c>
      <c r="B1139" s="1" t="s">
        <v>2090</v>
      </c>
    </row>
    <row r="1140" spans="1:2" x14ac:dyDescent="0.25">
      <c r="A1140" s="1" t="s">
        <v>423</v>
      </c>
      <c r="B1140" s="1" t="s">
        <v>2091</v>
      </c>
    </row>
    <row r="1141" spans="1:2" x14ac:dyDescent="0.25">
      <c r="A1141" s="1" t="s">
        <v>2092</v>
      </c>
      <c r="B1141" s="1" t="s">
        <v>2093</v>
      </c>
    </row>
    <row r="1142" spans="1:2" x14ac:dyDescent="0.25">
      <c r="A1142" s="1" t="s">
        <v>2094</v>
      </c>
      <c r="B1142" s="1" t="s">
        <v>2095</v>
      </c>
    </row>
    <row r="1143" spans="1:2" x14ac:dyDescent="0.25">
      <c r="A1143" s="1" t="s">
        <v>2096</v>
      </c>
      <c r="B1143" s="1" t="s">
        <v>2097</v>
      </c>
    </row>
    <row r="1144" spans="1:2" x14ac:dyDescent="0.25">
      <c r="A1144" s="1" t="s">
        <v>2098</v>
      </c>
      <c r="B1144" s="1" t="s">
        <v>2099</v>
      </c>
    </row>
    <row r="1145" spans="1:2" x14ac:dyDescent="0.25">
      <c r="A1145" s="1" t="s">
        <v>2100</v>
      </c>
      <c r="B1145" s="1" t="s">
        <v>2101</v>
      </c>
    </row>
    <row r="1146" spans="1:2" x14ac:dyDescent="0.25">
      <c r="A1146" s="1" t="s">
        <v>2102</v>
      </c>
      <c r="B1146" s="1" t="s">
        <v>2103</v>
      </c>
    </row>
    <row r="1147" spans="1:2" x14ac:dyDescent="0.25">
      <c r="A1147" s="1" t="s">
        <v>2104</v>
      </c>
      <c r="B1147" s="1" t="s">
        <v>2105</v>
      </c>
    </row>
    <row r="1148" spans="1:2" x14ac:dyDescent="0.25">
      <c r="A1148" s="1" t="s">
        <v>2106</v>
      </c>
      <c r="B1148" s="1" t="s">
        <v>2107</v>
      </c>
    </row>
    <row r="1149" spans="1:2" x14ac:dyDescent="0.25">
      <c r="A1149" s="1" t="s">
        <v>2108</v>
      </c>
      <c r="B1149" s="1" t="s">
        <v>2109</v>
      </c>
    </row>
    <row r="1150" spans="1:2" x14ac:dyDescent="0.25">
      <c r="A1150" s="1" t="s">
        <v>2110</v>
      </c>
      <c r="B1150" s="1" t="s">
        <v>2111</v>
      </c>
    </row>
    <row r="1151" spans="1:2" x14ac:dyDescent="0.25">
      <c r="A1151" s="1" t="s">
        <v>2112</v>
      </c>
      <c r="B1151" s="1" t="s">
        <v>2113</v>
      </c>
    </row>
    <row r="1152" spans="1:2" x14ac:dyDescent="0.25">
      <c r="A1152" s="1" t="s">
        <v>2114</v>
      </c>
      <c r="B1152" s="1" t="s">
        <v>2115</v>
      </c>
    </row>
    <row r="1153" spans="1:2" x14ac:dyDescent="0.25">
      <c r="A1153" s="1" t="s">
        <v>1013</v>
      </c>
      <c r="B1153" s="1" t="s">
        <v>2116</v>
      </c>
    </row>
    <row r="1154" spans="1:2" x14ac:dyDescent="0.25">
      <c r="A1154" s="1" t="s">
        <v>2117</v>
      </c>
      <c r="B1154" s="1" t="s">
        <v>2118</v>
      </c>
    </row>
    <row r="1155" spans="1:2" x14ac:dyDescent="0.25">
      <c r="A1155" s="1" t="s">
        <v>2119</v>
      </c>
      <c r="B1155" s="1" t="s">
        <v>2120</v>
      </c>
    </row>
    <row r="1156" spans="1:2" x14ac:dyDescent="0.25">
      <c r="A1156" s="1" t="s">
        <v>14</v>
      </c>
      <c r="B1156" s="1" t="s">
        <v>2121</v>
      </c>
    </row>
    <row r="1157" spans="1:2" x14ac:dyDescent="0.25">
      <c r="A1157" s="1" t="s">
        <v>264</v>
      </c>
      <c r="B1157" s="1" t="s">
        <v>2122</v>
      </c>
    </row>
    <row r="1158" spans="1:2" x14ac:dyDescent="0.25">
      <c r="A1158" s="1" t="s">
        <v>2123</v>
      </c>
      <c r="B1158" s="1" t="s">
        <v>2124</v>
      </c>
    </row>
    <row r="1159" spans="1:2" x14ac:dyDescent="0.25">
      <c r="A1159" s="1" t="s">
        <v>2125</v>
      </c>
      <c r="B1159" s="1" t="s">
        <v>2126</v>
      </c>
    </row>
    <row r="1160" spans="1:2" x14ac:dyDescent="0.25">
      <c r="A1160" s="1" t="s">
        <v>2127</v>
      </c>
      <c r="B1160" s="1" t="s">
        <v>2128</v>
      </c>
    </row>
    <row r="1161" spans="1:2" x14ac:dyDescent="0.25">
      <c r="A1161" s="1" t="s">
        <v>2129</v>
      </c>
      <c r="B1161" s="1" t="s">
        <v>2130</v>
      </c>
    </row>
    <row r="1162" spans="1:2" x14ac:dyDescent="0.25">
      <c r="A1162" s="1" t="s">
        <v>2131</v>
      </c>
      <c r="B1162" s="1" t="s">
        <v>2132</v>
      </c>
    </row>
    <row r="1163" spans="1:2" x14ac:dyDescent="0.25">
      <c r="A1163" s="1" t="s">
        <v>2133</v>
      </c>
      <c r="B1163" s="1" t="s">
        <v>2134</v>
      </c>
    </row>
    <row r="1164" spans="1:2" x14ac:dyDescent="0.25">
      <c r="A1164" s="1" t="s">
        <v>2135</v>
      </c>
      <c r="B1164" s="1" t="s">
        <v>2136</v>
      </c>
    </row>
    <row r="1165" spans="1:2" x14ac:dyDescent="0.25">
      <c r="A1165" s="1" t="s">
        <v>2137</v>
      </c>
      <c r="B1165" s="1" t="s">
        <v>2138</v>
      </c>
    </row>
    <row r="1166" spans="1:2" x14ac:dyDescent="0.25">
      <c r="A1166" s="1" t="s">
        <v>2139</v>
      </c>
      <c r="B1166" s="1" t="s">
        <v>2140</v>
      </c>
    </row>
    <row r="1167" spans="1:2" x14ac:dyDescent="0.25">
      <c r="A1167" s="1" t="s">
        <v>2141</v>
      </c>
      <c r="B1167" s="1" t="s">
        <v>2142</v>
      </c>
    </row>
    <row r="1168" spans="1:2" x14ac:dyDescent="0.25">
      <c r="A1168" s="1" t="s">
        <v>2143</v>
      </c>
      <c r="B1168" s="1" t="s">
        <v>2144</v>
      </c>
    </row>
    <row r="1169" spans="1:2" x14ac:dyDescent="0.25">
      <c r="A1169" s="1" t="s">
        <v>2145</v>
      </c>
      <c r="B1169" s="1" t="s">
        <v>2146</v>
      </c>
    </row>
    <row r="1170" spans="1:2" x14ac:dyDescent="0.25">
      <c r="A1170" s="1" t="s">
        <v>2147</v>
      </c>
      <c r="B1170" s="1" t="s">
        <v>2148</v>
      </c>
    </row>
    <row r="1171" spans="1:2" x14ac:dyDescent="0.25">
      <c r="A1171" s="1" t="s">
        <v>2149</v>
      </c>
      <c r="B1171" s="1" t="s">
        <v>2150</v>
      </c>
    </row>
    <row r="1172" spans="1:2" x14ac:dyDescent="0.25">
      <c r="A1172" s="1" t="s">
        <v>2151</v>
      </c>
      <c r="B1172" s="1" t="s">
        <v>2152</v>
      </c>
    </row>
    <row r="1173" spans="1:2" x14ac:dyDescent="0.25">
      <c r="A1173" s="1" t="s">
        <v>2153</v>
      </c>
      <c r="B1173" s="1" t="s">
        <v>2154</v>
      </c>
    </row>
    <row r="1174" spans="1:2" x14ac:dyDescent="0.25">
      <c r="A1174" s="1" t="s">
        <v>2155</v>
      </c>
      <c r="B1174" s="1" t="s">
        <v>2156</v>
      </c>
    </row>
    <row r="1175" spans="1:2" x14ac:dyDescent="0.25">
      <c r="A1175" s="1" t="s">
        <v>2157</v>
      </c>
      <c r="B1175" s="1" t="s">
        <v>2158</v>
      </c>
    </row>
    <row r="1176" spans="1:2" x14ac:dyDescent="0.25">
      <c r="A1176" s="1" t="s">
        <v>2159</v>
      </c>
      <c r="B1176" s="1" t="s">
        <v>2160</v>
      </c>
    </row>
    <row r="1177" spans="1:2" x14ac:dyDescent="0.25">
      <c r="A1177" s="1" t="s">
        <v>2161</v>
      </c>
      <c r="B1177" s="1" t="s">
        <v>2162</v>
      </c>
    </row>
    <row r="1178" spans="1:2" x14ac:dyDescent="0.25">
      <c r="A1178" s="1" t="s">
        <v>2163</v>
      </c>
      <c r="B1178" s="1" t="s">
        <v>2164</v>
      </c>
    </row>
    <row r="1179" spans="1:2" x14ac:dyDescent="0.25">
      <c r="A1179" s="1" t="s">
        <v>2165</v>
      </c>
      <c r="B1179" s="1" t="s">
        <v>2166</v>
      </c>
    </row>
    <row r="1180" spans="1:2" x14ac:dyDescent="0.25">
      <c r="A1180" s="1" t="s">
        <v>2167</v>
      </c>
      <c r="B1180" s="1" t="s">
        <v>2168</v>
      </c>
    </row>
    <row r="1181" spans="1:2" x14ac:dyDescent="0.25">
      <c r="A1181" s="1" t="s">
        <v>2169</v>
      </c>
      <c r="B1181" s="1" t="s">
        <v>2170</v>
      </c>
    </row>
    <row r="1182" spans="1:2" x14ac:dyDescent="0.25">
      <c r="A1182" s="1" t="s">
        <v>2171</v>
      </c>
      <c r="B1182" s="1" t="s">
        <v>2172</v>
      </c>
    </row>
    <row r="1183" spans="1:2" x14ac:dyDescent="0.25">
      <c r="A1183" s="1" t="s">
        <v>679</v>
      </c>
      <c r="B1183" s="1" t="s">
        <v>2173</v>
      </c>
    </row>
    <row r="1184" spans="1:2" x14ac:dyDescent="0.25">
      <c r="A1184" s="1" t="s">
        <v>683</v>
      </c>
      <c r="B1184" s="1" t="s">
        <v>2174</v>
      </c>
    </row>
    <row r="1185" spans="1:2" x14ac:dyDescent="0.25">
      <c r="A1185" s="1" t="s">
        <v>2175</v>
      </c>
      <c r="B1185" s="1" t="s">
        <v>2176</v>
      </c>
    </row>
    <row r="1186" spans="1:2" x14ac:dyDescent="0.25">
      <c r="A1186" s="1" t="s">
        <v>2177</v>
      </c>
      <c r="B1186" s="1" t="s">
        <v>2178</v>
      </c>
    </row>
    <row r="1187" spans="1:2" x14ac:dyDescent="0.25">
      <c r="A1187" s="1" t="s">
        <v>264</v>
      </c>
      <c r="B1187" s="1" t="s">
        <v>2179</v>
      </c>
    </row>
    <row r="1188" spans="1:2" x14ac:dyDescent="0.25">
      <c r="A1188" s="1" t="s">
        <v>2180</v>
      </c>
      <c r="B1188" s="1" t="s">
        <v>2181</v>
      </c>
    </row>
    <row r="1189" spans="1:2" x14ac:dyDescent="0.25">
      <c r="A1189" s="1" t="s">
        <v>90</v>
      </c>
      <c r="B1189" s="1" t="s">
        <v>2182</v>
      </c>
    </row>
    <row r="1190" spans="1:2" x14ac:dyDescent="0.25">
      <c r="A1190" s="1" t="s">
        <v>2183</v>
      </c>
      <c r="B1190" s="1" t="s">
        <v>2184</v>
      </c>
    </row>
    <row r="1191" spans="1:2" x14ac:dyDescent="0.25">
      <c r="A1191" s="1" t="s">
        <v>253</v>
      </c>
      <c r="B1191" s="1" t="s">
        <v>2185</v>
      </c>
    </row>
    <row r="1192" spans="1:2" x14ac:dyDescent="0.25">
      <c r="A1192" s="1" t="s">
        <v>397</v>
      </c>
      <c r="B1192" s="1" t="s">
        <v>2186</v>
      </c>
    </row>
    <row r="1193" spans="1:2" x14ac:dyDescent="0.25">
      <c r="A1193" s="1" t="s">
        <v>151</v>
      </c>
      <c r="B1193" s="1" t="s">
        <v>2187</v>
      </c>
    </row>
    <row r="1194" spans="1:2" x14ac:dyDescent="0.25">
      <c r="A1194" s="1" t="s">
        <v>274</v>
      </c>
      <c r="B1194" s="1" t="s">
        <v>2188</v>
      </c>
    </row>
    <row r="1195" spans="1:2" x14ac:dyDescent="0.25">
      <c r="A1195" s="1" t="s">
        <v>163</v>
      </c>
      <c r="B1195" s="1" t="s">
        <v>2189</v>
      </c>
    </row>
    <row r="1196" spans="1:2" x14ac:dyDescent="0.25">
      <c r="A1196" s="1" t="s">
        <v>2190</v>
      </c>
      <c r="B1196" s="1" t="s">
        <v>2191</v>
      </c>
    </row>
    <row r="1197" spans="1:2" x14ac:dyDescent="0.25">
      <c r="A1197" s="1" t="s">
        <v>2192</v>
      </c>
      <c r="B1197" s="1" t="s">
        <v>2193</v>
      </c>
    </row>
    <row r="1198" spans="1:2" x14ac:dyDescent="0.25">
      <c r="A1198" s="1" t="s">
        <v>2194</v>
      </c>
      <c r="B1198" s="1" t="s">
        <v>2195</v>
      </c>
    </row>
    <row r="1199" spans="1:2" x14ac:dyDescent="0.25">
      <c r="A1199" s="1" t="s">
        <v>2196</v>
      </c>
      <c r="B1199" s="1" t="s">
        <v>2197</v>
      </c>
    </row>
    <row r="1200" spans="1:2" x14ac:dyDescent="0.25">
      <c r="A1200" s="1" t="s">
        <v>2198</v>
      </c>
      <c r="B1200" s="1" t="s">
        <v>2199</v>
      </c>
    </row>
    <row r="1201" spans="1:2" x14ac:dyDescent="0.25">
      <c r="A1201" s="1" t="s">
        <v>2200</v>
      </c>
      <c r="B1201" s="1" t="s">
        <v>2201</v>
      </c>
    </row>
    <row r="1202" spans="1:2" x14ac:dyDescent="0.25">
      <c r="A1202" s="1" t="s">
        <v>2202</v>
      </c>
      <c r="B1202" s="1" t="s">
        <v>2203</v>
      </c>
    </row>
    <row r="1203" spans="1:2" x14ac:dyDescent="0.25">
      <c r="A1203" s="1" t="s">
        <v>2204</v>
      </c>
      <c r="B1203" s="1" t="s">
        <v>2205</v>
      </c>
    </row>
    <row r="1204" spans="1:2" x14ac:dyDescent="0.25">
      <c r="A1204" s="1" t="s">
        <v>2206</v>
      </c>
      <c r="B1204" s="1" t="s">
        <v>2207</v>
      </c>
    </row>
    <row r="1205" spans="1:2" x14ac:dyDescent="0.25">
      <c r="A1205" s="1" t="s">
        <v>2208</v>
      </c>
      <c r="B1205" s="1" t="s">
        <v>2209</v>
      </c>
    </row>
    <row r="1206" spans="1:2" x14ac:dyDescent="0.25">
      <c r="A1206" s="1" t="s">
        <v>2210</v>
      </c>
      <c r="B1206" s="1" t="s">
        <v>2211</v>
      </c>
    </row>
    <row r="1207" spans="1:2" x14ac:dyDescent="0.25">
      <c r="A1207" s="1" t="s">
        <v>2212</v>
      </c>
      <c r="B1207" s="1" t="s">
        <v>2213</v>
      </c>
    </row>
    <row r="1208" spans="1:2" x14ac:dyDescent="0.25">
      <c r="A1208" s="1" t="s">
        <v>266</v>
      </c>
      <c r="B1208" s="1" t="s">
        <v>2214</v>
      </c>
    </row>
    <row r="1209" spans="1:2" x14ac:dyDescent="0.25">
      <c r="A1209" s="1" t="s">
        <v>264</v>
      </c>
      <c r="B1209" s="1" t="s">
        <v>2215</v>
      </c>
    </row>
    <row r="1210" spans="1:2" x14ac:dyDescent="0.25">
      <c r="A1210" s="1" t="s">
        <v>2216</v>
      </c>
      <c r="B1210" s="1" t="s">
        <v>2217</v>
      </c>
    </row>
    <row r="1211" spans="1:2" x14ac:dyDescent="0.25">
      <c r="A1211" s="1" t="s">
        <v>253</v>
      </c>
      <c r="B1211" s="1" t="s">
        <v>2218</v>
      </c>
    </row>
    <row r="1212" spans="1:2" x14ac:dyDescent="0.25">
      <c r="A1212" s="1" t="s">
        <v>2219</v>
      </c>
      <c r="B1212" s="1" t="s">
        <v>2220</v>
      </c>
    </row>
    <row r="1213" spans="1:2" x14ac:dyDescent="0.25">
      <c r="A1213" s="1" t="s">
        <v>2221</v>
      </c>
      <c r="B1213" s="1" t="s">
        <v>2222</v>
      </c>
    </row>
    <row r="1214" spans="1:2" x14ac:dyDescent="0.25">
      <c r="A1214" s="1" t="s">
        <v>167</v>
      </c>
      <c r="B1214" s="1" t="s">
        <v>2223</v>
      </c>
    </row>
    <row r="1215" spans="1:2" x14ac:dyDescent="0.25">
      <c r="A1215" s="1" t="s">
        <v>2224</v>
      </c>
      <c r="B1215" s="1" t="s">
        <v>2225</v>
      </c>
    </row>
    <row r="1216" spans="1:2" x14ac:dyDescent="0.25">
      <c r="A1216" s="1" t="s">
        <v>2226</v>
      </c>
      <c r="B1216" s="1" t="s">
        <v>2227</v>
      </c>
    </row>
    <row r="1217" spans="1:2" x14ac:dyDescent="0.25">
      <c r="A1217" s="1" t="s">
        <v>2228</v>
      </c>
      <c r="B1217" s="1" t="s">
        <v>2229</v>
      </c>
    </row>
    <row r="1218" spans="1:2" x14ac:dyDescent="0.25">
      <c r="A1218" s="1" t="s">
        <v>2230</v>
      </c>
      <c r="B1218" s="1" t="s">
        <v>2231</v>
      </c>
    </row>
    <row r="1219" spans="1:2" x14ac:dyDescent="0.25">
      <c r="A1219" s="1" t="s">
        <v>2232</v>
      </c>
      <c r="B1219" s="1" t="s">
        <v>2233</v>
      </c>
    </row>
    <row r="1220" spans="1:2" x14ac:dyDescent="0.25">
      <c r="A1220" s="1" t="s">
        <v>2234</v>
      </c>
      <c r="B1220" s="1" t="s">
        <v>2235</v>
      </c>
    </row>
    <row r="1221" spans="1:2" x14ac:dyDescent="0.25">
      <c r="A1221" s="1" t="s">
        <v>2236</v>
      </c>
      <c r="B1221" s="1" t="s">
        <v>2237</v>
      </c>
    </row>
    <row r="1222" spans="1:2" x14ac:dyDescent="0.25">
      <c r="A1222" s="1" t="s">
        <v>2238</v>
      </c>
      <c r="B1222" s="1" t="s">
        <v>2239</v>
      </c>
    </row>
    <row r="1223" spans="1:2" x14ac:dyDescent="0.25">
      <c r="A1223" s="1" t="s">
        <v>2240</v>
      </c>
      <c r="B1223" s="1" t="s">
        <v>2241</v>
      </c>
    </row>
    <row r="1224" spans="1:2" x14ac:dyDescent="0.25">
      <c r="A1224" s="1" t="s">
        <v>2242</v>
      </c>
      <c r="B1224" s="1" t="s">
        <v>2243</v>
      </c>
    </row>
    <row r="1225" spans="1:2" x14ac:dyDescent="0.25">
      <c r="A1225" s="1" t="s">
        <v>2244</v>
      </c>
      <c r="B1225" s="1" t="s">
        <v>2245</v>
      </c>
    </row>
    <row r="1226" spans="1:2" x14ac:dyDescent="0.25">
      <c r="A1226" s="1" t="s">
        <v>2246</v>
      </c>
      <c r="B1226" s="1" t="s">
        <v>2247</v>
      </c>
    </row>
    <row r="1227" spans="1:2" x14ac:dyDescent="0.25">
      <c r="A1227" s="1" t="s">
        <v>2248</v>
      </c>
      <c r="B1227" s="1" t="s">
        <v>2249</v>
      </c>
    </row>
    <row r="1228" spans="1:2" x14ac:dyDescent="0.25">
      <c r="A1228" s="1" t="s">
        <v>2250</v>
      </c>
      <c r="B1228" s="1" t="s">
        <v>2251</v>
      </c>
    </row>
    <row r="1229" spans="1:2" x14ac:dyDescent="0.25">
      <c r="A1229" s="1" t="s">
        <v>2252</v>
      </c>
      <c r="B1229" s="1" t="s">
        <v>2253</v>
      </c>
    </row>
    <row r="1230" spans="1:2" x14ac:dyDescent="0.25">
      <c r="A1230" s="1" t="s">
        <v>2254</v>
      </c>
      <c r="B1230" s="1" t="s">
        <v>2255</v>
      </c>
    </row>
    <row r="1231" spans="1:2" x14ac:dyDescent="0.25">
      <c r="A1231" s="1" t="s">
        <v>2256</v>
      </c>
      <c r="B1231" s="1" t="s">
        <v>2257</v>
      </c>
    </row>
    <row r="1232" spans="1:2" x14ac:dyDescent="0.25">
      <c r="A1232" s="1" t="s">
        <v>2258</v>
      </c>
      <c r="B1232" s="1" t="s">
        <v>2259</v>
      </c>
    </row>
    <row r="1233" spans="1:2" x14ac:dyDescent="0.25">
      <c r="A1233" s="1" t="s">
        <v>2260</v>
      </c>
      <c r="B1233" s="1" t="s">
        <v>2261</v>
      </c>
    </row>
    <row r="1234" spans="1:2" x14ac:dyDescent="0.25">
      <c r="A1234" s="1" t="s">
        <v>2262</v>
      </c>
      <c r="B1234" s="1" t="s">
        <v>2263</v>
      </c>
    </row>
    <row r="1235" spans="1:2" x14ac:dyDescent="0.25">
      <c r="A1235" s="1" t="s">
        <v>2264</v>
      </c>
      <c r="B1235" s="1" t="s">
        <v>2265</v>
      </c>
    </row>
    <row r="1236" spans="1:2" x14ac:dyDescent="0.25">
      <c r="A1236" s="1" t="s">
        <v>2266</v>
      </c>
      <c r="B1236" s="1" t="s">
        <v>2267</v>
      </c>
    </row>
    <row r="1237" spans="1:2" x14ac:dyDescent="0.25">
      <c r="A1237" s="1" t="s">
        <v>2268</v>
      </c>
      <c r="B1237" s="1" t="s">
        <v>2269</v>
      </c>
    </row>
    <row r="1238" spans="1:2" x14ac:dyDescent="0.25">
      <c r="A1238" s="1" t="s">
        <v>2270</v>
      </c>
      <c r="B1238" s="1" t="s">
        <v>2271</v>
      </c>
    </row>
    <row r="1239" spans="1:2" x14ac:dyDescent="0.25">
      <c r="A1239" s="1" t="s">
        <v>2272</v>
      </c>
      <c r="B1239" s="1" t="s">
        <v>2273</v>
      </c>
    </row>
    <row r="1240" spans="1:2" x14ac:dyDescent="0.25">
      <c r="A1240" s="1" t="s">
        <v>2274</v>
      </c>
      <c r="B1240" s="1" t="s">
        <v>2275</v>
      </c>
    </row>
    <row r="1241" spans="1:2" x14ac:dyDescent="0.25">
      <c r="A1241" s="1" t="s">
        <v>2276</v>
      </c>
      <c r="B1241" s="1" t="s">
        <v>2277</v>
      </c>
    </row>
    <row r="1242" spans="1:2" x14ac:dyDescent="0.25">
      <c r="A1242" s="1" t="s">
        <v>2278</v>
      </c>
      <c r="B1242" s="1" t="s">
        <v>2279</v>
      </c>
    </row>
    <row r="1243" spans="1:2" x14ac:dyDescent="0.25">
      <c r="A1243" s="1" t="s">
        <v>2280</v>
      </c>
      <c r="B1243" s="1" t="s">
        <v>2281</v>
      </c>
    </row>
    <row r="1244" spans="1:2" x14ac:dyDescent="0.25">
      <c r="A1244" s="1" t="s">
        <v>2282</v>
      </c>
      <c r="B1244" s="1" t="s">
        <v>2283</v>
      </c>
    </row>
    <row r="1245" spans="1:2" x14ac:dyDescent="0.25">
      <c r="A1245" s="1" t="s">
        <v>2282</v>
      </c>
      <c r="B1245" s="1" t="s">
        <v>2284</v>
      </c>
    </row>
    <row r="1246" spans="1:2" x14ac:dyDescent="0.25">
      <c r="A1246" s="1" t="s">
        <v>2285</v>
      </c>
      <c r="B1246" s="1" t="s">
        <v>2286</v>
      </c>
    </row>
    <row r="1247" spans="1:2" x14ac:dyDescent="0.25">
      <c r="A1247" s="1" t="s">
        <v>2287</v>
      </c>
      <c r="B1247" s="1" t="s">
        <v>2288</v>
      </c>
    </row>
    <row r="1248" spans="1:2" x14ac:dyDescent="0.25">
      <c r="A1248" s="1" t="s">
        <v>2289</v>
      </c>
      <c r="B1248" s="1" t="s">
        <v>2290</v>
      </c>
    </row>
    <row r="1249" spans="1:2" x14ac:dyDescent="0.25">
      <c r="A1249" s="1" t="s">
        <v>2291</v>
      </c>
      <c r="B1249" s="1" t="s">
        <v>2292</v>
      </c>
    </row>
    <row r="1250" spans="1:2" x14ac:dyDescent="0.25">
      <c r="A1250" s="1" t="s">
        <v>2293</v>
      </c>
      <c r="B1250" s="1" t="s">
        <v>2294</v>
      </c>
    </row>
    <row r="1251" spans="1:2" x14ac:dyDescent="0.25">
      <c r="A1251" s="1" t="s">
        <v>2295</v>
      </c>
      <c r="B1251" s="1" t="s">
        <v>2296</v>
      </c>
    </row>
    <row r="1252" spans="1:2" x14ac:dyDescent="0.25">
      <c r="A1252" s="1" t="s">
        <v>2297</v>
      </c>
      <c r="B1252" s="1" t="s">
        <v>2298</v>
      </c>
    </row>
    <row r="1253" spans="1:2" x14ac:dyDescent="0.25">
      <c r="A1253" s="1" t="s">
        <v>2299</v>
      </c>
      <c r="B1253" s="1" t="s">
        <v>2300</v>
      </c>
    </row>
    <row r="1254" spans="1:2" x14ac:dyDescent="0.25">
      <c r="A1254" s="1" t="s">
        <v>2301</v>
      </c>
      <c r="B1254" s="1" t="s">
        <v>2302</v>
      </c>
    </row>
    <row r="1255" spans="1:2" x14ac:dyDescent="0.25">
      <c r="A1255" s="1" t="s">
        <v>253</v>
      </c>
      <c r="B1255" s="1" t="s">
        <v>2303</v>
      </c>
    </row>
    <row r="1256" spans="1:2" x14ac:dyDescent="0.25">
      <c r="A1256" s="1" t="s">
        <v>2304</v>
      </c>
      <c r="B1256" s="1" t="s">
        <v>2305</v>
      </c>
    </row>
    <row r="1257" spans="1:2" x14ac:dyDescent="0.25">
      <c r="A1257" s="1" t="s">
        <v>266</v>
      </c>
      <c r="B1257" s="1" t="s">
        <v>2306</v>
      </c>
    </row>
    <row r="1258" spans="1:2" x14ac:dyDescent="0.25">
      <c r="A1258" s="1" t="s">
        <v>264</v>
      </c>
      <c r="B1258" s="1" t="s">
        <v>2307</v>
      </c>
    </row>
    <row r="1259" spans="1:2" x14ac:dyDescent="0.25">
      <c r="A1259" s="1" t="s">
        <v>2308</v>
      </c>
      <c r="B1259" s="1" t="s">
        <v>2309</v>
      </c>
    </row>
    <row r="1260" spans="1:2" x14ac:dyDescent="0.25">
      <c r="A1260" s="1" t="s">
        <v>2310</v>
      </c>
      <c r="B1260" s="1" t="s">
        <v>2311</v>
      </c>
    </row>
    <row r="1261" spans="1:2" x14ac:dyDescent="0.25">
      <c r="A1261" s="1" t="s">
        <v>2312</v>
      </c>
      <c r="B1261" s="1" t="s">
        <v>2313</v>
      </c>
    </row>
    <row r="1262" spans="1:2" x14ac:dyDescent="0.25">
      <c r="A1262" s="1" t="s">
        <v>2314</v>
      </c>
      <c r="B1262" s="1" t="s">
        <v>2315</v>
      </c>
    </row>
    <row r="1263" spans="1:2" x14ac:dyDescent="0.25">
      <c r="A1263" s="1" t="s">
        <v>1715</v>
      </c>
      <c r="B1263" s="1" t="s">
        <v>2316</v>
      </c>
    </row>
    <row r="1264" spans="1:2" x14ac:dyDescent="0.25">
      <c r="A1264" s="1" t="s">
        <v>2317</v>
      </c>
      <c r="B1264" s="1" t="s">
        <v>2318</v>
      </c>
    </row>
    <row r="1265" spans="1:2" x14ac:dyDescent="0.25">
      <c r="A1265" s="1" t="s">
        <v>2319</v>
      </c>
      <c r="B1265" s="1" t="s">
        <v>2320</v>
      </c>
    </row>
    <row r="1266" spans="1:2" x14ac:dyDescent="0.25">
      <c r="A1266" s="1" t="s">
        <v>2321</v>
      </c>
      <c r="B1266" s="1" t="s">
        <v>2322</v>
      </c>
    </row>
    <row r="1267" spans="1:2" x14ac:dyDescent="0.25">
      <c r="A1267" s="1" t="s">
        <v>2323</v>
      </c>
      <c r="B1267" s="1" t="s">
        <v>2324</v>
      </c>
    </row>
    <row r="1268" spans="1:2" x14ac:dyDescent="0.25">
      <c r="A1268" s="1" t="s">
        <v>2325</v>
      </c>
      <c r="B1268" s="1" t="s">
        <v>2326</v>
      </c>
    </row>
    <row r="1269" spans="1:2" x14ac:dyDescent="0.25">
      <c r="A1269" s="1" t="s">
        <v>2327</v>
      </c>
      <c r="B1269" s="1" t="s">
        <v>2328</v>
      </c>
    </row>
    <row r="1270" spans="1:2" x14ac:dyDescent="0.25">
      <c r="A1270" s="1" t="s">
        <v>2329</v>
      </c>
      <c r="B1270" s="1" t="s">
        <v>2330</v>
      </c>
    </row>
    <row r="1271" spans="1:2" x14ac:dyDescent="0.25">
      <c r="A1271" s="1" t="s">
        <v>2331</v>
      </c>
      <c r="B1271" s="1" t="s">
        <v>2332</v>
      </c>
    </row>
    <row r="1272" spans="1:2" x14ac:dyDescent="0.25">
      <c r="A1272" s="1" t="s">
        <v>2333</v>
      </c>
      <c r="B1272" s="1" t="s">
        <v>2334</v>
      </c>
    </row>
    <row r="1273" spans="1:2" x14ac:dyDescent="0.25">
      <c r="A1273" s="1" t="s">
        <v>2335</v>
      </c>
      <c r="B1273" s="1" t="s">
        <v>2336</v>
      </c>
    </row>
    <row r="1274" spans="1:2" x14ac:dyDescent="0.25">
      <c r="A1274" s="1" t="s">
        <v>2337</v>
      </c>
      <c r="B1274" s="1" t="s">
        <v>2338</v>
      </c>
    </row>
    <row r="1275" spans="1:2" x14ac:dyDescent="0.25">
      <c r="A1275" s="1" t="s">
        <v>2339</v>
      </c>
      <c r="B1275" s="1" t="s">
        <v>2340</v>
      </c>
    </row>
    <row r="1276" spans="1:2" x14ac:dyDescent="0.25">
      <c r="A1276" s="1" t="s">
        <v>2341</v>
      </c>
      <c r="B1276" s="1" t="s">
        <v>2342</v>
      </c>
    </row>
    <row r="1277" spans="1:2" x14ac:dyDescent="0.25">
      <c r="A1277" s="1" t="s">
        <v>2343</v>
      </c>
      <c r="B1277" s="1" t="s">
        <v>2344</v>
      </c>
    </row>
    <row r="1278" spans="1:2" x14ac:dyDescent="0.25">
      <c r="A1278" s="1" t="s">
        <v>2345</v>
      </c>
      <c r="B1278" s="1" t="s">
        <v>2346</v>
      </c>
    </row>
    <row r="1279" spans="1:2" x14ac:dyDescent="0.25">
      <c r="A1279" s="1" t="s">
        <v>2347</v>
      </c>
      <c r="B1279" s="1" t="s">
        <v>2348</v>
      </c>
    </row>
    <row r="1280" spans="1:2" x14ac:dyDescent="0.25">
      <c r="A1280" s="1" t="s">
        <v>2349</v>
      </c>
      <c r="B1280" s="1" t="s">
        <v>2350</v>
      </c>
    </row>
    <row r="1281" spans="1:2" x14ac:dyDescent="0.25">
      <c r="A1281" s="1" t="s">
        <v>2351</v>
      </c>
      <c r="B1281" s="1" t="s">
        <v>2352</v>
      </c>
    </row>
    <row r="1282" spans="1:2" x14ac:dyDescent="0.25">
      <c r="A1282" s="1" t="s">
        <v>2353</v>
      </c>
      <c r="B1282" s="1" t="s">
        <v>2354</v>
      </c>
    </row>
    <row r="1283" spans="1:2" x14ac:dyDescent="0.25">
      <c r="A1283" s="1" t="s">
        <v>2355</v>
      </c>
      <c r="B1283" s="1" t="s">
        <v>2356</v>
      </c>
    </row>
    <row r="1284" spans="1:2" x14ac:dyDescent="0.25">
      <c r="A1284" s="1" t="s">
        <v>2357</v>
      </c>
      <c r="B1284" s="1" t="s">
        <v>2358</v>
      </c>
    </row>
    <row r="1285" spans="1:2" x14ac:dyDescent="0.25">
      <c r="A1285" s="1" t="s">
        <v>2359</v>
      </c>
      <c r="B1285" s="1" t="s">
        <v>2360</v>
      </c>
    </row>
    <row r="1286" spans="1:2" x14ac:dyDescent="0.25">
      <c r="A1286" s="1" t="s">
        <v>14</v>
      </c>
      <c r="B1286" s="1" t="s">
        <v>2361</v>
      </c>
    </row>
    <row r="1287" spans="1:2" x14ac:dyDescent="0.25">
      <c r="A1287" s="1" t="s">
        <v>253</v>
      </c>
      <c r="B1287" s="1" t="s">
        <v>2362</v>
      </c>
    </row>
    <row r="1288" spans="1:2" x14ac:dyDescent="0.25">
      <c r="A1288" s="1" t="s">
        <v>167</v>
      </c>
      <c r="B1288" s="1" t="s">
        <v>2363</v>
      </c>
    </row>
    <row r="1289" spans="1:2" x14ac:dyDescent="0.25">
      <c r="A1289" s="1" t="s">
        <v>264</v>
      </c>
      <c r="B1289" s="1" t="s">
        <v>2364</v>
      </c>
    </row>
    <row r="1290" spans="1:2" x14ac:dyDescent="0.25">
      <c r="A1290" s="1" t="s">
        <v>434</v>
      </c>
      <c r="B1290" s="1" t="s">
        <v>2365</v>
      </c>
    </row>
    <row r="1291" spans="1:2" x14ac:dyDescent="0.25">
      <c r="A1291" s="1" t="s">
        <v>2366</v>
      </c>
      <c r="B1291" s="1" t="s">
        <v>2367</v>
      </c>
    </row>
    <row r="1292" spans="1:2" x14ac:dyDescent="0.25">
      <c r="A1292" s="1" t="s">
        <v>2368</v>
      </c>
      <c r="B1292" s="1" t="s">
        <v>2369</v>
      </c>
    </row>
    <row r="1293" spans="1:2" x14ac:dyDescent="0.25">
      <c r="A1293" s="1" t="s">
        <v>2370</v>
      </c>
      <c r="B1293" s="1" t="s">
        <v>2371</v>
      </c>
    </row>
    <row r="1294" spans="1:2" x14ac:dyDescent="0.25">
      <c r="A1294" s="1" t="s">
        <v>2372</v>
      </c>
      <c r="B1294" s="1" t="s">
        <v>2373</v>
      </c>
    </row>
    <row r="1295" spans="1:2" x14ac:dyDescent="0.25">
      <c r="A1295" s="1" t="s">
        <v>2374</v>
      </c>
      <c r="B1295" s="1" t="s">
        <v>2375</v>
      </c>
    </row>
    <row r="1296" spans="1:2" x14ac:dyDescent="0.25">
      <c r="A1296" s="1" t="s">
        <v>2376</v>
      </c>
      <c r="B1296" s="1" t="s">
        <v>2377</v>
      </c>
    </row>
    <row r="1297" spans="1:2" x14ac:dyDescent="0.25">
      <c r="A1297" s="1" t="s">
        <v>2378</v>
      </c>
      <c r="B1297" s="1" t="s">
        <v>2379</v>
      </c>
    </row>
    <row r="1298" spans="1:2" x14ac:dyDescent="0.25">
      <c r="A1298" s="1" t="s">
        <v>2380</v>
      </c>
      <c r="B1298" s="1" t="s">
        <v>2381</v>
      </c>
    </row>
    <row r="1299" spans="1:2" x14ac:dyDescent="0.25">
      <c r="A1299" s="1" t="s">
        <v>2382</v>
      </c>
      <c r="B1299" s="1" t="s">
        <v>2383</v>
      </c>
    </row>
    <row r="1300" spans="1:2" x14ac:dyDescent="0.25">
      <c r="A1300" s="1" t="s">
        <v>14</v>
      </c>
      <c r="B1300" s="1" t="s">
        <v>2384</v>
      </c>
    </row>
    <row r="1301" spans="1:2" x14ac:dyDescent="0.25">
      <c r="A1301" s="1" t="s">
        <v>253</v>
      </c>
      <c r="B1301" s="1" t="s">
        <v>2385</v>
      </c>
    </row>
    <row r="1302" spans="1:2" x14ac:dyDescent="0.25">
      <c r="A1302" s="1" t="s">
        <v>292</v>
      </c>
      <c r="B1302" s="1" t="s">
        <v>2386</v>
      </c>
    </row>
    <row r="1303" spans="1:2" x14ac:dyDescent="0.25">
      <c r="A1303" s="1" t="s">
        <v>436</v>
      </c>
      <c r="B1303" s="1" t="s">
        <v>2387</v>
      </c>
    </row>
    <row r="1304" spans="1:2" x14ac:dyDescent="0.25">
      <c r="A1304" s="1" t="s">
        <v>2388</v>
      </c>
      <c r="B1304" s="1" t="s">
        <v>2389</v>
      </c>
    </row>
    <row r="1305" spans="1:2" x14ac:dyDescent="0.25">
      <c r="A1305" s="1" t="s">
        <v>2390</v>
      </c>
      <c r="B1305" s="1" t="s">
        <v>2391</v>
      </c>
    </row>
    <row r="1306" spans="1:2" x14ac:dyDescent="0.25">
      <c r="A1306" s="1" t="s">
        <v>2392</v>
      </c>
      <c r="B1306" s="1" t="s">
        <v>2393</v>
      </c>
    </row>
    <row r="1307" spans="1:2" x14ac:dyDescent="0.25">
      <c r="A1307" s="1" t="s">
        <v>2394</v>
      </c>
      <c r="B1307" s="1" t="s">
        <v>2395</v>
      </c>
    </row>
    <row r="1308" spans="1:2" x14ac:dyDescent="0.25">
      <c r="A1308" s="1" t="s">
        <v>2396</v>
      </c>
      <c r="B1308" s="1" t="s">
        <v>2397</v>
      </c>
    </row>
    <row r="1309" spans="1:2" x14ac:dyDescent="0.25">
      <c r="A1309" s="1" t="s">
        <v>2398</v>
      </c>
      <c r="B1309" s="1" t="s">
        <v>2399</v>
      </c>
    </row>
    <row r="1310" spans="1:2" x14ac:dyDescent="0.25">
      <c r="A1310" s="1" t="s">
        <v>2400</v>
      </c>
      <c r="B1310" s="1" t="s">
        <v>2401</v>
      </c>
    </row>
    <row r="1311" spans="1:2" x14ac:dyDescent="0.25">
      <c r="A1311" s="1" t="s">
        <v>2402</v>
      </c>
      <c r="B1311" s="1" t="s">
        <v>2403</v>
      </c>
    </row>
    <row r="1312" spans="1:2" x14ac:dyDescent="0.25">
      <c r="A1312" s="1" t="s">
        <v>2404</v>
      </c>
      <c r="B1312" s="1" t="s">
        <v>2405</v>
      </c>
    </row>
    <row r="1313" spans="1:2" x14ac:dyDescent="0.25">
      <c r="A1313" s="1" t="s">
        <v>2406</v>
      </c>
      <c r="B1313" s="1" t="s">
        <v>2407</v>
      </c>
    </row>
    <row r="1314" spans="1:2" x14ac:dyDescent="0.25">
      <c r="A1314" s="1" t="s">
        <v>2007</v>
      </c>
      <c r="B1314" s="1" t="s">
        <v>2408</v>
      </c>
    </row>
    <row r="1315" spans="1:2" x14ac:dyDescent="0.25">
      <c r="A1315" s="1" t="s">
        <v>2409</v>
      </c>
      <c r="B1315" s="1" t="s">
        <v>2410</v>
      </c>
    </row>
    <row r="1316" spans="1:2" x14ac:dyDescent="0.25">
      <c r="A1316" s="1" t="s">
        <v>2411</v>
      </c>
      <c r="B1316" s="1" t="s">
        <v>2412</v>
      </c>
    </row>
    <row r="1317" spans="1:2" x14ac:dyDescent="0.25">
      <c r="A1317" s="1" t="s">
        <v>2413</v>
      </c>
      <c r="B1317" s="1" t="s">
        <v>2414</v>
      </c>
    </row>
    <row r="1318" spans="1:2" x14ac:dyDescent="0.25">
      <c r="A1318" s="1" t="s">
        <v>2415</v>
      </c>
      <c r="B1318" s="1" t="s">
        <v>2416</v>
      </c>
    </row>
    <row r="1319" spans="1:2" x14ac:dyDescent="0.25">
      <c r="A1319" s="1" t="s">
        <v>264</v>
      </c>
      <c r="B1319" s="1" t="s">
        <v>2417</v>
      </c>
    </row>
    <row r="1320" spans="1:2" x14ac:dyDescent="0.25">
      <c r="A1320" s="1" t="s">
        <v>90</v>
      </c>
      <c r="B1320" s="1" t="s">
        <v>2418</v>
      </c>
    </row>
    <row r="1321" spans="1:2" x14ac:dyDescent="0.25">
      <c r="A1321" s="1" t="s">
        <v>2419</v>
      </c>
      <c r="B1321" s="1" t="s">
        <v>2420</v>
      </c>
    </row>
    <row r="1322" spans="1:2" x14ac:dyDescent="0.25">
      <c r="A1322" s="1" t="s">
        <v>2421</v>
      </c>
      <c r="B1322" s="1" t="s">
        <v>2422</v>
      </c>
    </row>
    <row r="1323" spans="1:2" x14ac:dyDescent="0.25">
      <c r="A1323" s="1" t="s">
        <v>2423</v>
      </c>
      <c r="B1323" s="1" t="s">
        <v>2424</v>
      </c>
    </row>
    <row r="1324" spans="1:2" x14ac:dyDescent="0.25">
      <c r="A1324" s="1" t="s">
        <v>2425</v>
      </c>
      <c r="B1324" s="1" t="s">
        <v>2426</v>
      </c>
    </row>
    <row r="1325" spans="1:2" x14ac:dyDescent="0.25">
      <c r="A1325" s="1" t="s">
        <v>2427</v>
      </c>
      <c r="B1325" s="1" t="s">
        <v>2428</v>
      </c>
    </row>
    <row r="1326" spans="1:2" x14ac:dyDescent="0.25">
      <c r="A1326" s="1" t="s">
        <v>2429</v>
      </c>
      <c r="B1326" s="1" t="s">
        <v>2430</v>
      </c>
    </row>
    <row r="1327" spans="1:2" x14ac:dyDescent="0.25">
      <c r="A1327" s="1" t="s">
        <v>2431</v>
      </c>
      <c r="B1327" s="1" t="s">
        <v>2432</v>
      </c>
    </row>
    <row r="1328" spans="1:2" x14ac:dyDescent="0.25">
      <c r="A1328" s="1" t="s">
        <v>562</v>
      </c>
      <c r="B1328" s="1" t="s">
        <v>2433</v>
      </c>
    </row>
    <row r="1329" spans="1:2" x14ac:dyDescent="0.25">
      <c r="A1329" s="1" t="s">
        <v>2434</v>
      </c>
      <c r="B1329" s="1" t="s">
        <v>2435</v>
      </c>
    </row>
    <row r="1330" spans="1:2" x14ac:dyDescent="0.25">
      <c r="A1330" s="1" t="s">
        <v>2436</v>
      </c>
      <c r="B1330" s="1" t="s">
        <v>2437</v>
      </c>
    </row>
    <row r="1331" spans="1:2" x14ac:dyDescent="0.25">
      <c r="A1331" s="1" t="s">
        <v>2438</v>
      </c>
      <c r="B1331" s="1" t="s">
        <v>2439</v>
      </c>
    </row>
    <row r="1332" spans="1:2" x14ac:dyDescent="0.25">
      <c r="A1332" s="1" t="s">
        <v>2440</v>
      </c>
      <c r="B1332" s="1" t="s">
        <v>2441</v>
      </c>
    </row>
    <row r="1333" spans="1:2" x14ac:dyDescent="0.25">
      <c r="A1333" s="1" t="s">
        <v>2442</v>
      </c>
      <c r="B1333" s="1" t="s">
        <v>2443</v>
      </c>
    </row>
    <row r="1334" spans="1:2" x14ac:dyDescent="0.25">
      <c r="A1334" s="1" t="s">
        <v>2444</v>
      </c>
      <c r="B1334" s="1" t="s">
        <v>2445</v>
      </c>
    </row>
    <row r="1335" spans="1:2" x14ac:dyDescent="0.25">
      <c r="A1335" s="1" t="s">
        <v>302</v>
      </c>
      <c r="B1335" s="1" t="s">
        <v>2446</v>
      </c>
    </row>
    <row r="1336" spans="1:2" x14ac:dyDescent="0.25">
      <c r="A1336" s="1" t="s">
        <v>2447</v>
      </c>
      <c r="B1336" s="1" t="s">
        <v>2448</v>
      </c>
    </row>
    <row r="1337" spans="1:2" x14ac:dyDescent="0.25">
      <c r="A1337" s="1" t="s">
        <v>76</v>
      </c>
      <c r="B1337" s="1" t="s">
        <v>2449</v>
      </c>
    </row>
    <row r="1338" spans="1:2" x14ac:dyDescent="0.25">
      <c r="A1338" s="1" t="s">
        <v>253</v>
      </c>
      <c r="B1338" s="1" t="s">
        <v>2450</v>
      </c>
    </row>
    <row r="1339" spans="1:2" x14ac:dyDescent="0.25">
      <c r="A1339" s="1" t="s">
        <v>1091</v>
      </c>
      <c r="B1339" s="1" t="s">
        <v>2451</v>
      </c>
    </row>
    <row r="1340" spans="1:2" x14ac:dyDescent="0.25">
      <c r="A1340" s="1" t="s">
        <v>90</v>
      </c>
      <c r="B1340" s="1" t="s">
        <v>2452</v>
      </c>
    </row>
    <row r="1341" spans="1:2" x14ac:dyDescent="0.25">
      <c r="A1341" s="1" t="s">
        <v>334</v>
      </c>
      <c r="B1341" s="1" t="s">
        <v>2453</v>
      </c>
    </row>
    <row r="1342" spans="1:2" x14ac:dyDescent="0.25">
      <c r="A1342" s="1" t="s">
        <v>2454</v>
      </c>
      <c r="B1342" s="1" t="s">
        <v>2455</v>
      </c>
    </row>
    <row r="1343" spans="1:2" x14ac:dyDescent="0.25">
      <c r="A1343" s="1" t="s">
        <v>2456</v>
      </c>
      <c r="B1343" s="1" t="s">
        <v>2457</v>
      </c>
    </row>
    <row r="1344" spans="1:2" x14ac:dyDescent="0.25">
      <c r="A1344" s="1" t="s">
        <v>2458</v>
      </c>
      <c r="B1344" s="1" t="s">
        <v>2459</v>
      </c>
    </row>
    <row r="1345" spans="1:2" x14ac:dyDescent="0.25">
      <c r="A1345" s="1" t="s">
        <v>1161</v>
      </c>
      <c r="B1345" s="1" t="s">
        <v>2460</v>
      </c>
    </row>
    <row r="1346" spans="1:2" x14ac:dyDescent="0.25">
      <c r="A1346" s="1" t="s">
        <v>2461</v>
      </c>
      <c r="B1346" s="1" t="s">
        <v>2462</v>
      </c>
    </row>
    <row r="1347" spans="1:2" x14ac:dyDescent="0.25">
      <c r="A1347" s="1" t="s">
        <v>970</v>
      </c>
      <c r="B1347" s="1" t="s">
        <v>2463</v>
      </c>
    </row>
    <row r="1348" spans="1:2" x14ac:dyDescent="0.25">
      <c r="A1348" s="1" t="s">
        <v>835</v>
      </c>
      <c r="B1348" s="1" t="s">
        <v>2464</v>
      </c>
    </row>
    <row r="1349" spans="1:2" x14ac:dyDescent="0.25">
      <c r="A1349" s="1" t="s">
        <v>2465</v>
      </c>
      <c r="B1349" s="1" t="s">
        <v>2466</v>
      </c>
    </row>
    <row r="1350" spans="1:2" x14ac:dyDescent="0.25">
      <c r="A1350" s="1" t="s">
        <v>2467</v>
      </c>
      <c r="B1350" s="1" t="s">
        <v>2468</v>
      </c>
    </row>
    <row r="1351" spans="1:2" x14ac:dyDescent="0.25">
      <c r="A1351" s="1" t="s">
        <v>2469</v>
      </c>
      <c r="B1351" s="1" t="s">
        <v>2470</v>
      </c>
    </row>
    <row r="1352" spans="1:2" x14ac:dyDescent="0.25">
      <c r="A1352" s="1" t="s">
        <v>441</v>
      </c>
      <c r="B1352" s="1" t="s">
        <v>2471</v>
      </c>
    </row>
    <row r="1353" spans="1:2" x14ac:dyDescent="0.25">
      <c r="A1353" s="1" t="s">
        <v>2472</v>
      </c>
      <c r="B1353" s="1" t="s">
        <v>2473</v>
      </c>
    </row>
    <row r="1354" spans="1:2" x14ac:dyDescent="0.25">
      <c r="A1354" s="1" t="s">
        <v>2474</v>
      </c>
      <c r="B1354" s="1" t="s">
        <v>2475</v>
      </c>
    </row>
    <row r="1355" spans="1:2" x14ac:dyDescent="0.25">
      <c r="A1355" s="1" t="s">
        <v>2476</v>
      </c>
      <c r="B1355" s="1" t="s">
        <v>2477</v>
      </c>
    </row>
    <row r="1356" spans="1:2" x14ac:dyDescent="0.25">
      <c r="A1356" s="1" t="s">
        <v>621</v>
      </c>
      <c r="B1356" s="1" t="s">
        <v>2478</v>
      </c>
    </row>
    <row r="1357" spans="1:2" x14ac:dyDescent="0.25">
      <c r="A1357" s="1" t="s">
        <v>264</v>
      </c>
      <c r="B1357" s="1" t="s">
        <v>2479</v>
      </c>
    </row>
    <row r="1358" spans="1:2" x14ac:dyDescent="0.25">
      <c r="A1358" s="1" t="s">
        <v>774</v>
      </c>
      <c r="B1358" s="1" t="s">
        <v>2480</v>
      </c>
    </row>
    <row r="1359" spans="1:2" x14ac:dyDescent="0.25">
      <c r="A1359" s="1" t="s">
        <v>2481</v>
      </c>
      <c r="B1359" s="1" t="s">
        <v>2482</v>
      </c>
    </row>
    <row r="1360" spans="1:2" x14ac:dyDescent="0.25">
      <c r="A1360" s="1" t="s">
        <v>334</v>
      </c>
      <c r="B1360" s="1" t="s">
        <v>2483</v>
      </c>
    </row>
    <row r="1361" spans="1:2" x14ac:dyDescent="0.25">
      <c r="A1361" s="1" t="s">
        <v>2484</v>
      </c>
      <c r="B1361" s="1" t="s">
        <v>2485</v>
      </c>
    </row>
    <row r="1362" spans="1:2" x14ac:dyDescent="0.25">
      <c r="A1362" s="1" t="s">
        <v>2486</v>
      </c>
      <c r="B1362" s="1" t="s">
        <v>2487</v>
      </c>
    </row>
    <row r="1363" spans="1:2" x14ac:dyDescent="0.25">
      <c r="A1363" s="1" t="s">
        <v>2488</v>
      </c>
      <c r="B1363" s="1" t="s">
        <v>2489</v>
      </c>
    </row>
    <row r="1364" spans="1:2" x14ac:dyDescent="0.25">
      <c r="A1364" s="1" t="s">
        <v>2490</v>
      </c>
      <c r="B1364" s="1" t="s">
        <v>2491</v>
      </c>
    </row>
    <row r="1365" spans="1:2" x14ac:dyDescent="0.25">
      <c r="A1365" s="1" t="s">
        <v>2492</v>
      </c>
      <c r="B1365" s="1" t="s">
        <v>2493</v>
      </c>
    </row>
    <row r="1366" spans="1:2" x14ac:dyDescent="0.25">
      <c r="A1366" s="1" t="s">
        <v>360</v>
      </c>
      <c r="B1366" s="1" t="s">
        <v>2494</v>
      </c>
    </row>
    <row r="1367" spans="1:2" x14ac:dyDescent="0.25">
      <c r="A1367" s="1" t="s">
        <v>2495</v>
      </c>
      <c r="B1367" s="1" t="s">
        <v>2496</v>
      </c>
    </row>
    <row r="1368" spans="1:2" x14ac:dyDescent="0.25">
      <c r="A1368" s="1" t="s">
        <v>1018</v>
      </c>
      <c r="B1368" s="1" t="s">
        <v>2497</v>
      </c>
    </row>
    <row r="1369" spans="1:2" x14ac:dyDescent="0.25">
      <c r="A1369" s="1" t="s">
        <v>2498</v>
      </c>
      <c r="B1369" s="1" t="s">
        <v>2499</v>
      </c>
    </row>
    <row r="1370" spans="1:2" x14ac:dyDescent="0.25">
      <c r="A1370" s="1" t="s">
        <v>2500</v>
      </c>
      <c r="B1370" s="1" t="s">
        <v>2501</v>
      </c>
    </row>
    <row r="1371" spans="1:2" x14ac:dyDescent="0.25">
      <c r="A1371" s="1" t="s">
        <v>2502</v>
      </c>
      <c r="B1371" s="1" t="s">
        <v>2503</v>
      </c>
    </row>
    <row r="1372" spans="1:2" x14ac:dyDescent="0.25">
      <c r="A1372" s="1" t="s">
        <v>2504</v>
      </c>
      <c r="B1372" s="1" t="s">
        <v>2505</v>
      </c>
    </row>
    <row r="1373" spans="1:2" x14ac:dyDescent="0.25">
      <c r="A1373" s="1" t="s">
        <v>2506</v>
      </c>
      <c r="B1373" s="1" t="s">
        <v>2507</v>
      </c>
    </row>
    <row r="1374" spans="1:2" x14ac:dyDescent="0.25">
      <c r="A1374" s="1" t="s">
        <v>2508</v>
      </c>
      <c r="B1374" s="1" t="s">
        <v>2509</v>
      </c>
    </row>
    <row r="1375" spans="1:2" x14ac:dyDescent="0.25">
      <c r="A1375" s="1" t="s">
        <v>2510</v>
      </c>
      <c r="B1375" s="1" t="s">
        <v>2511</v>
      </c>
    </row>
    <row r="1376" spans="1:2" x14ac:dyDescent="0.25">
      <c r="A1376" s="1" t="s">
        <v>2512</v>
      </c>
      <c r="B1376" s="1" t="s">
        <v>2513</v>
      </c>
    </row>
    <row r="1377" spans="1:2" x14ac:dyDescent="0.25">
      <c r="A1377" s="1" t="s">
        <v>2514</v>
      </c>
      <c r="B1377" s="1" t="s">
        <v>2515</v>
      </c>
    </row>
    <row r="1378" spans="1:2" x14ac:dyDescent="0.25">
      <c r="A1378" s="1" t="s">
        <v>2516</v>
      </c>
      <c r="B1378" s="1" t="s">
        <v>2517</v>
      </c>
    </row>
    <row r="1379" spans="1:2" x14ac:dyDescent="0.25">
      <c r="A1379" s="1" t="s">
        <v>2518</v>
      </c>
      <c r="B1379" s="1" t="s">
        <v>2519</v>
      </c>
    </row>
    <row r="1380" spans="1:2" x14ac:dyDescent="0.25">
      <c r="A1380" s="1" t="s">
        <v>2520</v>
      </c>
      <c r="B1380" s="1" t="s">
        <v>2521</v>
      </c>
    </row>
    <row r="1381" spans="1:2" x14ac:dyDescent="0.25">
      <c r="A1381" s="1" t="s">
        <v>2522</v>
      </c>
      <c r="B1381" s="1" t="s">
        <v>2523</v>
      </c>
    </row>
    <row r="1382" spans="1:2" x14ac:dyDescent="0.25">
      <c r="A1382" s="1" t="s">
        <v>2524</v>
      </c>
      <c r="B1382" s="1" t="s">
        <v>2525</v>
      </c>
    </row>
    <row r="1383" spans="1:2" x14ac:dyDescent="0.25">
      <c r="A1383" s="1" t="s">
        <v>2526</v>
      </c>
      <c r="B1383" s="1" t="s">
        <v>2527</v>
      </c>
    </row>
    <row r="1384" spans="1:2" x14ac:dyDescent="0.25">
      <c r="A1384" s="1" t="s">
        <v>2528</v>
      </c>
      <c r="B1384" s="1" t="s">
        <v>2529</v>
      </c>
    </row>
    <row r="1385" spans="1:2" x14ac:dyDescent="0.25">
      <c r="A1385" s="1" t="s">
        <v>2530</v>
      </c>
      <c r="B1385" s="1" t="s">
        <v>2531</v>
      </c>
    </row>
    <row r="1386" spans="1:2" x14ac:dyDescent="0.25">
      <c r="A1386" s="1" t="s">
        <v>2528</v>
      </c>
      <c r="B1386" s="1" t="s">
        <v>2532</v>
      </c>
    </row>
    <row r="1387" spans="1:2" x14ac:dyDescent="0.25">
      <c r="A1387" s="1" t="s">
        <v>652</v>
      </c>
      <c r="B1387" s="1" t="s">
        <v>2533</v>
      </c>
    </row>
    <row r="1388" spans="1:2" x14ac:dyDescent="0.25">
      <c r="A1388" s="1" t="s">
        <v>2534</v>
      </c>
      <c r="B1388" s="1" t="s">
        <v>2535</v>
      </c>
    </row>
    <row r="1389" spans="1:2" x14ac:dyDescent="0.25">
      <c r="A1389" s="1" t="s">
        <v>2536</v>
      </c>
      <c r="B1389" s="1" t="s">
        <v>2537</v>
      </c>
    </row>
    <row r="1390" spans="1:2" x14ac:dyDescent="0.25">
      <c r="A1390" s="1" t="s">
        <v>2514</v>
      </c>
      <c r="B1390" s="1" t="s">
        <v>2538</v>
      </c>
    </row>
    <row r="1391" spans="1:2" x14ac:dyDescent="0.25">
      <c r="A1391" s="1" t="s">
        <v>2539</v>
      </c>
      <c r="B1391" s="1" t="s">
        <v>2540</v>
      </c>
    </row>
    <row r="1392" spans="1:2" x14ac:dyDescent="0.25">
      <c r="A1392" s="1" t="s">
        <v>340</v>
      </c>
      <c r="B1392" s="1" t="s">
        <v>2541</v>
      </c>
    </row>
    <row r="1393" spans="1:2" x14ac:dyDescent="0.25">
      <c r="A1393" s="1" t="s">
        <v>2542</v>
      </c>
      <c r="B1393" s="1" t="s">
        <v>2543</v>
      </c>
    </row>
    <row r="1394" spans="1:2" x14ac:dyDescent="0.25">
      <c r="A1394" s="1" t="s">
        <v>2544</v>
      </c>
      <c r="B1394" s="1" t="s">
        <v>2545</v>
      </c>
    </row>
    <row r="1395" spans="1:2" x14ac:dyDescent="0.25">
      <c r="A1395" s="1" t="s">
        <v>423</v>
      </c>
      <c r="B1395" s="1" t="s">
        <v>2546</v>
      </c>
    </row>
    <row r="1396" spans="1:2" x14ac:dyDescent="0.25">
      <c r="A1396" s="1" t="s">
        <v>2547</v>
      </c>
      <c r="B1396" s="1" t="s">
        <v>2548</v>
      </c>
    </row>
    <row r="1397" spans="1:2" x14ac:dyDescent="0.25">
      <c r="A1397" s="1" t="s">
        <v>2549</v>
      </c>
      <c r="B1397" s="1" t="s">
        <v>2550</v>
      </c>
    </row>
    <row r="1398" spans="1:2" x14ac:dyDescent="0.25">
      <c r="A1398" s="1" t="s">
        <v>2551</v>
      </c>
      <c r="B1398" s="1" t="s">
        <v>2552</v>
      </c>
    </row>
    <row r="1399" spans="1:2" x14ac:dyDescent="0.25">
      <c r="A1399" s="1" t="s">
        <v>2553</v>
      </c>
      <c r="B1399" s="1" t="s">
        <v>2554</v>
      </c>
    </row>
    <row r="1400" spans="1:2" x14ac:dyDescent="0.25">
      <c r="A1400" s="1" t="s">
        <v>2549</v>
      </c>
      <c r="B1400" s="1" t="s">
        <v>2555</v>
      </c>
    </row>
    <row r="1401" spans="1:2" x14ac:dyDescent="0.25">
      <c r="A1401" s="1" t="s">
        <v>2551</v>
      </c>
      <c r="B1401" s="1" t="s">
        <v>2556</v>
      </c>
    </row>
    <row r="1402" spans="1:2" x14ac:dyDescent="0.25">
      <c r="A1402" s="1" t="s">
        <v>2557</v>
      </c>
      <c r="B1402" s="1" t="s">
        <v>2558</v>
      </c>
    </row>
    <row r="1403" spans="1:2" x14ac:dyDescent="0.25">
      <c r="A1403" s="1" t="s">
        <v>2553</v>
      </c>
      <c r="B1403" s="1" t="s">
        <v>2559</v>
      </c>
    </row>
    <row r="1404" spans="1:2" x14ac:dyDescent="0.25">
      <c r="A1404" s="1" t="s">
        <v>2549</v>
      </c>
      <c r="B1404" s="1" t="s">
        <v>2560</v>
      </c>
    </row>
    <row r="1405" spans="1:2" x14ac:dyDescent="0.25">
      <c r="A1405" s="1" t="s">
        <v>2551</v>
      </c>
      <c r="B1405" s="1" t="s">
        <v>2561</v>
      </c>
    </row>
    <row r="1406" spans="1:2" x14ac:dyDescent="0.25">
      <c r="A1406" s="1" t="s">
        <v>2557</v>
      </c>
      <c r="B1406" s="1" t="s">
        <v>2562</v>
      </c>
    </row>
    <row r="1407" spans="1:2" x14ac:dyDescent="0.25">
      <c r="A1407" s="1" t="s">
        <v>2553</v>
      </c>
      <c r="B1407" s="1" t="s">
        <v>2563</v>
      </c>
    </row>
    <row r="1408" spans="1:2" x14ac:dyDescent="0.25">
      <c r="A1408" s="1" t="s">
        <v>2549</v>
      </c>
      <c r="B1408" s="1" t="s">
        <v>2564</v>
      </c>
    </row>
    <row r="1409" spans="1:2" x14ac:dyDescent="0.25">
      <c r="A1409" s="1" t="s">
        <v>2551</v>
      </c>
      <c r="B1409" s="1" t="s">
        <v>2565</v>
      </c>
    </row>
    <row r="1410" spans="1:2" x14ac:dyDescent="0.25">
      <c r="A1410" s="1" t="s">
        <v>2557</v>
      </c>
      <c r="B1410" s="1" t="s">
        <v>2566</v>
      </c>
    </row>
    <row r="1411" spans="1:2" x14ac:dyDescent="0.25">
      <c r="A1411" s="1" t="s">
        <v>2553</v>
      </c>
      <c r="B1411" s="1" t="s">
        <v>2567</v>
      </c>
    </row>
    <row r="1412" spans="1:2" x14ac:dyDescent="0.25">
      <c r="A1412" s="1" t="s">
        <v>2568</v>
      </c>
      <c r="B1412" s="1" t="s">
        <v>2569</v>
      </c>
    </row>
    <row r="1413" spans="1:2" x14ac:dyDescent="0.25">
      <c r="A1413" s="1" t="s">
        <v>2570</v>
      </c>
      <c r="B1413" s="1" t="s">
        <v>2571</v>
      </c>
    </row>
    <row r="1414" spans="1:2" x14ac:dyDescent="0.25">
      <c r="A1414" s="1" t="s">
        <v>2572</v>
      </c>
      <c r="B1414" s="1" t="s">
        <v>2573</v>
      </c>
    </row>
    <row r="1415" spans="1:2" x14ac:dyDescent="0.25">
      <c r="A1415" s="1" t="s">
        <v>2574</v>
      </c>
      <c r="B1415" s="1" t="s">
        <v>2575</v>
      </c>
    </row>
    <row r="1416" spans="1:2" x14ac:dyDescent="0.25">
      <c r="A1416" s="1" t="s">
        <v>2576</v>
      </c>
      <c r="B1416" s="1" t="s">
        <v>2577</v>
      </c>
    </row>
    <row r="1417" spans="1:2" x14ac:dyDescent="0.25">
      <c r="A1417" s="1" t="s">
        <v>2578</v>
      </c>
      <c r="B1417" s="1" t="s">
        <v>2579</v>
      </c>
    </row>
    <row r="1418" spans="1:2" x14ac:dyDescent="0.25">
      <c r="A1418" s="1" t="s">
        <v>2580</v>
      </c>
      <c r="B1418" s="1" t="s">
        <v>2581</v>
      </c>
    </row>
    <row r="1419" spans="1:2" x14ac:dyDescent="0.25">
      <c r="A1419" s="1" t="s">
        <v>2582</v>
      </c>
      <c r="B1419" s="1" t="s">
        <v>2583</v>
      </c>
    </row>
    <row r="1420" spans="1:2" x14ac:dyDescent="0.25">
      <c r="A1420" s="1" t="s">
        <v>2584</v>
      </c>
      <c r="B1420" s="1" t="s">
        <v>2585</v>
      </c>
    </row>
    <row r="1421" spans="1:2" x14ac:dyDescent="0.25">
      <c r="A1421" s="1" t="s">
        <v>2586</v>
      </c>
      <c r="B1421" s="1" t="s">
        <v>2587</v>
      </c>
    </row>
    <row r="1422" spans="1:2" x14ac:dyDescent="0.25">
      <c r="A1422" s="1" t="s">
        <v>2588</v>
      </c>
      <c r="B1422" s="1" t="s">
        <v>2589</v>
      </c>
    </row>
    <row r="1423" spans="1:2" x14ac:dyDescent="0.25">
      <c r="A1423" s="1" t="s">
        <v>2590</v>
      </c>
      <c r="B1423" s="1" t="s">
        <v>2591</v>
      </c>
    </row>
    <row r="1424" spans="1:2" x14ac:dyDescent="0.25">
      <c r="A1424" s="1" t="s">
        <v>2592</v>
      </c>
      <c r="B1424" s="1" t="s">
        <v>2593</v>
      </c>
    </row>
    <row r="1425" spans="1:2" x14ac:dyDescent="0.25">
      <c r="A1425" s="1" t="s">
        <v>2594</v>
      </c>
      <c r="B1425" s="1" t="s">
        <v>2595</v>
      </c>
    </row>
    <row r="1426" spans="1:2" x14ac:dyDescent="0.25">
      <c r="A1426" s="1" t="s">
        <v>2596</v>
      </c>
      <c r="B1426" s="1" t="s">
        <v>2597</v>
      </c>
    </row>
    <row r="1427" spans="1:2" x14ac:dyDescent="0.25">
      <c r="A1427" s="1" t="s">
        <v>2598</v>
      </c>
      <c r="B1427" s="1" t="s">
        <v>2599</v>
      </c>
    </row>
    <row r="1428" spans="1:2" x14ac:dyDescent="0.25">
      <c r="A1428" s="1" t="s">
        <v>2600</v>
      </c>
      <c r="B1428" s="1" t="s">
        <v>2601</v>
      </c>
    </row>
    <row r="1429" spans="1:2" x14ac:dyDescent="0.25">
      <c r="A1429" s="1" t="s">
        <v>2602</v>
      </c>
      <c r="B1429" s="1" t="s">
        <v>2603</v>
      </c>
    </row>
    <row r="1430" spans="1:2" x14ac:dyDescent="0.25">
      <c r="A1430" s="1" t="s">
        <v>2604</v>
      </c>
      <c r="B1430" s="1" t="s">
        <v>2605</v>
      </c>
    </row>
    <row r="1431" spans="1:2" x14ac:dyDescent="0.25">
      <c r="A1431" s="1" t="s">
        <v>2606</v>
      </c>
      <c r="B1431" s="1" t="s">
        <v>2607</v>
      </c>
    </row>
    <row r="1432" spans="1:2" x14ac:dyDescent="0.25">
      <c r="A1432" s="1" t="s">
        <v>2608</v>
      </c>
      <c r="B1432" s="1" t="s">
        <v>2609</v>
      </c>
    </row>
    <row r="1433" spans="1:2" x14ac:dyDescent="0.25">
      <c r="A1433" s="1" t="s">
        <v>2610</v>
      </c>
      <c r="B1433" s="1" t="s">
        <v>2611</v>
      </c>
    </row>
    <row r="1434" spans="1:2" x14ac:dyDescent="0.25">
      <c r="A1434" s="1" t="s">
        <v>2612</v>
      </c>
      <c r="B1434" s="1" t="s">
        <v>2613</v>
      </c>
    </row>
    <row r="1435" spans="1:2" x14ac:dyDescent="0.25">
      <c r="A1435" s="1" t="s">
        <v>2614</v>
      </c>
      <c r="B1435" s="1" t="s">
        <v>2615</v>
      </c>
    </row>
    <row r="1436" spans="1:2" x14ac:dyDescent="0.25">
      <c r="A1436" s="1" t="s">
        <v>2616</v>
      </c>
      <c r="B1436" s="1" t="s">
        <v>2617</v>
      </c>
    </row>
    <row r="1437" spans="1:2" x14ac:dyDescent="0.25">
      <c r="A1437" s="1" t="s">
        <v>2618</v>
      </c>
      <c r="B1437" s="1" t="s">
        <v>2619</v>
      </c>
    </row>
    <row r="1438" spans="1:2" x14ac:dyDescent="0.25">
      <c r="A1438" s="1" t="s">
        <v>2620</v>
      </c>
      <c r="B1438" s="1" t="s">
        <v>2621</v>
      </c>
    </row>
    <row r="1439" spans="1:2" x14ac:dyDescent="0.25">
      <c r="A1439" s="1" t="s">
        <v>2622</v>
      </c>
      <c r="B1439" s="1" t="s">
        <v>2623</v>
      </c>
    </row>
    <row r="1440" spans="1:2" x14ac:dyDescent="0.25">
      <c r="A1440" s="1" t="s">
        <v>2624</v>
      </c>
      <c r="B1440" s="1" t="s">
        <v>2625</v>
      </c>
    </row>
    <row r="1441" spans="1:2" x14ac:dyDescent="0.25">
      <c r="A1441" s="1" t="s">
        <v>2626</v>
      </c>
      <c r="B1441" s="1" t="s">
        <v>2627</v>
      </c>
    </row>
    <row r="1442" spans="1:2" x14ac:dyDescent="0.25">
      <c r="A1442" s="1" t="s">
        <v>2628</v>
      </c>
      <c r="B1442" s="1" t="s">
        <v>2629</v>
      </c>
    </row>
    <row r="1443" spans="1:2" x14ac:dyDescent="0.25">
      <c r="A1443" s="1" t="s">
        <v>2630</v>
      </c>
      <c r="B1443" s="1" t="s">
        <v>2631</v>
      </c>
    </row>
    <row r="1444" spans="1:2" x14ac:dyDescent="0.25">
      <c r="A1444" s="1" t="s">
        <v>2632</v>
      </c>
      <c r="B1444" s="1" t="s">
        <v>2633</v>
      </c>
    </row>
    <row r="1445" spans="1:2" x14ac:dyDescent="0.25">
      <c r="A1445" s="1" t="s">
        <v>2634</v>
      </c>
      <c r="B1445" s="1" t="s">
        <v>2635</v>
      </c>
    </row>
    <row r="1446" spans="1:2" x14ac:dyDescent="0.25">
      <c r="A1446" s="1" t="s">
        <v>2636</v>
      </c>
      <c r="B1446" s="1" t="s">
        <v>2637</v>
      </c>
    </row>
    <row r="1447" spans="1:2" x14ac:dyDescent="0.25">
      <c r="A1447" s="1" t="s">
        <v>2638</v>
      </c>
      <c r="B1447" s="1" t="s">
        <v>2639</v>
      </c>
    </row>
    <row r="1448" spans="1:2" x14ac:dyDescent="0.25">
      <c r="A1448" s="1" t="s">
        <v>2640</v>
      </c>
      <c r="B1448" s="1" t="s">
        <v>2641</v>
      </c>
    </row>
    <row r="1449" spans="1:2" x14ac:dyDescent="0.25">
      <c r="A1449" s="1" t="s">
        <v>2642</v>
      </c>
      <c r="B1449" s="1" t="s">
        <v>2643</v>
      </c>
    </row>
    <row r="1450" spans="1:2" x14ac:dyDescent="0.25">
      <c r="A1450" s="1" t="s">
        <v>2644</v>
      </c>
      <c r="B1450" s="1" t="s">
        <v>2645</v>
      </c>
    </row>
    <row r="1451" spans="1:2" x14ac:dyDescent="0.25">
      <c r="A1451" s="1" t="s">
        <v>2646</v>
      </c>
      <c r="B1451" s="1" t="s">
        <v>2647</v>
      </c>
    </row>
    <row r="1452" spans="1:2" x14ac:dyDescent="0.25">
      <c r="A1452" s="1" t="s">
        <v>2642</v>
      </c>
      <c r="B1452" s="1" t="s">
        <v>2648</v>
      </c>
    </row>
    <row r="1453" spans="1:2" x14ac:dyDescent="0.25">
      <c r="A1453" s="1" t="s">
        <v>2614</v>
      </c>
      <c r="B1453" s="1" t="s">
        <v>2649</v>
      </c>
    </row>
    <row r="1454" spans="1:2" x14ac:dyDescent="0.25">
      <c r="A1454" s="1" t="s">
        <v>2634</v>
      </c>
      <c r="B1454" s="1" t="s">
        <v>2650</v>
      </c>
    </row>
    <row r="1455" spans="1:2" x14ac:dyDescent="0.25">
      <c r="A1455" s="1" t="s">
        <v>2616</v>
      </c>
      <c r="B1455" s="1" t="s">
        <v>2651</v>
      </c>
    </row>
    <row r="1456" spans="1:2" x14ac:dyDescent="0.25">
      <c r="A1456" s="1" t="s">
        <v>2636</v>
      </c>
      <c r="B1456" s="1" t="s">
        <v>2652</v>
      </c>
    </row>
    <row r="1457" spans="1:2" x14ac:dyDescent="0.25">
      <c r="A1457" s="1" t="s">
        <v>2622</v>
      </c>
      <c r="B1457" s="1" t="s">
        <v>2653</v>
      </c>
    </row>
    <row r="1458" spans="1:2" x14ac:dyDescent="0.25">
      <c r="A1458" s="1" t="s">
        <v>2624</v>
      </c>
      <c r="B1458" s="1" t="s">
        <v>2654</v>
      </c>
    </row>
    <row r="1459" spans="1:2" x14ac:dyDescent="0.25">
      <c r="A1459" s="1" t="s">
        <v>2626</v>
      </c>
      <c r="B1459" s="1" t="s">
        <v>2655</v>
      </c>
    </row>
    <row r="1460" spans="1:2" x14ac:dyDescent="0.25">
      <c r="A1460" s="1" t="s">
        <v>2618</v>
      </c>
      <c r="B1460" s="1" t="s">
        <v>2656</v>
      </c>
    </row>
    <row r="1461" spans="1:2" x14ac:dyDescent="0.25">
      <c r="A1461" s="1" t="s">
        <v>2640</v>
      </c>
      <c r="B1461" s="1" t="s">
        <v>2657</v>
      </c>
    </row>
    <row r="1462" spans="1:2" x14ac:dyDescent="0.25">
      <c r="A1462" s="1" t="s">
        <v>2630</v>
      </c>
      <c r="B1462" s="1" t="s">
        <v>2658</v>
      </c>
    </row>
    <row r="1463" spans="1:2" x14ac:dyDescent="0.25">
      <c r="A1463" s="1" t="s">
        <v>2632</v>
      </c>
      <c r="B1463" s="1" t="s">
        <v>2659</v>
      </c>
    </row>
    <row r="1464" spans="1:2" x14ac:dyDescent="0.25">
      <c r="A1464" s="1" t="s">
        <v>2644</v>
      </c>
      <c r="B1464" s="1" t="s">
        <v>2660</v>
      </c>
    </row>
    <row r="1465" spans="1:2" x14ac:dyDescent="0.25">
      <c r="A1465" s="1" t="s">
        <v>2661</v>
      </c>
      <c r="B1465" s="1" t="s">
        <v>2662</v>
      </c>
    </row>
    <row r="1466" spans="1:2" x14ac:dyDescent="0.25">
      <c r="A1466" s="1" t="s">
        <v>2663</v>
      </c>
      <c r="B1466" s="1" t="s">
        <v>2664</v>
      </c>
    </row>
    <row r="1467" spans="1:2" x14ac:dyDescent="0.25">
      <c r="A1467" s="1" t="s">
        <v>2665</v>
      </c>
      <c r="B1467" s="1" t="s">
        <v>2666</v>
      </c>
    </row>
    <row r="1468" spans="1:2" x14ac:dyDescent="0.25">
      <c r="A1468" s="1" t="s">
        <v>2667</v>
      </c>
      <c r="B1468" s="1" t="s">
        <v>2668</v>
      </c>
    </row>
    <row r="1469" spans="1:2" x14ac:dyDescent="0.25">
      <c r="A1469" s="1" t="s">
        <v>2669</v>
      </c>
      <c r="B1469" s="1" t="s">
        <v>2670</v>
      </c>
    </row>
    <row r="1470" spans="1:2" x14ac:dyDescent="0.25">
      <c r="A1470" s="1" t="s">
        <v>2671</v>
      </c>
      <c r="B1470" s="1" t="s">
        <v>2672</v>
      </c>
    </row>
    <row r="1471" spans="1:2" x14ac:dyDescent="0.25">
      <c r="A1471" s="1" t="s">
        <v>2673</v>
      </c>
      <c r="B1471" s="1" t="s">
        <v>2674</v>
      </c>
    </row>
    <row r="1472" spans="1:2" x14ac:dyDescent="0.25">
      <c r="A1472" s="1" t="s">
        <v>2675</v>
      </c>
      <c r="B1472" s="1" t="s">
        <v>2676</v>
      </c>
    </row>
    <row r="1473" spans="1:2" x14ac:dyDescent="0.25">
      <c r="A1473" s="1" t="s">
        <v>2677</v>
      </c>
      <c r="B1473" s="1" t="s">
        <v>2678</v>
      </c>
    </row>
    <row r="1474" spans="1:2" x14ac:dyDescent="0.25">
      <c r="A1474" s="1" t="s">
        <v>2679</v>
      </c>
      <c r="B1474" s="1" t="s">
        <v>2680</v>
      </c>
    </row>
    <row r="1475" spans="1:2" x14ac:dyDescent="0.25">
      <c r="A1475" s="1" t="s">
        <v>2681</v>
      </c>
      <c r="B1475" s="1" t="s">
        <v>2682</v>
      </c>
    </row>
    <row r="1476" spans="1:2" x14ac:dyDescent="0.25">
      <c r="A1476" s="1" t="s">
        <v>2683</v>
      </c>
      <c r="B1476" s="1" t="s">
        <v>2684</v>
      </c>
    </row>
    <row r="1477" spans="1:2" x14ac:dyDescent="0.25">
      <c r="A1477" s="1" t="s">
        <v>2685</v>
      </c>
      <c r="B1477" s="1" t="s">
        <v>2686</v>
      </c>
    </row>
    <row r="1478" spans="1:2" x14ac:dyDescent="0.25">
      <c r="A1478" s="1" t="s">
        <v>2687</v>
      </c>
      <c r="B1478" s="1" t="s">
        <v>2688</v>
      </c>
    </row>
    <row r="1479" spans="1:2" x14ac:dyDescent="0.25">
      <c r="A1479" s="1" t="s">
        <v>2610</v>
      </c>
      <c r="B1479" s="1" t="s">
        <v>2689</v>
      </c>
    </row>
    <row r="1480" spans="1:2" x14ac:dyDescent="0.25">
      <c r="A1480" s="1" t="s">
        <v>2690</v>
      </c>
      <c r="B1480" s="1" t="s">
        <v>2691</v>
      </c>
    </row>
    <row r="1481" spans="1:2" x14ac:dyDescent="0.25">
      <c r="A1481" s="1" t="s">
        <v>2692</v>
      </c>
      <c r="B1481" s="1" t="s">
        <v>2693</v>
      </c>
    </row>
    <row r="1482" spans="1:2" x14ac:dyDescent="0.25">
      <c r="A1482" s="1" t="s">
        <v>2694</v>
      </c>
      <c r="B1482" s="1" t="s">
        <v>2695</v>
      </c>
    </row>
    <row r="1483" spans="1:2" x14ac:dyDescent="0.25">
      <c r="A1483" s="1" t="s">
        <v>2696</v>
      </c>
      <c r="B1483" s="1" t="s">
        <v>2697</v>
      </c>
    </row>
    <row r="1484" spans="1:2" x14ac:dyDescent="0.25">
      <c r="A1484" s="1" t="s">
        <v>2698</v>
      </c>
      <c r="B1484" s="1" t="s">
        <v>2699</v>
      </c>
    </row>
    <row r="1485" spans="1:2" x14ac:dyDescent="0.25">
      <c r="A1485" s="1" t="s">
        <v>2700</v>
      </c>
      <c r="B1485" s="1" t="s">
        <v>2701</v>
      </c>
    </row>
    <row r="1486" spans="1:2" x14ac:dyDescent="0.25">
      <c r="A1486" s="1" t="s">
        <v>2702</v>
      </c>
      <c r="B1486" s="1" t="s">
        <v>2703</v>
      </c>
    </row>
    <row r="1487" spans="1:2" x14ac:dyDescent="0.25">
      <c r="A1487" s="1" t="s">
        <v>2704</v>
      </c>
      <c r="B1487" s="1" t="s">
        <v>2705</v>
      </c>
    </row>
    <row r="1488" spans="1:2" x14ac:dyDescent="0.25">
      <c r="A1488" s="1" t="s">
        <v>2706</v>
      </c>
      <c r="B1488" s="1" t="s">
        <v>2707</v>
      </c>
    </row>
    <row r="1489" spans="1:2" x14ac:dyDescent="0.25">
      <c r="A1489" s="1" t="s">
        <v>2708</v>
      </c>
      <c r="B1489" s="1" t="s">
        <v>2709</v>
      </c>
    </row>
    <row r="1490" spans="1:2" x14ac:dyDescent="0.25">
      <c r="A1490" s="1" t="s">
        <v>2710</v>
      </c>
      <c r="B1490" s="1" t="s">
        <v>2711</v>
      </c>
    </row>
    <row r="1491" spans="1:2" x14ac:dyDescent="0.25">
      <c r="A1491" s="1" t="s">
        <v>2712</v>
      </c>
      <c r="B1491" s="1" t="s">
        <v>2713</v>
      </c>
    </row>
    <row r="1492" spans="1:2" x14ac:dyDescent="0.25">
      <c r="A1492" s="1" t="s">
        <v>2714</v>
      </c>
      <c r="B1492" s="1" t="s">
        <v>2715</v>
      </c>
    </row>
    <row r="1493" spans="1:2" x14ac:dyDescent="0.25">
      <c r="A1493" s="1" t="s">
        <v>2716</v>
      </c>
      <c r="B1493" s="1" t="s">
        <v>2717</v>
      </c>
    </row>
    <row r="1494" spans="1:2" x14ac:dyDescent="0.25">
      <c r="A1494" s="1" t="s">
        <v>2718</v>
      </c>
      <c r="B1494" s="1" t="s">
        <v>2719</v>
      </c>
    </row>
    <row r="1495" spans="1:2" x14ac:dyDescent="0.25">
      <c r="A1495" s="1" t="s">
        <v>2720</v>
      </c>
      <c r="B1495" s="1" t="s">
        <v>2721</v>
      </c>
    </row>
    <row r="1496" spans="1:2" x14ac:dyDescent="0.25">
      <c r="A1496" s="1" t="s">
        <v>2722</v>
      </c>
      <c r="B1496" s="1" t="s">
        <v>2723</v>
      </c>
    </row>
    <row r="1497" spans="1:2" x14ac:dyDescent="0.25">
      <c r="A1497" s="1" t="s">
        <v>2724</v>
      </c>
      <c r="B1497" s="1" t="s">
        <v>2725</v>
      </c>
    </row>
    <row r="1498" spans="1:2" x14ac:dyDescent="0.25">
      <c r="A1498" s="1" t="s">
        <v>2726</v>
      </c>
      <c r="B1498" s="1" t="s">
        <v>2727</v>
      </c>
    </row>
    <row r="1499" spans="1:2" x14ac:dyDescent="0.25">
      <c r="A1499" s="1" t="s">
        <v>2728</v>
      </c>
      <c r="B1499" s="1" t="s">
        <v>2729</v>
      </c>
    </row>
    <row r="1500" spans="1:2" x14ac:dyDescent="0.25">
      <c r="A1500" s="1" t="s">
        <v>2730</v>
      </c>
      <c r="B1500" s="1" t="s">
        <v>2731</v>
      </c>
    </row>
    <row r="1501" spans="1:2" x14ac:dyDescent="0.25">
      <c r="A1501" s="1" t="s">
        <v>2732</v>
      </c>
      <c r="B1501" s="1" t="s">
        <v>2733</v>
      </c>
    </row>
    <row r="1502" spans="1:2" x14ac:dyDescent="0.25">
      <c r="A1502" s="1" t="s">
        <v>2734</v>
      </c>
      <c r="B1502" s="1" t="s">
        <v>2735</v>
      </c>
    </row>
    <row r="1503" spans="1:2" x14ac:dyDescent="0.25">
      <c r="A1503" s="1" t="s">
        <v>2736</v>
      </c>
      <c r="B1503" s="1" t="s">
        <v>2737</v>
      </c>
    </row>
    <row r="1504" spans="1:2" x14ac:dyDescent="0.25">
      <c r="A1504" s="1" t="s">
        <v>2738</v>
      </c>
      <c r="B1504" s="1" t="s">
        <v>2739</v>
      </c>
    </row>
    <row r="1505" spans="1:2" x14ac:dyDescent="0.25">
      <c r="A1505" s="1" t="s">
        <v>2740</v>
      </c>
      <c r="B1505" s="1" t="s">
        <v>2741</v>
      </c>
    </row>
    <row r="1506" spans="1:2" x14ac:dyDescent="0.25">
      <c r="A1506" s="1" t="s">
        <v>2742</v>
      </c>
      <c r="B1506" s="1" t="s">
        <v>2743</v>
      </c>
    </row>
    <row r="1507" spans="1:2" x14ac:dyDescent="0.25">
      <c r="A1507" s="1" t="s">
        <v>2744</v>
      </c>
      <c r="B1507" s="1" t="s">
        <v>2745</v>
      </c>
    </row>
    <row r="1508" spans="1:2" x14ac:dyDescent="0.25">
      <c r="A1508" s="1" t="s">
        <v>2746</v>
      </c>
      <c r="B1508" s="1" t="s">
        <v>2747</v>
      </c>
    </row>
    <row r="1509" spans="1:2" x14ac:dyDescent="0.25">
      <c r="A1509" s="1" t="s">
        <v>2748</v>
      </c>
      <c r="B1509" s="1" t="s">
        <v>2749</v>
      </c>
    </row>
    <row r="1510" spans="1:2" x14ac:dyDescent="0.25">
      <c r="A1510" s="1" t="s">
        <v>2750</v>
      </c>
      <c r="B1510" s="1" t="s">
        <v>2751</v>
      </c>
    </row>
    <row r="1511" spans="1:2" x14ac:dyDescent="0.25">
      <c r="A1511" s="1" t="s">
        <v>2752</v>
      </c>
      <c r="B1511" s="1" t="s">
        <v>2753</v>
      </c>
    </row>
    <row r="1512" spans="1:2" x14ac:dyDescent="0.25">
      <c r="A1512" s="1" t="s">
        <v>2754</v>
      </c>
      <c r="B1512" s="1" t="s">
        <v>2755</v>
      </c>
    </row>
    <row r="1513" spans="1:2" x14ac:dyDescent="0.25">
      <c r="A1513" s="1" t="s">
        <v>2756</v>
      </c>
      <c r="B1513" s="1" t="s">
        <v>2757</v>
      </c>
    </row>
    <row r="1514" spans="1:2" x14ac:dyDescent="0.25">
      <c r="A1514" s="1" t="s">
        <v>2758</v>
      </c>
      <c r="B1514" s="1" t="s">
        <v>2759</v>
      </c>
    </row>
    <row r="1515" spans="1:2" x14ac:dyDescent="0.25">
      <c r="A1515" s="1" t="s">
        <v>2760</v>
      </c>
      <c r="B1515" s="1" t="s">
        <v>2761</v>
      </c>
    </row>
    <row r="1516" spans="1:2" x14ac:dyDescent="0.25">
      <c r="A1516" s="1" t="s">
        <v>2762</v>
      </c>
      <c r="B1516" s="1" t="s">
        <v>2763</v>
      </c>
    </row>
    <row r="1517" spans="1:2" x14ac:dyDescent="0.25">
      <c r="A1517" s="1" t="s">
        <v>2764</v>
      </c>
      <c r="B1517" s="1" t="s">
        <v>2765</v>
      </c>
    </row>
    <row r="1518" spans="1:2" x14ac:dyDescent="0.25">
      <c r="A1518" s="1" t="s">
        <v>2766</v>
      </c>
      <c r="B1518" s="1" t="s">
        <v>2767</v>
      </c>
    </row>
    <row r="1519" spans="1:2" x14ac:dyDescent="0.25">
      <c r="A1519" s="1" t="s">
        <v>2768</v>
      </c>
      <c r="B1519" s="1" t="s">
        <v>2769</v>
      </c>
    </row>
    <row r="1520" spans="1:2" x14ac:dyDescent="0.25">
      <c r="A1520" s="1" t="s">
        <v>2770</v>
      </c>
      <c r="B1520" s="1" t="s">
        <v>2771</v>
      </c>
    </row>
    <row r="1521" spans="1:2" x14ac:dyDescent="0.25">
      <c r="A1521" s="1" t="s">
        <v>2772</v>
      </c>
      <c r="B1521" s="1" t="s">
        <v>2773</v>
      </c>
    </row>
    <row r="1522" spans="1:2" x14ac:dyDescent="0.25">
      <c r="A1522" s="1" t="s">
        <v>2774</v>
      </c>
      <c r="B1522" s="1" t="s">
        <v>2775</v>
      </c>
    </row>
    <row r="1523" spans="1:2" x14ac:dyDescent="0.25">
      <c r="A1523" s="1" t="s">
        <v>2776</v>
      </c>
      <c r="B1523" s="1" t="s">
        <v>2777</v>
      </c>
    </row>
    <row r="1524" spans="1:2" x14ac:dyDescent="0.25">
      <c r="A1524" s="1" t="s">
        <v>2778</v>
      </c>
      <c r="B1524" s="1" t="s">
        <v>2779</v>
      </c>
    </row>
    <row r="1525" spans="1:2" x14ac:dyDescent="0.25">
      <c r="A1525" s="1" t="s">
        <v>2780</v>
      </c>
      <c r="B1525" s="1" t="s">
        <v>2781</v>
      </c>
    </row>
    <row r="1526" spans="1:2" x14ac:dyDescent="0.25">
      <c r="A1526" s="1" t="s">
        <v>2782</v>
      </c>
      <c r="B1526" s="1" t="s">
        <v>2783</v>
      </c>
    </row>
    <row r="1527" spans="1:2" x14ac:dyDescent="0.25">
      <c r="A1527" s="1" t="s">
        <v>2784</v>
      </c>
      <c r="B1527" s="1" t="s">
        <v>2785</v>
      </c>
    </row>
    <row r="1528" spans="1:2" x14ac:dyDescent="0.25">
      <c r="A1528" s="1" t="s">
        <v>2786</v>
      </c>
      <c r="B1528" s="1" t="s">
        <v>2787</v>
      </c>
    </row>
    <row r="1529" spans="1:2" x14ac:dyDescent="0.25">
      <c r="A1529" s="1" t="s">
        <v>2788</v>
      </c>
      <c r="B1529" s="1" t="s">
        <v>2789</v>
      </c>
    </row>
    <row r="1530" spans="1:2" x14ac:dyDescent="0.25">
      <c r="A1530" s="1" t="s">
        <v>2790</v>
      </c>
      <c r="B1530" s="1" t="s">
        <v>2791</v>
      </c>
    </row>
    <row r="1531" spans="1:2" x14ac:dyDescent="0.25">
      <c r="A1531" s="1" t="s">
        <v>2792</v>
      </c>
      <c r="B1531" s="1" t="s">
        <v>2793</v>
      </c>
    </row>
    <row r="1532" spans="1:2" x14ac:dyDescent="0.25">
      <c r="A1532" s="1" t="s">
        <v>2794</v>
      </c>
      <c r="B1532" s="1" t="s">
        <v>2795</v>
      </c>
    </row>
    <row r="1533" spans="1:2" x14ac:dyDescent="0.25">
      <c r="A1533" s="1" t="s">
        <v>2796</v>
      </c>
      <c r="B1533" s="1" t="s">
        <v>2797</v>
      </c>
    </row>
    <row r="1534" spans="1:2" x14ac:dyDescent="0.25">
      <c r="A1534" s="1" t="s">
        <v>2798</v>
      </c>
      <c r="B1534" s="1" t="s">
        <v>2799</v>
      </c>
    </row>
    <row r="1535" spans="1:2" x14ac:dyDescent="0.25">
      <c r="A1535" s="1" t="s">
        <v>2800</v>
      </c>
      <c r="B1535" s="1" t="s">
        <v>2801</v>
      </c>
    </row>
    <row r="1536" spans="1:2" x14ac:dyDescent="0.25">
      <c r="A1536" s="1" t="s">
        <v>2802</v>
      </c>
      <c r="B1536" s="1" t="s">
        <v>2803</v>
      </c>
    </row>
    <row r="1537" spans="1:2" x14ac:dyDescent="0.25">
      <c r="A1537" s="1" t="s">
        <v>2804</v>
      </c>
      <c r="B1537" s="1" t="s">
        <v>2805</v>
      </c>
    </row>
    <row r="1538" spans="1:2" x14ac:dyDescent="0.25">
      <c r="A1538" s="1" t="s">
        <v>2806</v>
      </c>
      <c r="B1538" s="1" t="s">
        <v>2807</v>
      </c>
    </row>
    <row r="1539" spans="1:2" x14ac:dyDescent="0.25">
      <c r="A1539" s="1" t="s">
        <v>2808</v>
      </c>
      <c r="B1539" s="1" t="s">
        <v>2809</v>
      </c>
    </row>
    <row r="1540" spans="1:2" x14ac:dyDescent="0.25">
      <c r="A1540" s="1" t="s">
        <v>2810</v>
      </c>
      <c r="B1540" s="1" t="s">
        <v>2811</v>
      </c>
    </row>
    <row r="1541" spans="1:2" x14ac:dyDescent="0.25">
      <c r="A1541" s="1" t="s">
        <v>2774</v>
      </c>
      <c r="B1541" s="1" t="s">
        <v>2812</v>
      </c>
    </row>
    <row r="1542" spans="1:2" x14ac:dyDescent="0.25">
      <c r="A1542" s="1" t="s">
        <v>2808</v>
      </c>
      <c r="B1542" s="1" t="s">
        <v>2813</v>
      </c>
    </row>
    <row r="1543" spans="1:2" x14ac:dyDescent="0.25">
      <c r="A1543" s="1" t="s">
        <v>2810</v>
      </c>
      <c r="B1543" s="1" t="s">
        <v>2814</v>
      </c>
    </row>
    <row r="1544" spans="1:2" x14ac:dyDescent="0.25">
      <c r="A1544" s="1" t="s">
        <v>2776</v>
      </c>
      <c r="B1544" s="1" t="s">
        <v>2815</v>
      </c>
    </row>
    <row r="1545" spans="1:2" x14ac:dyDescent="0.25">
      <c r="A1545" s="1" t="s">
        <v>2808</v>
      </c>
      <c r="B1545" s="1" t="s">
        <v>2816</v>
      </c>
    </row>
    <row r="1546" spans="1:2" x14ac:dyDescent="0.25">
      <c r="A1546" s="1" t="s">
        <v>2810</v>
      </c>
      <c r="B1546" s="1" t="s">
        <v>2817</v>
      </c>
    </row>
    <row r="1547" spans="1:2" x14ac:dyDescent="0.25">
      <c r="A1547" s="1" t="s">
        <v>2778</v>
      </c>
      <c r="B1547" s="1" t="s">
        <v>2818</v>
      </c>
    </row>
    <row r="1548" spans="1:2" x14ac:dyDescent="0.25">
      <c r="A1548" s="1" t="s">
        <v>2808</v>
      </c>
      <c r="B1548" s="1" t="s">
        <v>2819</v>
      </c>
    </row>
    <row r="1549" spans="1:2" x14ac:dyDescent="0.25">
      <c r="A1549" s="1" t="s">
        <v>2810</v>
      </c>
      <c r="B1549" s="1" t="s">
        <v>2820</v>
      </c>
    </row>
    <row r="1550" spans="1:2" x14ac:dyDescent="0.25">
      <c r="A1550" s="1" t="s">
        <v>2780</v>
      </c>
      <c r="B1550" s="1" t="s">
        <v>2821</v>
      </c>
    </row>
    <row r="1551" spans="1:2" x14ac:dyDescent="0.25">
      <c r="A1551" s="1" t="s">
        <v>2808</v>
      </c>
      <c r="B1551" s="1" t="s">
        <v>2822</v>
      </c>
    </row>
    <row r="1552" spans="1:2" x14ac:dyDescent="0.25">
      <c r="A1552" s="1" t="s">
        <v>2810</v>
      </c>
      <c r="B1552" s="1" t="s">
        <v>2823</v>
      </c>
    </row>
    <row r="1553" spans="1:2" x14ac:dyDescent="0.25">
      <c r="A1553" s="1" t="s">
        <v>2782</v>
      </c>
      <c r="B1553" s="1" t="s">
        <v>2824</v>
      </c>
    </row>
    <row r="1554" spans="1:2" x14ac:dyDescent="0.25">
      <c r="A1554" s="1" t="s">
        <v>2808</v>
      </c>
      <c r="B1554" s="1" t="s">
        <v>2825</v>
      </c>
    </row>
    <row r="1555" spans="1:2" x14ac:dyDescent="0.25">
      <c r="A1555" s="1" t="s">
        <v>2810</v>
      </c>
      <c r="B1555" s="1" t="s">
        <v>2826</v>
      </c>
    </row>
    <row r="1556" spans="1:2" x14ac:dyDescent="0.25">
      <c r="A1556" s="1" t="s">
        <v>2784</v>
      </c>
      <c r="B1556" s="1" t="s">
        <v>2827</v>
      </c>
    </row>
    <row r="1557" spans="1:2" x14ac:dyDescent="0.25">
      <c r="A1557" s="1" t="s">
        <v>2808</v>
      </c>
      <c r="B1557" s="1" t="s">
        <v>2828</v>
      </c>
    </row>
    <row r="1558" spans="1:2" x14ac:dyDescent="0.25">
      <c r="A1558" s="1" t="s">
        <v>2810</v>
      </c>
      <c r="B1558" s="1" t="s">
        <v>2829</v>
      </c>
    </row>
    <row r="1559" spans="1:2" x14ac:dyDescent="0.25">
      <c r="A1559" s="1" t="s">
        <v>2786</v>
      </c>
      <c r="B1559" s="1" t="s">
        <v>2830</v>
      </c>
    </row>
    <row r="1560" spans="1:2" x14ac:dyDescent="0.25">
      <c r="A1560" s="1" t="s">
        <v>2808</v>
      </c>
      <c r="B1560" s="1" t="s">
        <v>2831</v>
      </c>
    </row>
    <row r="1561" spans="1:2" x14ac:dyDescent="0.25">
      <c r="A1561" s="1" t="s">
        <v>2810</v>
      </c>
      <c r="B1561" s="1" t="s">
        <v>2832</v>
      </c>
    </row>
    <row r="1562" spans="1:2" x14ac:dyDescent="0.25">
      <c r="A1562" s="1" t="s">
        <v>2788</v>
      </c>
      <c r="B1562" s="1" t="s">
        <v>2833</v>
      </c>
    </row>
    <row r="1563" spans="1:2" x14ac:dyDescent="0.25">
      <c r="A1563" s="1" t="s">
        <v>2808</v>
      </c>
      <c r="B1563" s="1" t="s">
        <v>2834</v>
      </c>
    </row>
    <row r="1564" spans="1:2" x14ac:dyDescent="0.25">
      <c r="A1564" s="1" t="s">
        <v>2810</v>
      </c>
      <c r="B1564" s="1" t="s">
        <v>2835</v>
      </c>
    </row>
    <row r="1565" spans="1:2" x14ac:dyDescent="0.25">
      <c r="A1565" s="1" t="s">
        <v>2790</v>
      </c>
      <c r="B1565" s="1" t="s">
        <v>2836</v>
      </c>
    </row>
    <row r="1566" spans="1:2" x14ac:dyDescent="0.25">
      <c r="A1566" s="1" t="s">
        <v>2808</v>
      </c>
      <c r="B1566" s="1" t="s">
        <v>2837</v>
      </c>
    </row>
    <row r="1567" spans="1:2" x14ac:dyDescent="0.25">
      <c r="A1567" s="1" t="s">
        <v>2810</v>
      </c>
      <c r="B1567" s="1" t="s">
        <v>2838</v>
      </c>
    </row>
    <row r="1568" spans="1:2" x14ac:dyDescent="0.25">
      <c r="A1568" s="1" t="s">
        <v>2792</v>
      </c>
      <c r="B1568" s="1" t="s">
        <v>2839</v>
      </c>
    </row>
    <row r="1569" spans="1:2" x14ac:dyDescent="0.25">
      <c r="A1569" s="1" t="s">
        <v>2808</v>
      </c>
      <c r="B1569" s="1" t="s">
        <v>2840</v>
      </c>
    </row>
    <row r="1570" spans="1:2" x14ac:dyDescent="0.25">
      <c r="A1570" s="1" t="s">
        <v>2810</v>
      </c>
      <c r="B1570" s="1" t="s">
        <v>2841</v>
      </c>
    </row>
    <row r="1571" spans="1:2" x14ac:dyDescent="0.25">
      <c r="A1571" s="1" t="s">
        <v>2842</v>
      </c>
      <c r="B1571" s="1" t="s">
        <v>2843</v>
      </c>
    </row>
    <row r="1572" spans="1:2" x14ac:dyDescent="0.25">
      <c r="A1572" s="1" t="s">
        <v>2808</v>
      </c>
      <c r="B1572" s="1" t="s">
        <v>2844</v>
      </c>
    </row>
    <row r="1573" spans="1:2" x14ac:dyDescent="0.25">
      <c r="A1573" s="1" t="s">
        <v>2810</v>
      </c>
      <c r="B1573" s="1" t="s">
        <v>2845</v>
      </c>
    </row>
    <row r="1574" spans="1:2" x14ac:dyDescent="0.25">
      <c r="A1574" s="1" t="s">
        <v>2802</v>
      </c>
      <c r="B1574" s="1" t="s">
        <v>2846</v>
      </c>
    </row>
    <row r="1575" spans="1:2" x14ac:dyDescent="0.25">
      <c r="A1575" s="1" t="s">
        <v>2808</v>
      </c>
      <c r="B1575" s="1" t="s">
        <v>2847</v>
      </c>
    </row>
    <row r="1576" spans="1:2" x14ac:dyDescent="0.25">
      <c r="A1576" s="1" t="s">
        <v>2810</v>
      </c>
      <c r="B1576" s="1" t="s">
        <v>2848</v>
      </c>
    </row>
    <row r="1577" spans="1:2" x14ac:dyDescent="0.25">
      <c r="A1577" s="1" t="s">
        <v>2794</v>
      </c>
      <c r="B1577" s="1" t="s">
        <v>2849</v>
      </c>
    </row>
    <row r="1578" spans="1:2" x14ac:dyDescent="0.25">
      <c r="A1578" s="1" t="s">
        <v>2796</v>
      </c>
      <c r="B1578" s="1" t="s">
        <v>2850</v>
      </c>
    </row>
    <row r="1579" spans="1:2" x14ac:dyDescent="0.25">
      <c r="A1579" s="1" t="s">
        <v>2798</v>
      </c>
      <c r="B1579" s="1" t="s">
        <v>2851</v>
      </c>
    </row>
    <row r="1580" spans="1:2" x14ac:dyDescent="0.25">
      <c r="A1580" s="1" t="s">
        <v>2852</v>
      </c>
      <c r="B1580" s="1" t="s">
        <v>2853</v>
      </c>
    </row>
    <row r="1581" spans="1:2" x14ac:dyDescent="0.25">
      <c r="A1581" s="1" t="s">
        <v>2806</v>
      </c>
      <c r="B1581" s="1" t="s">
        <v>2854</v>
      </c>
    </row>
    <row r="1582" spans="1:2" x14ac:dyDescent="0.25">
      <c r="A1582" s="1" t="s">
        <v>2855</v>
      </c>
      <c r="B1582" s="1" t="s">
        <v>2856</v>
      </c>
    </row>
    <row r="1583" spans="1:2" x14ac:dyDescent="0.25">
      <c r="A1583" s="1" t="s">
        <v>133</v>
      </c>
      <c r="B1583" s="1" t="s">
        <v>2857</v>
      </c>
    </row>
    <row r="1584" spans="1:2" x14ac:dyDescent="0.25">
      <c r="A1584" s="1" t="s">
        <v>2858</v>
      </c>
      <c r="B1584" s="1" t="s">
        <v>2859</v>
      </c>
    </row>
    <row r="1585" spans="1:2" x14ac:dyDescent="0.25">
      <c r="A1585" s="1" t="s">
        <v>2860</v>
      </c>
      <c r="B1585" s="1" t="s">
        <v>2861</v>
      </c>
    </row>
    <row r="1586" spans="1:2" x14ac:dyDescent="0.25">
      <c r="A1586" s="1" t="s">
        <v>2862</v>
      </c>
      <c r="B1586" s="1" t="s">
        <v>2863</v>
      </c>
    </row>
    <row r="1587" spans="1:2" x14ac:dyDescent="0.25">
      <c r="A1587" s="1" t="s">
        <v>2864</v>
      </c>
      <c r="B1587" s="1" t="s">
        <v>2865</v>
      </c>
    </row>
    <row r="1588" spans="1:2" x14ac:dyDescent="0.25">
      <c r="A1588" s="1" t="s">
        <v>2866</v>
      </c>
      <c r="B1588" s="1" t="s">
        <v>2867</v>
      </c>
    </row>
    <row r="1589" spans="1:2" x14ac:dyDescent="0.25">
      <c r="A1589" s="1" t="s">
        <v>2868</v>
      </c>
      <c r="B1589" s="1" t="s">
        <v>2869</v>
      </c>
    </row>
    <row r="1590" spans="1:2" x14ac:dyDescent="0.25">
      <c r="A1590" s="1" t="s">
        <v>14</v>
      </c>
      <c r="B1590" s="1" t="s">
        <v>2870</v>
      </c>
    </row>
    <row r="1591" spans="1:2" x14ac:dyDescent="0.25">
      <c r="A1591" s="1" t="s">
        <v>2871</v>
      </c>
      <c r="B1591" s="1" t="s">
        <v>2872</v>
      </c>
    </row>
    <row r="1592" spans="1:2" x14ac:dyDescent="0.25">
      <c r="A1592" s="1" t="s">
        <v>2873</v>
      </c>
      <c r="B1592" s="1" t="s">
        <v>2874</v>
      </c>
    </row>
    <row r="1593" spans="1:2" x14ac:dyDescent="0.25">
      <c r="A1593" s="1" t="s">
        <v>2875</v>
      </c>
      <c r="B1593" s="1" t="s">
        <v>2876</v>
      </c>
    </row>
    <row r="1594" spans="1:2" x14ac:dyDescent="0.25">
      <c r="A1594" s="1" t="s">
        <v>2877</v>
      </c>
      <c r="B1594" s="1" t="s">
        <v>2878</v>
      </c>
    </row>
    <row r="1595" spans="1:2" x14ac:dyDescent="0.25">
      <c r="A1595" s="1" t="s">
        <v>2879</v>
      </c>
      <c r="B1595" s="1" t="s">
        <v>2880</v>
      </c>
    </row>
    <row r="1596" spans="1:2" x14ac:dyDescent="0.25">
      <c r="A1596" s="1" t="s">
        <v>2881</v>
      </c>
      <c r="B1596" s="1" t="s">
        <v>2882</v>
      </c>
    </row>
    <row r="1597" spans="1:2" x14ac:dyDescent="0.25">
      <c r="A1597" s="1" t="s">
        <v>2883</v>
      </c>
      <c r="B1597" s="1" t="s">
        <v>2884</v>
      </c>
    </row>
    <row r="1598" spans="1:2" x14ac:dyDescent="0.25">
      <c r="A1598" s="1" t="s">
        <v>2885</v>
      </c>
      <c r="B1598" s="1" t="s">
        <v>2886</v>
      </c>
    </row>
    <row r="1599" spans="1:2" x14ac:dyDescent="0.25">
      <c r="A1599" s="1" t="s">
        <v>2887</v>
      </c>
      <c r="B1599" s="1" t="s">
        <v>2888</v>
      </c>
    </row>
    <row r="1600" spans="1:2" x14ac:dyDescent="0.25">
      <c r="A1600" s="1" t="s">
        <v>292</v>
      </c>
      <c r="B1600" s="1" t="s">
        <v>2889</v>
      </c>
    </row>
    <row r="1601" spans="1:2" x14ac:dyDescent="0.25">
      <c r="A1601" s="1" t="s">
        <v>2890</v>
      </c>
      <c r="B1601" s="1" t="s">
        <v>2891</v>
      </c>
    </row>
    <row r="1602" spans="1:2" x14ac:dyDescent="0.25">
      <c r="A1602" s="1" t="s">
        <v>2892</v>
      </c>
      <c r="B1602" s="1" t="s">
        <v>2893</v>
      </c>
    </row>
    <row r="1603" spans="1:2" x14ac:dyDescent="0.25">
      <c r="A1603" s="1" t="s">
        <v>2894</v>
      </c>
      <c r="B1603" s="1" t="s">
        <v>2895</v>
      </c>
    </row>
    <row r="1604" spans="1:2" x14ac:dyDescent="0.25">
      <c r="A1604" s="1" t="s">
        <v>2896</v>
      </c>
      <c r="B1604" s="1" t="s">
        <v>2897</v>
      </c>
    </row>
    <row r="1605" spans="1:2" x14ac:dyDescent="0.25">
      <c r="A1605" s="1" t="s">
        <v>2898</v>
      </c>
      <c r="B1605" s="1" t="s">
        <v>2899</v>
      </c>
    </row>
    <row r="1606" spans="1:2" x14ac:dyDescent="0.25">
      <c r="A1606" s="1" t="s">
        <v>2900</v>
      </c>
      <c r="B1606" s="1" t="s">
        <v>2901</v>
      </c>
    </row>
    <row r="1607" spans="1:2" x14ac:dyDescent="0.25">
      <c r="A1607" s="1" t="s">
        <v>2902</v>
      </c>
      <c r="B1607" s="1" t="s">
        <v>2903</v>
      </c>
    </row>
    <row r="1608" spans="1:2" x14ac:dyDescent="0.25">
      <c r="A1608" s="1" t="s">
        <v>2904</v>
      </c>
      <c r="B1608" s="1" t="s">
        <v>2905</v>
      </c>
    </row>
    <row r="1609" spans="1:2" x14ac:dyDescent="0.25">
      <c r="A1609" s="1" t="s">
        <v>2906</v>
      </c>
      <c r="B1609" s="1" t="s">
        <v>2907</v>
      </c>
    </row>
    <row r="1610" spans="1:2" x14ac:dyDescent="0.25">
      <c r="A1610" s="1" t="s">
        <v>2908</v>
      </c>
      <c r="B1610" s="1" t="s">
        <v>2909</v>
      </c>
    </row>
    <row r="1611" spans="1:2" x14ac:dyDescent="0.25">
      <c r="A1611" s="1" t="s">
        <v>2910</v>
      </c>
      <c r="B1611" s="1" t="s">
        <v>2911</v>
      </c>
    </row>
    <row r="1612" spans="1:2" x14ac:dyDescent="0.25">
      <c r="A1612" s="1" t="s">
        <v>2912</v>
      </c>
      <c r="B1612" s="1" t="s">
        <v>2913</v>
      </c>
    </row>
    <row r="1613" spans="1:2" x14ac:dyDescent="0.25">
      <c r="A1613" s="1" t="s">
        <v>2914</v>
      </c>
      <c r="B1613" s="1" t="s">
        <v>2915</v>
      </c>
    </row>
    <row r="1614" spans="1:2" x14ac:dyDescent="0.25">
      <c r="A1614" s="1" t="s">
        <v>2916</v>
      </c>
      <c r="B1614" s="1" t="s">
        <v>2917</v>
      </c>
    </row>
    <row r="1615" spans="1:2" x14ac:dyDescent="0.25">
      <c r="A1615" s="1" t="s">
        <v>2918</v>
      </c>
      <c r="B1615" s="1" t="s">
        <v>2919</v>
      </c>
    </row>
    <row r="1616" spans="1:2" x14ac:dyDescent="0.25">
      <c r="A1616" s="1" t="s">
        <v>2920</v>
      </c>
      <c r="B1616" s="1" t="s">
        <v>2921</v>
      </c>
    </row>
    <row r="1617" spans="1:2" x14ac:dyDescent="0.25">
      <c r="A1617" s="1" t="s">
        <v>2922</v>
      </c>
      <c r="B1617" s="1" t="s">
        <v>2923</v>
      </c>
    </row>
    <row r="1618" spans="1:2" x14ac:dyDescent="0.25">
      <c r="A1618" s="1" t="s">
        <v>2924</v>
      </c>
      <c r="B1618" s="1" t="s">
        <v>2925</v>
      </c>
    </row>
    <row r="1619" spans="1:2" x14ac:dyDescent="0.25">
      <c r="A1619" s="1" t="s">
        <v>2926</v>
      </c>
      <c r="B1619" s="1" t="s">
        <v>2927</v>
      </c>
    </row>
    <row r="1620" spans="1:2" x14ac:dyDescent="0.25">
      <c r="A1620" s="1" t="s">
        <v>2928</v>
      </c>
      <c r="B1620" s="1" t="s">
        <v>2929</v>
      </c>
    </row>
    <row r="1621" spans="1:2" x14ac:dyDescent="0.25">
      <c r="A1621" s="1" t="s">
        <v>2930</v>
      </c>
      <c r="B1621" s="1" t="s">
        <v>2931</v>
      </c>
    </row>
    <row r="1622" spans="1:2" x14ac:dyDescent="0.25">
      <c r="A1622" s="1" t="s">
        <v>2932</v>
      </c>
      <c r="B1622" s="1" t="s">
        <v>2933</v>
      </c>
    </row>
    <row r="1623" spans="1:2" x14ac:dyDescent="0.25">
      <c r="A1623" s="1" t="s">
        <v>2934</v>
      </c>
      <c r="B1623" s="1" t="s">
        <v>2935</v>
      </c>
    </row>
    <row r="1624" spans="1:2" x14ac:dyDescent="0.25">
      <c r="A1624" s="1" t="s">
        <v>2936</v>
      </c>
      <c r="B1624" s="1" t="s">
        <v>2937</v>
      </c>
    </row>
    <row r="1625" spans="1:2" x14ac:dyDescent="0.25">
      <c r="A1625" s="1" t="s">
        <v>2938</v>
      </c>
      <c r="B1625" s="1" t="s">
        <v>2939</v>
      </c>
    </row>
    <row r="1626" spans="1:2" x14ac:dyDescent="0.25">
      <c r="A1626" s="1" t="s">
        <v>2940</v>
      </c>
      <c r="B1626" s="1" t="s">
        <v>2941</v>
      </c>
    </row>
    <row r="1627" spans="1:2" x14ac:dyDescent="0.25">
      <c r="A1627" s="1" t="s">
        <v>2942</v>
      </c>
      <c r="B1627" s="1" t="s">
        <v>2943</v>
      </c>
    </row>
    <row r="1628" spans="1:2" x14ac:dyDescent="0.25">
      <c r="A1628" s="1" t="s">
        <v>2944</v>
      </c>
      <c r="B1628" s="1" t="s">
        <v>2945</v>
      </c>
    </row>
    <row r="1629" spans="1:2" x14ac:dyDescent="0.25">
      <c r="A1629" s="1" t="s">
        <v>2946</v>
      </c>
      <c r="B1629" s="1" t="s">
        <v>2947</v>
      </c>
    </row>
    <row r="1630" spans="1:2" x14ac:dyDescent="0.25">
      <c r="A1630" s="1" t="s">
        <v>2948</v>
      </c>
      <c r="B1630" s="1" t="s">
        <v>2949</v>
      </c>
    </row>
    <row r="1631" spans="1:2" x14ac:dyDescent="0.25">
      <c r="A1631" s="1" t="s">
        <v>2950</v>
      </c>
      <c r="B1631" s="1" t="s">
        <v>2951</v>
      </c>
    </row>
    <row r="1632" spans="1:2" x14ac:dyDescent="0.25">
      <c r="A1632" s="1" t="s">
        <v>2952</v>
      </c>
      <c r="B1632" s="1" t="s">
        <v>2953</v>
      </c>
    </row>
    <row r="1633" spans="1:2" x14ac:dyDescent="0.25">
      <c r="A1633" s="1" t="s">
        <v>2954</v>
      </c>
      <c r="B1633" s="1" t="s">
        <v>2955</v>
      </c>
    </row>
    <row r="1634" spans="1:2" x14ac:dyDescent="0.25">
      <c r="A1634" s="1" t="s">
        <v>2956</v>
      </c>
      <c r="B1634" s="1" t="s">
        <v>2957</v>
      </c>
    </row>
    <row r="1635" spans="1:2" x14ac:dyDescent="0.25">
      <c r="A1635" s="1" t="s">
        <v>2958</v>
      </c>
      <c r="B1635" s="1" t="s">
        <v>2959</v>
      </c>
    </row>
    <row r="1636" spans="1:2" x14ac:dyDescent="0.25">
      <c r="A1636" s="1" t="s">
        <v>2960</v>
      </c>
      <c r="B1636" s="1" t="s">
        <v>2961</v>
      </c>
    </row>
    <row r="1637" spans="1:2" x14ac:dyDescent="0.25">
      <c r="A1637" s="1" t="s">
        <v>2962</v>
      </c>
      <c r="B1637" s="1" t="s">
        <v>2963</v>
      </c>
    </row>
    <row r="1638" spans="1:2" x14ac:dyDescent="0.25">
      <c r="A1638" s="1" t="s">
        <v>2964</v>
      </c>
      <c r="B1638" s="1" t="s">
        <v>2965</v>
      </c>
    </row>
    <row r="1639" spans="1:2" x14ac:dyDescent="0.25">
      <c r="A1639" s="1" t="s">
        <v>2966</v>
      </c>
      <c r="B1639" s="1" t="s">
        <v>2967</v>
      </c>
    </row>
    <row r="1640" spans="1:2" x14ac:dyDescent="0.25">
      <c r="A1640" s="1" t="s">
        <v>2968</v>
      </c>
      <c r="B1640" s="1" t="s">
        <v>2969</v>
      </c>
    </row>
    <row r="1641" spans="1:2" x14ac:dyDescent="0.25">
      <c r="A1641" s="1" t="s">
        <v>2970</v>
      </c>
      <c r="B1641" s="1" t="s">
        <v>2971</v>
      </c>
    </row>
    <row r="1642" spans="1:2" x14ac:dyDescent="0.25">
      <c r="A1642" s="1" t="s">
        <v>2972</v>
      </c>
      <c r="B1642" s="1" t="s">
        <v>2973</v>
      </c>
    </row>
    <row r="1643" spans="1:2" x14ac:dyDescent="0.25">
      <c r="A1643" s="1" t="s">
        <v>2974</v>
      </c>
      <c r="B1643" s="1" t="s">
        <v>2975</v>
      </c>
    </row>
    <row r="1644" spans="1:2" x14ac:dyDescent="0.25">
      <c r="A1644" s="1" t="s">
        <v>2976</v>
      </c>
      <c r="B1644" s="1" t="s">
        <v>2977</v>
      </c>
    </row>
    <row r="1645" spans="1:2" x14ac:dyDescent="0.25">
      <c r="A1645" s="1" t="s">
        <v>2978</v>
      </c>
      <c r="B1645" s="1" t="s">
        <v>2979</v>
      </c>
    </row>
    <row r="1646" spans="1:2" x14ac:dyDescent="0.25">
      <c r="A1646" s="1" t="s">
        <v>266</v>
      </c>
      <c r="B1646" s="1" t="s">
        <v>2980</v>
      </c>
    </row>
    <row r="1647" spans="1:2" x14ac:dyDescent="0.25">
      <c r="A1647" s="1" t="s">
        <v>2981</v>
      </c>
      <c r="B1647" s="1" t="s">
        <v>2982</v>
      </c>
    </row>
    <row r="1648" spans="1:2" x14ac:dyDescent="0.25">
      <c r="A1648" s="1" t="s">
        <v>2983</v>
      </c>
      <c r="B1648" s="1" t="s">
        <v>2984</v>
      </c>
    </row>
    <row r="1649" spans="1:2" x14ac:dyDescent="0.25">
      <c r="A1649" s="1" t="s">
        <v>253</v>
      </c>
      <c r="B1649" s="1" t="s">
        <v>2985</v>
      </c>
    </row>
    <row r="1650" spans="1:2" x14ac:dyDescent="0.25">
      <c r="A1650" s="1" t="s">
        <v>2986</v>
      </c>
      <c r="B1650" s="1" t="s">
        <v>2987</v>
      </c>
    </row>
    <row r="1651" spans="1:2" x14ac:dyDescent="0.25">
      <c r="A1651" s="1" t="s">
        <v>2988</v>
      </c>
      <c r="B1651" s="1" t="s">
        <v>2989</v>
      </c>
    </row>
    <row r="1652" spans="1:2" x14ac:dyDescent="0.25">
      <c r="A1652" s="1" t="s">
        <v>2990</v>
      </c>
      <c r="B1652" s="1" t="s">
        <v>2991</v>
      </c>
    </row>
    <row r="1653" spans="1:2" x14ac:dyDescent="0.25">
      <c r="A1653" s="1" t="s">
        <v>2992</v>
      </c>
      <c r="B1653" s="1" t="s">
        <v>2993</v>
      </c>
    </row>
    <row r="1654" spans="1:2" x14ac:dyDescent="0.25">
      <c r="A1654" s="1" t="s">
        <v>2994</v>
      </c>
      <c r="B1654" s="1" t="s">
        <v>2995</v>
      </c>
    </row>
    <row r="1655" spans="1:2" x14ac:dyDescent="0.25">
      <c r="A1655" s="1" t="s">
        <v>2996</v>
      </c>
      <c r="B1655" s="1" t="s">
        <v>2997</v>
      </c>
    </row>
    <row r="1656" spans="1:2" x14ac:dyDescent="0.25">
      <c r="A1656" s="1" t="s">
        <v>163</v>
      </c>
      <c r="B1656" s="1" t="s">
        <v>2998</v>
      </c>
    </row>
    <row r="1657" spans="1:2" x14ac:dyDescent="0.25">
      <c r="A1657" s="1" t="s">
        <v>2999</v>
      </c>
      <c r="B1657" s="1" t="s">
        <v>3000</v>
      </c>
    </row>
    <row r="1658" spans="1:2" x14ac:dyDescent="0.25">
      <c r="A1658" s="1" t="s">
        <v>3001</v>
      </c>
      <c r="B1658" s="1" t="s">
        <v>3002</v>
      </c>
    </row>
    <row r="1659" spans="1:2" x14ac:dyDescent="0.25">
      <c r="A1659" s="1" t="s">
        <v>3003</v>
      </c>
      <c r="B1659" s="1" t="s">
        <v>3004</v>
      </c>
    </row>
    <row r="1660" spans="1:2" x14ac:dyDescent="0.25">
      <c r="A1660" s="1" t="s">
        <v>3005</v>
      </c>
      <c r="B1660" s="1" t="s">
        <v>3006</v>
      </c>
    </row>
    <row r="1661" spans="1:2" x14ac:dyDescent="0.25">
      <c r="A1661" s="1" t="s">
        <v>3007</v>
      </c>
      <c r="B1661" s="1" t="s">
        <v>3008</v>
      </c>
    </row>
    <row r="1662" spans="1:2" x14ac:dyDescent="0.25">
      <c r="A1662" s="1" t="s">
        <v>3009</v>
      </c>
      <c r="B1662" s="1" t="s">
        <v>3010</v>
      </c>
    </row>
    <row r="1663" spans="1:2" x14ac:dyDescent="0.25">
      <c r="A1663" s="1" t="s">
        <v>3011</v>
      </c>
      <c r="B1663" s="1" t="s">
        <v>3012</v>
      </c>
    </row>
    <row r="1664" spans="1:2" x14ac:dyDescent="0.25">
      <c r="A1664" s="1" t="s">
        <v>3013</v>
      </c>
      <c r="B1664" s="1" t="s">
        <v>3014</v>
      </c>
    </row>
    <row r="1665" spans="1:2" x14ac:dyDescent="0.25">
      <c r="A1665" s="1" t="s">
        <v>3015</v>
      </c>
      <c r="B1665" s="1" t="s">
        <v>3016</v>
      </c>
    </row>
    <row r="1666" spans="1:2" x14ac:dyDescent="0.25">
      <c r="A1666" s="1" t="s">
        <v>3017</v>
      </c>
      <c r="B1666" s="1" t="s">
        <v>3018</v>
      </c>
    </row>
    <row r="1667" spans="1:2" x14ac:dyDescent="0.25">
      <c r="A1667" s="1" t="s">
        <v>3019</v>
      </c>
      <c r="B1667" s="1" t="s">
        <v>3020</v>
      </c>
    </row>
    <row r="1668" spans="1:2" x14ac:dyDescent="0.25">
      <c r="A1668" s="1" t="s">
        <v>3021</v>
      </c>
      <c r="B1668" s="1" t="s">
        <v>3022</v>
      </c>
    </row>
    <row r="1669" spans="1:2" x14ac:dyDescent="0.25">
      <c r="A1669" s="1" t="s">
        <v>3023</v>
      </c>
      <c r="B1669" s="1" t="s">
        <v>3024</v>
      </c>
    </row>
    <row r="1670" spans="1:2" x14ac:dyDescent="0.25">
      <c r="A1670" s="1" t="s">
        <v>3025</v>
      </c>
      <c r="B1670" s="1" t="s">
        <v>3026</v>
      </c>
    </row>
    <row r="1671" spans="1:2" x14ac:dyDescent="0.25">
      <c r="A1671" s="1" t="s">
        <v>3027</v>
      </c>
      <c r="B1671" s="1" t="s">
        <v>3028</v>
      </c>
    </row>
    <row r="1672" spans="1:2" x14ac:dyDescent="0.25">
      <c r="A1672" s="1" t="s">
        <v>3029</v>
      </c>
      <c r="B1672" s="1" t="s">
        <v>3030</v>
      </c>
    </row>
    <row r="1673" spans="1:2" x14ac:dyDescent="0.25">
      <c r="A1673" s="1" t="s">
        <v>3031</v>
      </c>
      <c r="B1673" s="1" t="s">
        <v>3032</v>
      </c>
    </row>
    <row r="1674" spans="1:2" x14ac:dyDescent="0.25">
      <c r="A1674" s="1" t="s">
        <v>3033</v>
      </c>
      <c r="B1674" s="1" t="s">
        <v>3034</v>
      </c>
    </row>
    <row r="1675" spans="1:2" x14ac:dyDescent="0.25">
      <c r="A1675" s="1" t="s">
        <v>3035</v>
      </c>
      <c r="B1675" s="1" t="s">
        <v>3036</v>
      </c>
    </row>
    <row r="1676" spans="1:2" x14ac:dyDescent="0.25">
      <c r="A1676" s="1" t="s">
        <v>3037</v>
      </c>
      <c r="B1676" s="1" t="s">
        <v>3038</v>
      </c>
    </row>
    <row r="1677" spans="1:2" x14ac:dyDescent="0.25">
      <c r="A1677" s="1" t="s">
        <v>3039</v>
      </c>
      <c r="B1677" s="1" t="s">
        <v>3040</v>
      </c>
    </row>
    <row r="1678" spans="1:2" x14ac:dyDescent="0.25">
      <c r="A1678" s="1" t="s">
        <v>3041</v>
      </c>
      <c r="B1678" s="1" t="s">
        <v>3042</v>
      </c>
    </row>
    <row r="1679" spans="1:2" x14ac:dyDescent="0.25">
      <c r="A1679" s="1" t="s">
        <v>3043</v>
      </c>
      <c r="B1679" s="1" t="s">
        <v>3044</v>
      </c>
    </row>
    <row r="1680" spans="1:2" x14ac:dyDescent="0.25">
      <c r="A1680" s="1" t="s">
        <v>3045</v>
      </c>
      <c r="B1680" s="1" t="s">
        <v>3046</v>
      </c>
    </row>
    <row r="1681" spans="1:2" x14ac:dyDescent="0.25">
      <c r="A1681" s="1" t="s">
        <v>3047</v>
      </c>
      <c r="B1681" s="1" t="s">
        <v>3048</v>
      </c>
    </row>
    <row r="1682" spans="1:2" x14ac:dyDescent="0.25">
      <c r="A1682" s="1" t="s">
        <v>3049</v>
      </c>
      <c r="B1682" s="1" t="s">
        <v>3050</v>
      </c>
    </row>
    <row r="1683" spans="1:2" x14ac:dyDescent="0.25">
      <c r="A1683" s="1" t="s">
        <v>3051</v>
      </c>
      <c r="B1683" s="1" t="s">
        <v>3052</v>
      </c>
    </row>
    <row r="1684" spans="1:2" x14ac:dyDescent="0.25">
      <c r="A1684" s="1" t="s">
        <v>3053</v>
      </c>
      <c r="B1684" s="1" t="s">
        <v>3054</v>
      </c>
    </row>
    <row r="1685" spans="1:2" x14ac:dyDescent="0.25">
      <c r="A1685" s="1" t="s">
        <v>3055</v>
      </c>
      <c r="B1685" s="1" t="s">
        <v>3056</v>
      </c>
    </row>
    <row r="1686" spans="1:2" x14ac:dyDescent="0.25">
      <c r="A1686" s="1" t="s">
        <v>3057</v>
      </c>
      <c r="B1686" s="1" t="s">
        <v>3058</v>
      </c>
    </row>
    <row r="1687" spans="1:2" x14ac:dyDescent="0.25">
      <c r="A1687" s="1" t="s">
        <v>3059</v>
      </c>
      <c r="B1687" s="1" t="s">
        <v>3060</v>
      </c>
    </row>
    <row r="1688" spans="1:2" x14ac:dyDescent="0.25">
      <c r="A1688" s="1" t="s">
        <v>3061</v>
      </c>
      <c r="B1688" s="1" t="s">
        <v>3062</v>
      </c>
    </row>
    <row r="1689" spans="1:2" x14ac:dyDescent="0.25">
      <c r="A1689" s="1" t="s">
        <v>3063</v>
      </c>
      <c r="B1689" s="1" t="s">
        <v>3064</v>
      </c>
    </row>
    <row r="1690" spans="1:2" x14ac:dyDescent="0.25">
      <c r="A1690" s="1" t="s">
        <v>3065</v>
      </c>
      <c r="B1690" s="1" t="s">
        <v>3066</v>
      </c>
    </row>
    <row r="1691" spans="1:2" x14ac:dyDescent="0.25">
      <c r="A1691" s="1" t="s">
        <v>3067</v>
      </c>
      <c r="B1691" s="1" t="s">
        <v>3068</v>
      </c>
    </row>
    <row r="1692" spans="1:2" x14ac:dyDescent="0.25">
      <c r="A1692" s="1" t="s">
        <v>683</v>
      </c>
      <c r="B1692" s="1" t="s">
        <v>3069</v>
      </c>
    </row>
    <row r="1693" spans="1:2" x14ac:dyDescent="0.25">
      <c r="A1693" s="1" t="s">
        <v>3070</v>
      </c>
      <c r="B1693" s="1" t="s">
        <v>3071</v>
      </c>
    </row>
    <row r="1694" spans="1:2" x14ac:dyDescent="0.25">
      <c r="A1694" s="1" t="s">
        <v>3072</v>
      </c>
      <c r="B1694" s="1" t="s">
        <v>3073</v>
      </c>
    </row>
    <row r="1695" spans="1:2" x14ac:dyDescent="0.25">
      <c r="A1695" s="1" t="s">
        <v>3074</v>
      </c>
      <c r="B1695" s="1" t="s">
        <v>3075</v>
      </c>
    </row>
    <row r="1696" spans="1:2" x14ac:dyDescent="0.25">
      <c r="A1696" s="1" t="s">
        <v>3076</v>
      </c>
      <c r="B1696" s="1" t="s">
        <v>3077</v>
      </c>
    </row>
    <row r="1697" spans="1:2" x14ac:dyDescent="0.25">
      <c r="A1697" s="1" t="s">
        <v>3078</v>
      </c>
      <c r="B1697" s="1" t="s">
        <v>3079</v>
      </c>
    </row>
    <row r="1698" spans="1:2" x14ac:dyDescent="0.25">
      <c r="A1698" s="1" t="s">
        <v>90</v>
      </c>
      <c r="B1698" s="1" t="s">
        <v>3080</v>
      </c>
    </row>
    <row r="1699" spans="1:2" x14ac:dyDescent="0.25">
      <c r="A1699" s="1" t="s">
        <v>92</v>
      </c>
      <c r="B1699" s="1" t="s">
        <v>3081</v>
      </c>
    </row>
    <row r="1700" spans="1:2" x14ac:dyDescent="0.25">
      <c r="A1700" s="1" t="s">
        <v>3082</v>
      </c>
      <c r="B1700" s="1" t="s">
        <v>3083</v>
      </c>
    </row>
    <row r="1701" spans="1:2" x14ac:dyDescent="0.25">
      <c r="A1701" s="1" t="s">
        <v>397</v>
      </c>
      <c r="B1701" s="1" t="s">
        <v>3084</v>
      </c>
    </row>
    <row r="1702" spans="1:2" x14ac:dyDescent="0.25">
      <c r="A1702" s="1" t="s">
        <v>3085</v>
      </c>
      <c r="B1702" s="1" t="s">
        <v>3086</v>
      </c>
    </row>
    <row r="1703" spans="1:2" x14ac:dyDescent="0.25">
      <c r="A1703" s="1" t="s">
        <v>3087</v>
      </c>
      <c r="B1703" s="1" t="s">
        <v>3088</v>
      </c>
    </row>
    <row r="1704" spans="1:2" x14ac:dyDescent="0.25">
      <c r="A1704" s="1" t="s">
        <v>3089</v>
      </c>
      <c r="B1704" s="1" t="s">
        <v>3090</v>
      </c>
    </row>
    <row r="1705" spans="1:2" x14ac:dyDescent="0.25">
      <c r="A1705" s="1" t="s">
        <v>846</v>
      </c>
      <c r="B1705" s="1" t="s">
        <v>3091</v>
      </c>
    </row>
    <row r="1706" spans="1:2" x14ac:dyDescent="0.25">
      <c r="A1706" s="1" t="s">
        <v>3092</v>
      </c>
      <c r="B1706" s="1" t="s">
        <v>3093</v>
      </c>
    </row>
    <row r="1707" spans="1:2" x14ac:dyDescent="0.25">
      <c r="A1707" s="1" t="s">
        <v>3094</v>
      </c>
      <c r="B1707" s="1" t="s">
        <v>3095</v>
      </c>
    </row>
    <row r="1708" spans="1:2" x14ac:dyDescent="0.25">
      <c r="A1708" s="1" t="s">
        <v>3096</v>
      </c>
      <c r="B1708" s="1" t="s">
        <v>3097</v>
      </c>
    </row>
    <row r="1709" spans="1:2" x14ac:dyDescent="0.25">
      <c r="A1709" s="1" t="s">
        <v>3098</v>
      </c>
      <c r="B1709" s="1" t="s">
        <v>3099</v>
      </c>
    </row>
    <row r="1710" spans="1:2" x14ac:dyDescent="0.25">
      <c r="A1710" s="1" t="s">
        <v>3100</v>
      </c>
      <c r="B1710" s="1" t="s">
        <v>3101</v>
      </c>
    </row>
    <row r="1711" spans="1:2" x14ac:dyDescent="0.25">
      <c r="A1711" s="1" t="s">
        <v>3102</v>
      </c>
      <c r="B1711" s="1" t="s">
        <v>3103</v>
      </c>
    </row>
    <row r="1712" spans="1:2" x14ac:dyDescent="0.25">
      <c r="A1712" s="1" t="s">
        <v>3104</v>
      </c>
      <c r="B1712" s="1" t="s">
        <v>3105</v>
      </c>
    </row>
    <row r="1713" spans="1:2" x14ac:dyDescent="0.25">
      <c r="A1713" s="1" t="s">
        <v>163</v>
      </c>
      <c r="B1713" s="1" t="s">
        <v>3106</v>
      </c>
    </row>
    <row r="1714" spans="1:2" x14ac:dyDescent="0.25">
      <c r="A1714" s="1" t="s">
        <v>151</v>
      </c>
      <c r="B1714" s="1" t="s">
        <v>3107</v>
      </c>
    </row>
    <row r="1715" spans="1:2" x14ac:dyDescent="0.25">
      <c r="A1715" s="1" t="s">
        <v>167</v>
      </c>
      <c r="B1715" s="1" t="s">
        <v>3108</v>
      </c>
    </row>
    <row r="1716" spans="1:2" x14ac:dyDescent="0.25">
      <c r="A1716" s="1" t="s">
        <v>3109</v>
      </c>
      <c r="B1716" s="1" t="s">
        <v>3110</v>
      </c>
    </row>
    <row r="1717" spans="1:2" x14ac:dyDescent="0.25">
      <c r="A1717" s="1" t="s">
        <v>3111</v>
      </c>
      <c r="B1717" s="1" t="s">
        <v>3112</v>
      </c>
    </row>
    <row r="1718" spans="1:2" x14ac:dyDescent="0.25">
      <c r="A1718" s="1" t="s">
        <v>2221</v>
      </c>
      <c r="B1718" s="1" t="s">
        <v>3113</v>
      </c>
    </row>
    <row r="1719" spans="1:2" x14ac:dyDescent="0.25">
      <c r="A1719" s="1" t="s">
        <v>264</v>
      </c>
      <c r="B1719" s="1" t="s">
        <v>3114</v>
      </c>
    </row>
    <row r="1720" spans="1:2" x14ac:dyDescent="0.25">
      <c r="A1720" s="1" t="s">
        <v>3115</v>
      </c>
      <c r="B1720" s="1" t="s">
        <v>3116</v>
      </c>
    </row>
    <row r="1721" spans="1:2" x14ac:dyDescent="0.25">
      <c r="A1721" s="1" t="s">
        <v>90</v>
      </c>
      <c r="B1721" s="1" t="s">
        <v>3117</v>
      </c>
    </row>
    <row r="1722" spans="1:2" x14ac:dyDescent="0.25">
      <c r="A1722" s="1" t="s">
        <v>3118</v>
      </c>
      <c r="B1722" s="1" t="s">
        <v>3119</v>
      </c>
    </row>
    <row r="1723" spans="1:2" x14ac:dyDescent="0.25">
      <c r="A1723" s="1" t="s">
        <v>3120</v>
      </c>
      <c r="B1723" s="1" t="s">
        <v>3121</v>
      </c>
    </row>
    <row r="1724" spans="1:2" x14ac:dyDescent="0.25">
      <c r="A1724" s="1" t="s">
        <v>3122</v>
      </c>
      <c r="B1724" s="1" t="s">
        <v>3123</v>
      </c>
    </row>
    <row r="1725" spans="1:2" x14ac:dyDescent="0.25">
      <c r="A1725" s="1" t="s">
        <v>3124</v>
      </c>
      <c r="B1725" s="1" t="s">
        <v>3125</v>
      </c>
    </row>
    <row r="1726" spans="1:2" x14ac:dyDescent="0.25">
      <c r="A1726" s="1" t="s">
        <v>3126</v>
      </c>
      <c r="B1726" s="1" t="s">
        <v>3127</v>
      </c>
    </row>
    <row r="1727" spans="1:2" x14ac:dyDescent="0.25">
      <c r="A1727" s="1" t="s">
        <v>3128</v>
      </c>
      <c r="B1727" s="1" t="s">
        <v>3129</v>
      </c>
    </row>
    <row r="1728" spans="1:2" x14ac:dyDescent="0.25">
      <c r="A1728" s="1" t="s">
        <v>3130</v>
      </c>
      <c r="B1728" s="1" t="s">
        <v>3131</v>
      </c>
    </row>
    <row r="1729" spans="1:2" x14ac:dyDescent="0.25">
      <c r="A1729" s="1" t="s">
        <v>3132</v>
      </c>
      <c r="B1729" s="1" t="s">
        <v>3133</v>
      </c>
    </row>
    <row r="1730" spans="1:2" x14ac:dyDescent="0.25">
      <c r="A1730" s="1" t="s">
        <v>3134</v>
      </c>
      <c r="B1730" s="1" t="s">
        <v>3135</v>
      </c>
    </row>
    <row r="1731" spans="1:2" x14ac:dyDescent="0.25">
      <c r="A1731" s="1" t="s">
        <v>3136</v>
      </c>
      <c r="B1731" s="1" t="s">
        <v>3137</v>
      </c>
    </row>
    <row r="1732" spans="1:2" x14ac:dyDescent="0.25">
      <c r="A1732" s="1" t="s">
        <v>3138</v>
      </c>
      <c r="B1732" s="1" t="s">
        <v>3139</v>
      </c>
    </row>
    <row r="1733" spans="1:2" x14ac:dyDescent="0.25">
      <c r="A1733" s="1" t="s">
        <v>3140</v>
      </c>
      <c r="B1733" s="1" t="s">
        <v>3141</v>
      </c>
    </row>
    <row r="1734" spans="1:2" x14ac:dyDescent="0.25">
      <c r="A1734" s="1" t="s">
        <v>3142</v>
      </c>
      <c r="B1734" s="1" t="s">
        <v>3143</v>
      </c>
    </row>
    <row r="1735" spans="1:2" x14ac:dyDescent="0.25">
      <c r="A1735" s="1" t="s">
        <v>3144</v>
      </c>
      <c r="B1735" s="1" t="s">
        <v>3145</v>
      </c>
    </row>
    <row r="1736" spans="1:2" x14ac:dyDescent="0.25">
      <c r="A1736" s="1" t="s">
        <v>3146</v>
      </c>
      <c r="B1736" s="1" t="s">
        <v>3147</v>
      </c>
    </row>
    <row r="1737" spans="1:2" x14ac:dyDescent="0.25">
      <c r="A1737" s="1" t="s">
        <v>3148</v>
      </c>
      <c r="B1737" s="1" t="s">
        <v>3149</v>
      </c>
    </row>
    <row r="1738" spans="1:2" x14ac:dyDescent="0.25">
      <c r="A1738" s="1" t="s">
        <v>3150</v>
      </c>
      <c r="B1738" s="1" t="s">
        <v>3151</v>
      </c>
    </row>
    <row r="1739" spans="1:2" x14ac:dyDescent="0.25">
      <c r="A1739" s="1" t="s">
        <v>3152</v>
      </c>
      <c r="B1739" s="1" t="s">
        <v>3153</v>
      </c>
    </row>
    <row r="1740" spans="1:2" x14ac:dyDescent="0.25">
      <c r="A1740" s="1" t="s">
        <v>3154</v>
      </c>
      <c r="B1740" s="1" t="s">
        <v>3155</v>
      </c>
    </row>
    <row r="1741" spans="1:2" x14ac:dyDescent="0.25">
      <c r="A1741" s="1" t="s">
        <v>3156</v>
      </c>
      <c r="B1741" s="1" t="s">
        <v>3157</v>
      </c>
    </row>
    <row r="1742" spans="1:2" x14ac:dyDescent="0.25">
      <c r="A1742" s="1" t="s">
        <v>3158</v>
      </c>
      <c r="B1742" s="1" t="s">
        <v>3159</v>
      </c>
    </row>
    <row r="1743" spans="1:2" x14ac:dyDescent="0.25">
      <c r="A1743" s="1" t="s">
        <v>3160</v>
      </c>
      <c r="B1743" s="1" t="s">
        <v>3161</v>
      </c>
    </row>
    <row r="1744" spans="1:2" x14ac:dyDescent="0.25">
      <c r="A1744" s="1" t="s">
        <v>3162</v>
      </c>
      <c r="B1744" s="1" t="s">
        <v>3163</v>
      </c>
    </row>
    <row r="1745" spans="1:2" x14ac:dyDescent="0.25">
      <c r="A1745" s="1" t="s">
        <v>3164</v>
      </c>
      <c r="B1745" s="1" t="s">
        <v>3165</v>
      </c>
    </row>
    <row r="1746" spans="1:2" x14ac:dyDescent="0.25">
      <c r="A1746" s="1" t="s">
        <v>3166</v>
      </c>
      <c r="B1746" s="1" t="s">
        <v>3167</v>
      </c>
    </row>
    <row r="1747" spans="1:2" x14ac:dyDescent="0.25">
      <c r="A1747" s="1" t="s">
        <v>3168</v>
      </c>
      <c r="B1747" s="1" t="s">
        <v>3169</v>
      </c>
    </row>
    <row r="1748" spans="1:2" x14ac:dyDescent="0.25">
      <c r="A1748" s="1" t="s">
        <v>3170</v>
      </c>
      <c r="B1748" s="1" t="s">
        <v>3171</v>
      </c>
    </row>
    <row r="1749" spans="1:2" x14ac:dyDescent="0.25">
      <c r="A1749" s="1" t="s">
        <v>3172</v>
      </c>
      <c r="B1749" s="1" t="s">
        <v>3173</v>
      </c>
    </row>
    <row r="1750" spans="1:2" x14ac:dyDescent="0.25">
      <c r="A1750" s="1" t="s">
        <v>3174</v>
      </c>
      <c r="B1750" s="1" t="s">
        <v>3175</v>
      </c>
    </row>
    <row r="1751" spans="1:2" x14ac:dyDescent="0.25">
      <c r="A1751" s="1" t="s">
        <v>3176</v>
      </c>
      <c r="B1751" s="1" t="s">
        <v>3177</v>
      </c>
    </row>
    <row r="1752" spans="1:2" x14ac:dyDescent="0.25">
      <c r="A1752" s="1" t="s">
        <v>3178</v>
      </c>
      <c r="B1752" s="1" t="s">
        <v>3179</v>
      </c>
    </row>
    <row r="1753" spans="1:2" x14ac:dyDescent="0.25">
      <c r="A1753" s="1" t="s">
        <v>3180</v>
      </c>
      <c r="B1753" s="1" t="s">
        <v>3181</v>
      </c>
    </row>
    <row r="1754" spans="1:2" x14ac:dyDescent="0.25">
      <c r="A1754" s="1" t="s">
        <v>3182</v>
      </c>
      <c r="B1754" s="1" t="s">
        <v>3183</v>
      </c>
    </row>
    <row r="1755" spans="1:2" x14ac:dyDescent="0.25">
      <c r="A1755" s="1" t="s">
        <v>3184</v>
      </c>
      <c r="B1755" s="1" t="s">
        <v>3185</v>
      </c>
    </row>
    <row r="1756" spans="1:2" x14ac:dyDescent="0.25">
      <c r="A1756" s="1" t="s">
        <v>3186</v>
      </c>
      <c r="B1756" s="1" t="s">
        <v>3187</v>
      </c>
    </row>
    <row r="1757" spans="1:2" x14ac:dyDescent="0.25">
      <c r="A1757" s="1" t="s">
        <v>3188</v>
      </c>
      <c r="B1757" s="1" t="s">
        <v>3189</v>
      </c>
    </row>
    <row r="1758" spans="1:2" x14ac:dyDescent="0.25">
      <c r="A1758" s="1" t="s">
        <v>3190</v>
      </c>
      <c r="B1758" s="1" t="s">
        <v>3191</v>
      </c>
    </row>
    <row r="1759" spans="1:2" x14ac:dyDescent="0.25">
      <c r="A1759" s="1" t="s">
        <v>3192</v>
      </c>
      <c r="B1759" s="1" t="s">
        <v>3193</v>
      </c>
    </row>
    <row r="1760" spans="1:2" x14ac:dyDescent="0.25">
      <c r="A1760" s="1" t="s">
        <v>3194</v>
      </c>
      <c r="B1760" s="1" t="s">
        <v>3195</v>
      </c>
    </row>
    <row r="1761" spans="1:2" x14ac:dyDescent="0.25">
      <c r="A1761" s="1" t="s">
        <v>3196</v>
      </c>
      <c r="B1761" s="1" t="s">
        <v>3197</v>
      </c>
    </row>
    <row r="1762" spans="1:2" x14ac:dyDescent="0.25">
      <c r="A1762" s="1" t="s">
        <v>3198</v>
      </c>
      <c r="B1762" s="1" t="s">
        <v>3199</v>
      </c>
    </row>
    <row r="1763" spans="1:2" x14ac:dyDescent="0.25">
      <c r="A1763" s="1" t="s">
        <v>515</v>
      </c>
      <c r="B1763" s="1" t="s">
        <v>3200</v>
      </c>
    </row>
    <row r="1764" spans="1:2" x14ac:dyDescent="0.25">
      <c r="A1764" s="1" t="s">
        <v>3201</v>
      </c>
      <c r="B1764" s="1" t="s">
        <v>3202</v>
      </c>
    </row>
    <row r="1765" spans="1:2" x14ac:dyDescent="0.25">
      <c r="A1765" s="1" t="s">
        <v>513</v>
      </c>
      <c r="B1765" s="1" t="s">
        <v>3203</v>
      </c>
    </row>
    <row r="1766" spans="1:2" x14ac:dyDescent="0.25">
      <c r="A1766" s="1" t="s">
        <v>3204</v>
      </c>
      <c r="B1766" s="1" t="s">
        <v>3205</v>
      </c>
    </row>
    <row r="1767" spans="1:2" x14ac:dyDescent="0.25">
      <c r="A1767" s="1" t="s">
        <v>441</v>
      </c>
      <c r="B1767" s="1" t="s">
        <v>3206</v>
      </c>
    </row>
    <row r="1768" spans="1:2" x14ac:dyDescent="0.25">
      <c r="A1768" s="1" t="s">
        <v>3207</v>
      </c>
      <c r="B1768" s="1" t="s">
        <v>3208</v>
      </c>
    </row>
    <row r="1769" spans="1:2" x14ac:dyDescent="0.25">
      <c r="A1769" s="1" t="s">
        <v>3209</v>
      </c>
      <c r="B1769" s="1" t="s">
        <v>3210</v>
      </c>
    </row>
    <row r="1770" spans="1:2" x14ac:dyDescent="0.25">
      <c r="A1770" s="1" t="s">
        <v>3211</v>
      </c>
      <c r="B1770" s="1" t="s">
        <v>3212</v>
      </c>
    </row>
    <row r="1771" spans="1:2" x14ac:dyDescent="0.25">
      <c r="A1771" s="1" t="s">
        <v>3162</v>
      </c>
      <c r="B1771" s="1" t="s">
        <v>3213</v>
      </c>
    </row>
    <row r="1772" spans="1:2" x14ac:dyDescent="0.25">
      <c r="A1772" s="1" t="s">
        <v>3160</v>
      </c>
      <c r="B1772" s="1" t="s">
        <v>3214</v>
      </c>
    </row>
    <row r="1773" spans="1:2" x14ac:dyDescent="0.25">
      <c r="A1773" s="1" t="s">
        <v>3215</v>
      </c>
      <c r="B1773" s="1" t="s">
        <v>3216</v>
      </c>
    </row>
    <row r="1774" spans="1:2" x14ac:dyDescent="0.25">
      <c r="A1774" s="1" t="s">
        <v>3196</v>
      </c>
      <c r="B1774" s="1" t="s">
        <v>3217</v>
      </c>
    </row>
    <row r="1775" spans="1:2" x14ac:dyDescent="0.25">
      <c r="A1775" s="1" t="s">
        <v>3218</v>
      </c>
      <c r="B1775" s="1" t="s">
        <v>3219</v>
      </c>
    </row>
    <row r="1776" spans="1:2" x14ac:dyDescent="0.25">
      <c r="A1776" s="1" t="s">
        <v>3220</v>
      </c>
      <c r="B1776" s="1" t="s">
        <v>3221</v>
      </c>
    </row>
    <row r="1777" spans="1:2" x14ac:dyDescent="0.25">
      <c r="A1777" s="1" t="s">
        <v>371</v>
      </c>
      <c r="B1777" s="1" t="s">
        <v>3222</v>
      </c>
    </row>
    <row r="1778" spans="1:2" x14ac:dyDescent="0.25">
      <c r="A1778" s="1" t="s">
        <v>3223</v>
      </c>
      <c r="B1778" s="1" t="s">
        <v>3224</v>
      </c>
    </row>
    <row r="1779" spans="1:2" x14ac:dyDescent="0.25">
      <c r="A1779" s="1" t="s">
        <v>92</v>
      </c>
      <c r="B1779" s="1" t="s">
        <v>3225</v>
      </c>
    </row>
    <row r="1780" spans="1:2" x14ac:dyDescent="0.25">
      <c r="A1780" s="1" t="s">
        <v>1529</v>
      </c>
      <c r="B1780" s="1" t="s">
        <v>3226</v>
      </c>
    </row>
    <row r="1781" spans="1:2" x14ac:dyDescent="0.25">
      <c r="A1781" s="1" t="s">
        <v>531</v>
      </c>
      <c r="B1781" s="1" t="s">
        <v>3227</v>
      </c>
    </row>
    <row r="1782" spans="1:2" x14ac:dyDescent="0.25">
      <c r="A1782" s="1" t="s">
        <v>3228</v>
      </c>
      <c r="B1782" s="1" t="s">
        <v>3229</v>
      </c>
    </row>
    <row r="1783" spans="1:2" x14ac:dyDescent="0.25">
      <c r="A1783" s="1" t="s">
        <v>347</v>
      </c>
      <c r="B1783" s="1" t="s">
        <v>3230</v>
      </c>
    </row>
    <row r="1784" spans="1:2" x14ac:dyDescent="0.25">
      <c r="A1784" s="1" t="s">
        <v>3231</v>
      </c>
      <c r="B1784" s="1" t="s">
        <v>3232</v>
      </c>
    </row>
    <row r="1785" spans="1:2" x14ac:dyDescent="0.25">
      <c r="A1785" s="1" t="s">
        <v>360</v>
      </c>
      <c r="B1785" s="1" t="s">
        <v>3233</v>
      </c>
    </row>
    <row r="1786" spans="1:2" x14ac:dyDescent="0.25">
      <c r="A1786" s="1" t="s">
        <v>362</v>
      </c>
      <c r="B1786" s="1" t="s">
        <v>3234</v>
      </c>
    </row>
    <row r="1787" spans="1:2" x14ac:dyDescent="0.25">
      <c r="A1787" s="1" t="s">
        <v>355</v>
      </c>
      <c r="B1787" s="1" t="s">
        <v>3235</v>
      </c>
    </row>
    <row r="1788" spans="1:2" x14ac:dyDescent="0.25">
      <c r="A1788" s="1" t="s">
        <v>2014</v>
      </c>
      <c r="B1788" s="1" t="s">
        <v>3236</v>
      </c>
    </row>
    <row r="1789" spans="1:2" x14ac:dyDescent="0.25">
      <c r="A1789" s="1" t="s">
        <v>3237</v>
      </c>
      <c r="B1789" s="1" t="s">
        <v>3238</v>
      </c>
    </row>
    <row r="1790" spans="1:2" x14ac:dyDescent="0.25">
      <c r="A1790" s="1" t="s">
        <v>3239</v>
      </c>
      <c r="B1790" s="1" t="s">
        <v>3240</v>
      </c>
    </row>
    <row r="1791" spans="1:2" x14ac:dyDescent="0.25">
      <c r="A1791" s="1" t="s">
        <v>3241</v>
      </c>
      <c r="B1791" s="1" t="s">
        <v>3242</v>
      </c>
    </row>
    <row r="1792" spans="1:2" x14ac:dyDescent="0.25">
      <c r="A1792" s="1" t="s">
        <v>3243</v>
      </c>
      <c r="B1792" s="1" t="s">
        <v>3244</v>
      </c>
    </row>
    <row r="1793" spans="1:2" x14ac:dyDescent="0.25">
      <c r="A1793" s="1" t="s">
        <v>3245</v>
      </c>
      <c r="B1793" s="1" t="s">
        <v>3246</v>
      </c>
    </row>
    <row r="1794" spans="1:2" x14ac:dyDescent="0.25">
      <c r="A1794" s="1" t="s">
        <v>3247</v>
      </c>
      <c r="B1794" s="1" t="s">
        <v>3248</v>
      </c>
    </row>
    <row r="1795" spans="1:2" x14ac:dyDescent="0.25">
      <c r="A1795" s="1" t="s">
        <v>3249</v>
      </c>
      <c r="B1795" s="1" t="s">
        <v>3250</v>
      </c>
    </row>
    <row r="1796" spans="1:2" x14ac:dyDescent="0.25">
      <c r="A1796" s="1" t="s">
        <v>3251</v>
      </c>
      <c r="B1796" s="1" t="s">
        <v>3252</v>
      </c>
    </row>
    <row r="1797" spans="1:2" x14ac:dyDescent="0.25">
      <c r="A1797" s="1" t="s">
        <v>3253</v>
      </c>
      <c r="B1797" s="1" t="s">
        <v>3254</v>
      </c>
    </row>
    <row r="1798" spans="1:2" x14ac:dyDescent="0.25">
      <c r="A1798" s="1" t="s">
        <v>3255</v>
      </c>
      <c r="B1798" s="1" t="s">
        <v>3256</v>
      </c>
    </row>
    <row r="1799" spans="1:2" x14ac:dyDescent="0.25">
      <c r="A1799" s="1" t="s">
        <v>3257</v>
      </c>
      <c r="B1799" s="1" t="s">
        <v>3258</v>
      </c>
    </row>
    <row r="1800" spans="1:2" x14ac:dyDescent="0.25">
      <c r="A1800" s="1" t="s">
        <v>3259</v>
      </c>
      <c r="B1800" s="1" t="s">
        <v>3260</v>
      </c>
    </row>
    <row r="1801" spans="1:2" x14ac:dyDescent="0.25">
      <c r="A1801" s="1" t="s">
        <v>3261</v>
      </c>
      <c r="B1801" s="1" t="s">
        <v>3262</v>
      </c>
    </row>
    <row r="1802" spans="1:2" x14ac:dyDescent="0.25">
      <c r="A1802" s="1" t="s">
        <v>3263</v>
      </c>
      <c r="B1802" s="1" t="s">
        <v>3264</v>
      </c>
    </row>
    <row r="1803" spans="1:2" x14ac:dyDescent="0.25">
      <c r="A1803" s="1" t="s">
        <v>3265</v>
      </c>
      <c r="B1803" s="1" t="s">
        <v>3266</v>
      </c>
    </row>
    <row r="1804" spans="1:2" x14ac:dyDescent="0.25">
      <c r="A1804" s="1" t="s">
        <v>3267</v>
      </c>
      <c r="B1804" s="1" t="s">
        <v>3268</v>
      </c>
    </row>
    <row r="1805" spans="1:2" x14ac:dyDescent="0.25">
      <c r="A1805" s="1" t="s">
        <v>3269</v>
      </c>
      <c r="B1805" s="1" t="s">
        <v>3270</v>
      </c>
    </row>
    <row r="1806" spans="1:2" x14ac:dyDescent="0.25">
      <c r="A1806" s="1" t="s">
        <v>3271</v>
      </c>
      <c r="B1806" s="1" t="s">
        <v>3272</v>
      </c>
    </row>
    <row r="1807" spans="1:2" x14ac:dyDescent="0.25">
      <c r="A1807" s="1" t="s">
        <v>3273</v>
      </c>
      <c r="B1807" s="1" t="s">
        <v>3274</v>
      </c>
    </row>
    <row r="1808" spans="1:2" x14ac:dyDescent="0.25">
      <c r="A1808" s="1" t="s">
        <v>3275</v>
      </c>
      <c r="B1808" s="1" t="s">
        <v>3276</v>
      </c>
    </row>
    <row r="1809" spans="1:2" x14ac:dyDescent="0.25">
      <c r="A1809" s="1" t="s">
        <v>3277</v>
      </c>
      <c r="B1809" s="1" t="s">
        <v>3278</v>
      </c>
    </row>
    <row r="1810" spans="1:2" x14ac:dyDescent="0.25">
      <c r="A1810" s="1" t="s">
        <v>3279</v>
      </c>
      <c r="B1810" s="1" t="s">
        <v>3280</v>
      </c>
    </row>
    <row r="1811" spans="1:2" x14ac:dyDescent="0.25">
      <c r="A1811" s="1" t="s">
        <v>3281</v>
      </c>
      <c r="B1811" s="1" t="s">
        <v>3282</v>
      </c>
    </row>
    <row r="1812" spans="1:2" x14ac:dyDescent="0.25">
      <c r="A1812" s="1" t="s">
        <v>3283</v>
      </c>
      <c r="B1812" s="1" t="s">
        <v>3284</v>
      </c>
    </row>
    <row r="1813" spans="1:2" x14ac:dyDescent="0.25">
      <c r="A1813" s="1" t="s">
        <v>3285</v>
      </c>
      <c r="B1813" s="1" t="s">
        <v>3286</v>
      </c>
    </row>
    <row r="1814" spans="1:2" x14ac:dyDescent="0.25">
      <c r="A1814" s="1" t="s">
        <v>3287</v>
      </c>
      <c r="B1814" s="1" t="s">
        <v>3288</v>
      </c>
    </row>
    <row r="1815" spans="1:2" x14ac:dyDescent="0.25">
      <c r="A1815" s="1" t="s">
        <v>3289</v>
      </c>
      <c r="B1815" s="1" t="s">
        <v>3290</v>
      </c>
    </row>
    <row r="1816" spans="1:2" x14ac:dyDescent="0.25">
      <c r="A1816" s="1" t="s">
        <v>3291</v>
      </c>
      <c r="B1816" s="1" t="s">
        <v>3292</v>
      </c>
    </row>
    <row r="1817" spans="1:2" x14ac:dyDescent="0.25">
      <c r="A1817" s="1" t="s">
        <v>3293</v>
      </c>
      <c r="B1817" s="1" t="s">
        <v>3294</v>
      </c>
    </row>
    <row r="1818" spans="1:2" x14ac:dyDescent="0.25">
      <c r="A1818" s="1" t="s">
        <v>3295</v>
      </c>
      <c r="B1818" s="1" t="s">
        <v>3296</v>
      </c>
    </row>
    <row r="1819" spans="1:2" x14ac:dyDescent="0.25">
      <c r="A1819" s="1" t="s">
        <v>3297</v>
      </c>
      <c r="B1819" s="1" t="s">
        <v>3298</v>
      </c>
    </row>
    <row r="1820" spans="1:2" x14ac:dyDescent="0.25">
      <c r="A1820" s="1" t="s">
        <v>3299</v>
      </c>
      <c r="B1820" s="1" t="s">
        <v>3300</v>
      </c>
    </row>
    <row r="1821" spans="1:2" x14ac:dyDescent="0.25">
      <c r="A1821" s="1" t="s">
        <v>3301</v>
      </c>
      <c r="B1821" s="1" t="s">
        <v>3302</v>
      </c>
    </row>
    <row r="1822" spans="1:2" x14ac:dyDescent="0.25">
      <c r="A1822" s="1" t="s">
        <v>3303</v>
      </c>
      <c r="B1822" s="1" t="s">
        <v>3304</v>
      </c>
    </row>
    <row r="1823" spans="1:2" x14ac:dyDescent="0.25">
      <c r="A1823" s="1" t="s">
        <v>3305</v>
      </c>
      <c r="B1823" s="1" t="s">
        <v>3306</v>
      </c>
    </row>
    <row r="1824" spans="1:2" x14ac:dyDescent="0.25">
      <c r="A1824" s="1" t="s">
        <v>3307</v>
      </c>
      <c r="B1824" s="1" t="s">
        <v>3308</v>
      </c>
    </row>
    <row r="1825" spans="1:2" x14ac:dyDescent="0.25">
      <c r="A1825" s="1" t="s">
        <v>3309</v>
      </c>
      <c r="B1825" s="1" t="s">
        <v>3310</v>
      </c>
    </row>
    <row r="1826" spans="1:2" x14ac:dyDescent="0.25">
      <c r="A1826" s="1" t="s">
        <v>3311</v>
      </c>
      <c r="B1826" s="1" t="s">
        <v>3312</v>
      </c>
    </row>
    <row r="1827" spans="1:2" x14ac:dyDescent="0.25">
      <c r="A1827" s="1" t="s">
        <v>3313</v>
      </c>
      <c r="B1827" s="1" t="s">
        <v>3314</v>
      </c>
    </row>
    <row r="1828" spans="1:2" x14ac:dyDescent="0.25">
      <c r="A1828" s="1" t="s">
        <v>3315</v>
      </c>
      <c r="B1828" s="1" t="s">
        <v>3316</v>
      </c>
    </row>
    <row r="1829" spans="1:2" x14ac:dyDescent="0.25">
      <c r="A1829" s="1" t="s">
        <v>3317</v>
      </c>
      <c r="B1829" s="1" t="s">
        <v>3318</v>
      </c>
    </row>
    <row r="1830" spans="1:2" x14ac:dyDescent="0.25">
      <c r="A1830" s="1" t="s">
        <v>3319</v>
      </c>
      <c r="B1830" s="1" t="s">
        <v>3320</v>
      </c>
    </row>
    <row r="1831" spans="1:2" x14ac:dyDescent="0.25">
      <c r="A1831" s="1" t="s">
        <v>14</v>
      </c>
      <c r="B1831" s="1" t="s">
        <v>3321</v>
      </c>
    </row>
    <row r="1832" spans="1:2" x14ac:dyDescent="0.25">
      <c r="A1832" s="1" t="s">
        <v>901</v>
      </c>
      <c r="B1832" s="1" t="s">
        <v>3322</v>
      </c>
    </row>
    <row r="1833" spans="1:2" x14ac:dyDescent="0.25">
      <c r="A1833" s="1" t="s">
        <v>3323</v>
      </c>
      <c r="B1833" s="1" t="s">
        <v>3324</v>
      </c>
    </row>
    <row r="1834" spans="1:2" x14ac:dyDescent="0.25">
      <c r="A1834" s="1" t="s">
        <v>3325</v>
      </c>
      <c r="B1834" s="1" t="s">
        <v>3326</v>
      </c>
    </row>
    <row r="1835" spans="1:2" x14ac:dyDescent="0.25">
      <c r="A1835" s="1" t="s">
        <v>14</v>
      </c>
      <c r="B1835" s="1" t="s">
        <v>3327</v>
      </c>
    </row>
    <row r="1836" spans="1:2" x14ac:dyDescent="0.25">
      <c r="A1836" s="1" t="s">
        <v>901</v>
      </c>
      <c r="B1836" s="1" t="s">
        <v>3328</v>
      </c>
    </row>
    <row r="1837" spans="1:2" x14ac:dyDescent="0.25">
      <c r="A1837" s="1" t="s">
        <v>3323</v>
      </c>
      <c r="B1837" s="1" t="s">
        <v>3329</v>
      </c>
    </row>
    <row r="1838" spans="1:2" x14ac:dyDescent="0.25">
      <c r="A1838" s="1" t="s">
        <v>3325</v>
      </c>
      <c r="B1838" s="1" t="s">
        <v>3330</v>
      </c>
    </row>
    <row r="1839" spans="1:2" x14ac:dyDescent="0.25">
      <c r="A1839" s="1" t="s">
        <v>14</v>
      </c>
      <c r="B1839" s="1" t="s">
        <v>3331</v>
      </c>
    </row>
    <row r="1840" spans="1:2" x14ac:dyDescent="0.25">
      <c r="A1840" s="1" t="s">
        <v>901</v>
      </c>
      <c r="B1840" s="1" t="s">
        <v>3332</v>
      </c>
    </row>
    <row r="1841" spans="1:2" x14ac:dyDescent="0.25">
      <c r="A1841" s="1" t="s">
        <v>3323</v>
      </c>
      <c r="B1841" s="1" t="s">
        <v>3333</v>
      </c>
    </row>
    <row r="1842" spans="1:2" x14ac:dyDescent="0.25">
      <c r="A1842" s="1" t="s">
        <v>3325</v>
      </c>
      <c r="B1842" s="1" t="s">
        <v>3334</v>
      </c>
    </row>
    <row r="1843" spans="1:2" x14ac:dyDescent="0.25">
      <c r="A1843" s="1" t="s">
        <v>14</v>
      </c>
      <c r="B1843" s="1" t="s">
        <v>3335</v>
      </c>
    </row>
    <row r="1844" spans="1:2" x14ac:dyDescent="0.25">
      <c r="A1844" s="1" t="s">
        <v>901</v>
      </c>
      <c r="B1844" s="1" t="s">
        <v>3336</v>
      </c>
    </row>
    <row r="1845" spans="1:2" x14ac:dyDescent="0.25">
      <c r="A1845" s="1" t="s">
        <v>3323</v>
      </c>
      <c r="B1845" s="1" t="s">
        <v>3337</v>
      </c>
    </row>
    <row r="1846" spans="1:2" x14ac:dyDescent="0.25">
      <c r="A1846" s="1" t="s">
        <v>3325</v>
      </c>
      <c r="B1846" s="1" t="s">
        <v>3338</v>
      </c>
    </row>
    <row r="1847" spans="1:2" x14ac:dyDescent="0.25">
      <c r="A1847" s="1" t="s">
        <v>3339</v>
      </c>
      <c r="B1847" s="1" t="s">
        <v>3340</v>
      </c>
    </row>
    <row r="1848" spans="1:2" x14ac:dyDescent="0.25">
      <c r="A1848" s="1" t="s">
        <v>641</v>
      </c>
      <c r="B1848" s="1" t="s">
        <v>3341</v>
      </c>
    </row>
    <row r="1849" spans="1:2" x14ac:dyDescent="0.25">
      <c r="A1849" s="1" t="s">
        <v>264</v>
      </c>
      <c r="B1849" s="1" t="s">
        <v>3342</v>
      </c>
    </row>
    <row r="1850" spans="1:2" x14ac:dyDescent="0.25">
      <c r="A1850" s="1" t="s">
        <v>76</v>
      </c>
      <c r="B1850" s="1" t="s">
        <v>3343</v>
      </c>
    </row>
    <row r="1851" spans="1:2" x14ac:dyDescent="0.25">
      <c r="A1851" s="1" t="s">
        <v>163</v>
      </c>
      <c r="B1851" s="1" t="s">
        <v>3344</v>
      </c>
    </row>
    <row r="1852" spans="1:2" x14ac:dyDescent="0.25">
      <c r="A1852" s="1" t="s">
        <v>3345</v>
      </c>
      <c r="B1852" s="1" t="s">
        <v>3346</v>
      </c>
    </row>
    <row r="1853" spans="1:2" x14ac:dyDescent="0.25">
      <c r="A1853" s="1" t="s">
        <v>3347</v>
      </c>
      <c r="B1853" s="1" t="s">
        <v>3348</v>
      </c>
    </row>
    <row r="1854" spans="1:2" x14ac:dyDescent="0.25">
      <c r="A1854" s="1" t="s">
        <v>3349</v>
      </c>
      <c r="B1854" s="1" t="s">
        <v>3350</v>
      </c>
    </row>
    <row r="1855" spans="1:2" x14ac:dyDescent="0.25">
      <c r="A1855" s="1" t="s">
        <v>3351</v>
      </c>
      <c r="B1855" s="1" t="s">
        <v>3352</v>
      </c>
    </row>
    <row r="1856" spans="1:2" x14ac:dyDescent="0.25">
      <c r="A1856" s="1" t="s">
        <v>3353</v>
      </c>
      <c r="B1856" s="1" t="s">
        <v>3354</v>
      </c>
    </row>
    <row r="1857" spans="1:2" x14ac:dyDescent="0.25">
      <c r="A1857" s="1" t="s">
        <v>3355</v>
      </c>
      <c r="B1857" s="1" t="s">
        <v>3356</v>
      </c>
    </row>
    <row r="1858" spans="1:2" x14ac:dyDescent="0.25">
      <c r="A1858" s="1" t="s">
        <v>3357</v>
      </c>
      <c r="B1858" s="1" t="s">
        <v>3358</v>
      </c>
    </row>
    <row r="1859" spans="1:2" x14ac:dyDescent="0.25">
      <c r="A1859" s="1" t="s">
        <v>3345</v>
      </c>
      <c r="B1859" s="1" t="s">
        <v>3359</v>
      </c>
    </row>
    <row r="1860" spans="1:2" x14ac:dyDescent="0.25">
      <c r="A1860" s="1" t="s">
        <v>3360</v>
      </c>
      <c r="B1860" s="1" t="s">
        <v>3361</v>
      </c>
    </row>
    <row r="1861" spans="1:2" x14ac:dyDescent="0.25">
      <c r="A1861" s="1" t="s">
        <v>3362</v>
      </c>
      <c r="B1861" s="1" t="s">
        <v>3363</v>
      </c>
    </row>
    <row r="1862" spans="1:2" x14ac:dyDescent="0.25">
      <c r="A1862" s="1" t="s">
        <v>3364</v>
      </c>
      <c r="B1862" s="1" t="s">
        <v>3365</v>
      </c>
    </row>
    <row r="1863" spans="1:2" x14ac:dyDescent="0.25">
      <c r="A1863" s="1" t="s">
        <v>3366</v>
      </c>
      <c r="B1863" s="1" t="s">
        <v>3367</v>
      </c>
    </row>
    <row r="1864" spans="1:2" x14ac:dyDescent="0.25">
      <c r="A1864" s="1" t="s">
        <v>3368</v>
      </c>
      <c r="B1864" s="1" t="s">
        <v>3369</v>
      </c>
    </row>
    <row r="1865" spans="1:2" x14ac:dyDescent="0.25">
      <c r="A1865" s="1" t="s">
        <v>3345</v>
      </c>
      <c r="B1865" s="1" t="s">
        <v>3370</v>
      </c>
    </row>
    <row r="1866" spans="1:2" x14ac:dyDescent="0.25">
      <c r="A1866" s="1" t="s">
        <v>3371</v>
      </c>
      <c r="B1866" s="1" t="s">
        <v>3372</v>
      </c>
    </row>
    <row r="1867" spans="1:2" x14ac:dyDescent="0.25">
      <c r="A1867" s="1" t="s">
        <v>3373</v>
      </c>
      <c r="B1867" s="1" t="s">
        <v>3374</v>
      </c>
    </row>
    <row r="1868" spans="1:2" x14ac:dyDescent="0.25">
      <c r="A1868" s="1" t="s">
        <v>3375</v>
      </c>
      <c r="B1868" s="1" t="s">
        <v>3376</v>
      </c>
    </row>
    <row r="1869" spans="1:2" x14ac:dyDescent="0.25">
      <c r="A1869" s="1" t="s">
        <v>585</v>
      </c>
      <c r="B1869" s="1" t="s">
        <v>3377</v>
      </c>
    </row>
    <row r="1870" spans="1:2" x14ac:dyDescent="0.25">
      <c r="A1870" s="1" t="s">
        <v>3378</v>
      </c>
      <c r="B1870" s="1" t="s">
        <v>3379</v>
      </c>
    </row>
    <row r="1871" spans="1:2" x14ac:dyDescent="0.25">
      <c r="A1871" s="1" t="s">
        <v>3380</v>
      </c>
      <c r="B1871" s="1" t="s">
        <v>3381</v>
      </c>
    </row>
    <row r="1872" spans="1:2" x14ac:dyDescent="0.25">
      <c r="A1872" s="1" t="s">
        <v>3382</v>
      </c>
      <c r="B1872" s="1" t="s">
        <v>3383</v>
      </c>
    </row>
    <row r="1873" spans="1:2" x14ac:dyDescent="0.25">
      <c r="A1873" s="1" t="s">
        <v>3384</v>
      </c>
      <c r="B1873" s="1" t="s">
        <v>3385</v>
      </c>
    </row>
    <row r="1874" spans="1:2" x14ac:dyDescent="0.25">
      <c r="A1874" s="1" t="s">
        <v>3345</v>
      </c>
      <c r="B1874" s="1" t="s">
        <v>3386</v>
      </c>
    </row>
    <row r="1875" spans="1:2" x14ac:dyDescent="0.25">
      <c r="A1875" s="1" t="s">
        <v>3387</v>
      </c>
      <c r="B1875" s="1" t="s">
        <v>3388</v>
      </c>
    </row>
    <row r="1876" spans="1:2" x14ac:dyDescent="0.25">
      <c r="A1876" s="1" t="s">
        <v>3389</v>
      </c>
      <c r="B1876" s="1" t="s">
        <v>3390</v>
      </c>
    </row>
    <row r="1877" spans="1:2" x14ac:dyDescent="0.25">
      <c r="A1877" s="1" t="s">
        <v>3391</v>
      </c>
      <c r="B1877" s="1" t="s">
        <v>3392</v>
      </c>
    </row>
    <row r="1878" spans="1:2" x14ac:dyDescent="0.25">
      <c r="A1878" s="1" t="s">
        <v>3393</v>
      </c>
      <c r="B1878" s="1" t="s">
        <v>3394</v>
      </c>
    </row>
    <row r="1879" spans="1:2" x14ac:dyDescent="0.25">
      <c r="A1879" s="1" t="s">
        <v>3395</v>
      </c>
      <c r="B1879" s="1" t="s">
        <v>3396</v>
      </c>
    </row>
    <row r="1880" spans="1:2" x14ac:dyDescent="0.25">
      <c r="A1880" s="1" t="s">
        <v>3397</v>
      </c>
      <c r="B1880" s="1" t="s">
        <v>3398</v>
      </c>
    </row>
    <row r="1881" spans="1:2" x14ac:dyDescent="0.25">
      <c r="A1881" s="1" t="s">
        <v>3399</v>
      </c>
      <c r="B1881" s="1" t="s">
        <v>3400</v>
      </c>
    </row>
    <row r="1882" spans="1:2" x14ac:dyDescent="0.25">
      <c r="A1882" s="1" t="s">
        <v>3401</v>
      </c>
      <c r="B1882" s="1" t="s">
        <v>3402</v>
      </c>
    </row>
    <row r="1883" spans="1:2" x14ac:dyDescent="0.25">
      <c r="A1883" s="1" t="s">
        <v>3403</v>
      </c>
      <c r="B1883" s="1" t="s">
        <v>3404</v>
      </c>
    </row>
    <row r="1884" spans="1:2" x14ac:dyDescent="0.25">
      <c r="A1884" s="1" t="s">
        <v>3405</v>
      </c>
      <c r="B1884" s="1" t="s">
        <v>3406</v>
      </c>
    </row>
    <row r="1885" spans="1:2" x14ac:dyDescent="0.25">
      <c r="A1885" s="1" t="s">
        <v>3407</v>
      </c>
      <c r="B1885" s="1" t="s">
        <v>3408</v>
      </c>
    </row>
    <row r="1886" spans="1:2" x14ac:dyDescent="0.25">
      <c r="A1886" s="1" t="s">
        <v>3409</v>
      </c>
      <c r="B1886" s="1" t="s">
        <v>3410</v>
      </c>
    </row>
    <row r="1887" spans="1:2" x14ac:dyDescent="0.25">
      <c r="A1887" s="1" t="s">
        <v>3411</v>
      </c>
      <c r="B1887" s="1" t="s">
        <v>3412</v>
      </c>
    </row>
    <row r="1888" spans="1:2" x14ac:dyDescent="0.25">
      <c r="A1888" s="1" t="s">
        <v>3413</v>
      </c>
      <c r="B1888" s="1" t="s">
        <v>3414</v>
      </c>
    </row>
    <row r="1889" spans="1:2" x14ac:dyDescent="0.25">
      <c r="A1889" s="1" t="s">
        <v>3415</v>
      </c>
      <c r="B1889" s="1" t="s">
        <v>3416</v>
      </c>
    </row>
    <row r="1890" spans="1:2" x14ac:dyDescent="0.25">
      <c r="A1890" s="1" t="s">
        <v>3417</v>
      </c>
      <c r="B1890" s="1" t="s">
        <v>3418</v>
      </c>
    </row>
    <row r="1891" spans="1:2" x14ac:dyDescent="0.25">
      <c r="A1891" s="1" t="s">
        <v>3419</v>
      </c>
      <c r="B1891" s="1" t="s">
        <v>3420</v>
      </c>
    </row>
    <row r="1892" spans="1:2" x14ac:dyDescent="0.25">
      <c r="A1892" s="1" t="s">
        <v>3421</v>
      </c>
      <c r="B1892" s="1" t="s">
        <v>3422</v>
      </c>
    </row>
    <row r="1893" spans="1:2" x14ac:dyDescent="0.25">
      <c r="A1893" s="1" t="s">
        <v>3345</v>
      </c>
      <c r="B1893" s="1" t="s">
        <v>3423</v>
      </c>
    </row>
    <row r="1894" spans="1:2" x14ac:dyDescent="0.25">
      <c r="A1894" s="1" t="s">
        <v>3424</v>
      </c>
      <c r="B1894" s="1" t="s">
        <v>3425</v>
      </c>
    </row>
    <row r="1895" spans="1:2" x14ac:dyDescent="0.25">
      <c r="A1895" s="1" t="s">
        <v>3426</v>
      </c>
      <c r="B1895" s="1" t="s">
        <v>3427</v>
      </c>
    </row>
    <row r="1896" spans="1:2" x14ac:dyDescent="0.25">
      <c r="A1896" s="1" t="s">
        <v>3428</v>
      </c>
      <c r="B1896" s="1" t="s">
        <v>3429</v>
      </c>
    </row>
    <row r="1897" spans="1:2" x14ac:dyDescent="0.25">
      <c r="A1897" s="1" t="s">
        <v>3430</v>
      </c>
      <c r="B1897" s="1" t="s">
        <v>3431</v>
      </c>
    </row>
    <row r="1898" spans="1:2" x14ac:dyDescent="0.25">
      <c r="A1898" s="1" t="s">
        <v>3432</v>
      </c>
      <c r="B1898" s="1" t="s">
        <v>3433</v>
      </c>
    </row>
    <row r="1899" spans="1:2" x14ac:dyDescent="0.25">
      <c r="A1899" s="1" t="s">
        <v>1165</v>
      </c>
      <c r="B1899" s="1" t="s">
        <v>3434</v>
      </c>
    </row>
    <row r="1900" spans="1:2" x14ac:dyDescent="0.25">
      <c r="A1900" s="1" t="s">
        <v>3435</v>
      </c>
      <c r="B1900" s="1" t="s">
        <v>3436</v>
      </c>
    </row>
    <row r="1901" spans="1:2" x14ac:dyDescent="0.25">
      <c r="A1901" s="1" t="s">
        <v>3437</v>
      </c>
      <c r="B1901" s="1" t="s">
        <v>3438</v>
      </c>
    </row>
    <row r="1902" spans="1:2" x14ac:dyDescent="0.25">
      <c r="A1902" s="1" t="s">
        <v>14</v>
      </c>
      <c r="B1902" s="1" t="s">
        <v>3439</v>
      </c>
    </row>
    <row r="1903" spans="1:2" x14ac:dyDescent="0.25">
      <c r="A1903" s="1" t="s">
        <v>3440</v>
      </c>
      <c r="B1903" s="1" t="s">
        <v>3441</v>
      </c>
    </row>
    <row r="1904" spans="1:2" x14ac:dyDescent="0.25">
      <c r="A1904" s="1" t="s">
        <v>3442</v>
      </c>
      <c r="B1904" s="1" t="s">
        <v>3443</v>
      </c>
    </row>
    <row r="1905" spans="1:2" x14ac:dyDescent="0.25">
      <c r="A1905" s="1" t="s">
        <v>3444</v>
      </c>
      <c r="B1905" s="1" t="s">
        <v>3445</v>
      </c>
    </row>
    <row r="1906" spans="1:2" x14ac:dyDescent="0.25">
      <c r="A1906" s="1" t="s">
        <v>3446</v>
      </c>
      <c r="B1906" s="1" t="s">
        <v>3447</v>
      </c>
    </row>
    <row r="1907" spans="1:2" x14ac:dyDescent="0.25">
      <c r="A1907" s="1" t="s">
        <v>3448</v>
      </c>
      <c r="B1907" s="1" t="s">
        <v>3449</v>
      </c>
    </row>
    <row r="1908" spans="1:2" x14ac:dyDescent="0.25">
      <c r="A1908" s="1" t="s">
        <v>3450</v>
      </c>
      <c r="B1908" s="1" t="s">
        <v>3451</v>
      </c>
    </row>
    <row r="1909" spans="1:2" x14ac:dyDescent="0.25">
      <c r="A1909" s="1" t="s">
        <v>3452</v>
      </c>
      <c r="B1909" s="1" t="s">
        <v>3453</v>
      </c>
    </row>
    <row r="1910" spans="1:2" x14ac:dyDescent="0.25">
      <c r="A1910" s="1" t="s">
        <v>3454</v>
      </c>
      <c r="B1910" s="1" t="s">
        <v>3455</v>
      </c>
    </row>
    <row r="1911" spans="1:2" x14ac:dyDescent="0.25">
      <c r="A1911" s="1" t="s">
        <v>3456</v>
      </c>
      <c r="B1911" s="1" t="s">
        <v>3457</v>
      </c>
    </row>
    <row r="1912" spans="1:2" x14ac:dyDescent="0.25">
      <c r="A1912" s="1" t="s">
        <v>3458</v>
      </c>
      <c r="B1912" s="1" t="s">
        <v>3459</v>
      </c>
    </row>
    <row r="1913" spans="1:2" x14ac:dyDescent="0.25">
      <c r="A1913" s="1" t="s">
        <v>14</v>
      </c>
      <c r="B1913" s="1" t="s">
        <v>3460</v>
      </c>
    </row>
    <row r="1914" spans="1:2" x14ac:dyDescent="0.25">
      <c r="A1914" s="1" t="s">
        <v>3461</v>
      </c>
      <c r="B1914" s="1" t="s">
        <v>3462</v>
      </c>
    </row>
    <row r="1915" spans="1:2" x14ac:dyDescent="0.25">
      <c r="A1915" s="1" t="s">
        <v>3463</v>
      </c>
      <c r="B1915" s="1" t="s">
        <v>3464</v>
      </c>
    </row>
    <row r="1916" spans="1:2" x14ac:dyDescent="0.25">
      <c r="A1916" s="1" t="s">
        <v>3465</v>
      </c>
      <c r="B1916" s="1" t="s">
        <v>3466</v>
      </c>
    </row>
    <row r="1917" spans="1:2" x14ac:dyDescent="0.25">
      <c r="A1917" s="1" t="s">
        <v>3467</v>
      </c>
      <c r="B1917" s="1" t="s">
        <v>3468</v>
      </c>
    </row>
    <row r="1918" spans="1:2" x14ac:dyDescent="0.25">
      <c r="A1918" s="1" t="s">
        <v>3469</v>
      </c>
      <c r="B1918" s="1" t="s">
        <v>3470</v>
      </c>
    </row>
    <row r="1919" spans="1:2" x14ac:dyDescent="0.25">
      <c r="A1919" s="1" t="s">
        <v>3471</v>
      </c>
      <c r="B1919" s="1" t="s">
        <v>3472</v>
      </c>
    </row>
    <row r="1920" spans="1:2" x14ac:dyDescent="0.25">
      <c r="A1920" s="1" t="s">
        <v>3473</v>
      </c>
      <c r="B1920" s="1" t="s">
        <v>3474</v>
      </c>
    </row>
    <row r="1921" spans="1:2" x14ac:dyDescent="0.25">
      <c r="A1921" s="1" t="s">
        <v>3475</v>
      </c>
      <c r="B1921" s="1" t="s">
        <v>3476</v>
      </c>
    </row>
    <row r="1922" spans="1:2" x14ac:dyDescent="0.25">
      <c r="A1922" s="1" t="s">
        <v>3477</v>
      </c>
      <c r="B1922" s="1" t="s">
        <v>3478</v>
      </c>
    </row>
    <row r="1923" spans="1:2" x14ac:dyDescent="0.25">
      <c r="A1923" s="1" t="s">
        <v>2007</v>
      </c>
      <c r="B1923" s="1" t="s">
        <v>3479</v>
      </c>
    </row>
    <row r="1924" spans="1:2" x14ac:dyDescent="0.25">
      <c r="A1924" s="1" t="s">
        <v>384</v>
      </c>
      <c r="B1924" s="1" t="s">
        <v>3480</v>
      </c>
    </row>
    <row r="1925" spans="1:2" x14ac:dyDescent="0.25">
      <c r="A1925" s="1" t="s">
        <v>3345</v>
      </c>
      <c r="B1925" s="1" t="s">
        <v>3481</v>
      </c>
    </row>
    <row r="1926" spans="1:2" x14ac:dyDescent="0.25">
      <c r="A1926" s="1" t="s">
        <v>3482</v>
      </c>
      <c r="B1926" s="1" t="s">
        <v>3483</v>
      </c>
    </row>
    <row r="1927" spans="1:2" x14ac:dyDescent="0.25">
      <c r="A1927" s="1" t="s">
        <v>3484</v>
      </c>
      <c r="B1927" s="1" t="s">
        <v>3485</v>
      </c>
    </row>
    <row r="1928" spans="1:2" x14ac:dyDescent="0.25">
      <c r="A1928" s="1" t="s">
        <v>3486</v>
      </c>
      <c r="B1928" s="1" t="s">
        <v>3487</v>
      </c>
    </row>
    <row r="1929" spans="1:2" x14ac:dyDescent="0.25">
      <c r="A1929" s="1" t="s">
        <v>3488</v>
      </c>
      <c r="B1929" s="1" t="s">
        <v>3489</v>
      </c>
    </row>
    <row r="1930" spans="1:2" x14ac:dyDescent="0.25">
      <c r="A1930" s="1" t="s">
        <v>3490</v>
      </c>
      <c r="B1930" s="1" t="s">
        <v>3491</v>
      </c>
    </row>
    <row r="1931" spans="1:2" x14ac:dyDescent="0.25">
      <c r="A1931" s="1" t="s">
        <v>3486</v>
      </c>
      <c r="B1931" s="1" t="s">
        <v>3492</v>
      </c>
    </row>
    <row r="1932" spans="1:2" x14ac:dyDescent="0.25">
      <c r="A1932" s="1" t="s">
        <v>3482</v>
      </c>
      <c r="B1932" s="1" t="s">
        <v>3493</v>
      </c>
    </row>
    <row r="1933" spans="1:2" x14ac:dyDescent="0.25">
      <c r="A1933" s="1" t="s">
        <v>3494</v>
      </c>
      <c r="B1933" s="1" t="s">
        <v>3495</v>
      </c>
    </row>
    <row r="1934" spans="1:2" x14ac:dyDescent="0.25">
      <c r="A1934" s="1" t="s">
        <v>3496</v>
      </c>
      <c r="B1934" s="1" t="s">
        <v>3497</v>
      </c>
    </row>
    <row r="1935" spans="1:2" x14ac:dyDescent="0.25">
      <c r="A1935" s="1" t="s">
        <v>3498</v>
      </c>
      <c r="B1935" s="1" t="s">
        <v>3499</v>
      </c>
    </row>
    <row r="1936" spans="1:2" x14ac:dyDescent="0.25">
      <c r="A1936" s="1" t="s">
        <v>3500</v>
      </c>
      <c r="B1936" s="1" t="s">
        <v>3501</v>
      </c>
    </row>
    <row r="1937" spans="1:2" x14ac:dyDescent="0.25">
      <c r="A1937" s="1" t="s">
        <v>14</v>
      </c>
      <c r="B1937" s="1" t="s">
        <v>3502</v>
      </c>
    </row>
    <row r="1938" spans="1:2" x14ac:dyDescent="0.25">
      <c r="A1938" s="1" t="s">
        <v>679</v>
      </c>
      <c r="B1938" s="1" t="s">
        <v>3503</v>
      </c>
    </row>
    <row r="1939" spans="1:2" x14ac:dyDescent="0.25">
      <c r="A1939" s="1" t="s">
        <v>766</v>
      </c>
      <c r="B1939" s="1" t="s">
        <v>3504</v>
      </c>
    </row>
    <row r="1940" spans="1:2" x14ac:dyDescent="0.25">
      <c r="A1940" s="1" t="s">
        <v>14</v>
      </c>
      <c r="B1940" s="1" t="s">
        <v>3505</v>
      </c>
    </row>
    <row r="1941" spans="1:2" x14ac:dyDescent="0.25">
      <c r="A1941" s="1" t="s">
        <v>90</v>
      </c>
      <c r="B1941" s="1" t="s">
        <v>3506</v>
      </c>
    </row>
    <row r="1942" spans="1:2" x14ac:dyDescent="0.25">
      <c r="A1942" s="1" t="s">
        <v>16</v>
      </c>
      <c r="B1942" s="1" t="s">
        <v>3507</v>
      </c>
    </row>
    <row r="1943" spans="1:2" x14ac:dyDescent="0.25">
      <c r="A1943" s="1" t="s">
        <v>3508</v>
      </c>
      <c r="B1943" s="1" t="s">
        <v>3509</v>
      </c>
    </row>
    <row r="1944" spans="1:2" x14ac:dyDescent="0.25">
      <c r="A1944" s="1" t="s">
        <v>3510</v>
      </c>
      <c r="B1944" s="1" t="s">
        <v>3511</v>
      </c>
    </row>
    <row r="1945" spans="1:2" x14ac:dyDescent="0.25">
      <c r="A1945" s="1" t="s">
        <v>274</v>
      </c>
      <c r="B1945" s="1" t="s">
        <v>3512</v>
      </c>
    </row>
    <row r="1946" spans="1:2" x14ac:dyDescent="0.25">
      <c r="A1946" s="1" t="s">
        <v>151</v>
      </c>
      <c r="B1946" s="1" t="s">
        <v>3513</v>
      </c>
    </row>
    <row r="1947" spans="1:2" x14ac:dyDescent="0.25">
      <c r="A1947" s="1" t="s">
        <v>3514</v>
      </c>
      <c r="B1947" s="1" t="s">
        <v>3515</v>
      </c>
    </row>
    <row r="1948" spans="1:2" x14ac:dyDescent="0.25">
      <c r="A1948" s="1" t="s">
        <v>3516</v>
      </c>
      <c r="B1948" s="1" t="s">
        <v>3517</v>
      </c>
    </row>
    <row r="1949" spans="1:2" x14ac:dyDescent="0.25">
      <c r="A1949" s="1" t="s">
        <v>3518</v>
      </c>
      <c r="B1949" s="1" t="s">
        <v>3519</v>
      </c>
    </row>
    <row r="1950" spans="1:2" x14ac:dyDescent="0.25">
      <c r="A1950" s="1" t="s">
        <v>3520</v>
      </c>
      <c r="B1950" s="1" t="s">
        <v>3521</v>
      </c>
    </row>
    <row r="1951" spans="1:2" x14ac:dyDescent="0.25">
      <c r="A1951" s="1" t="s">
        <v>3522</v>
      </c>
      <c r="B1951" s="1" t="s">
        <v>3523</v>
      </c>
    </row>
    <row r="1952" spans="1:2" x14ac:dyDescent="0.25">
      <c r="A1952" s="1" t="s">
        <v>3524</v>
      </c>
      <c r="B1952" s="1" t="s">
        <v>3525</v>
      </c>
    </row>
    <row r="1953" spans="1:2" x14ac:dyDescent="0.25">
      <c r="A1953" s="1" t="s">
        <v>340</v>
      </c>
      <c r="B1953" s="1" t="s">
        <v>3526</v>
      </c>
    </row>
    <row r="1954" spans="1:2" x14ac:dyDescent="0.25">
      <c r="A1954" s="1" t="s">
        <v>362</v>
      </c>
      <c r="B1954" s="1" t="s">
        <v>3527</v>
      </c>
    </row>
    <row r="1955" spans="1:2" x14ac:dyDescent="0.25">
      <c r="A1955" s="1" t="s">
        <v>3528</v>
      </c>
      <c r="B1955" s="1" t="s">
        <v>3529</v>
      </c>
    </row>
    <row r="1956" spans="1:2" x14ac:dyDescent="0.25">
      <c r="A1956" s="1" t="s">
        <v>3530</v>
      </c>
      <c r="B1956" s="1" t="s">
        <v>3531</v>
      </c>
    </row>
    <row r="1957" spans="1:2" x14ac:dyDescent="0.25">
      <c r="A1957" s="1" t="s">
        <v>3532</v>
      </c>
      <c r="B1957" s="1" t="s">
        <v>3533</v>
      </c>
    </row>
    <row r="1958" spans="1:2" x14ac:dyDescent="0.25">
      <c r="A1958" s="1" t="s">
        <v>3534</v>
      </c>
      <c r="B1958" s="1" t="s">
        <v>3535</v>
      </c>
    </row>
    <row r="1959" spans="1:2" x14ac:dyDescent="0.25">
      <c r="A1959" s="1" t="s">
        <v>3536</v>
      </c>
      <c r="B1959" s="1" t="s">
        <v>3537</v>
      </c>
    </row>
    <row r="1960" spans="1:2" x14ac:dyDescent="0.25">
      <c r="A1960" s="1" t="s">
        <v>14</v>
      </c>
      <c r="B1960" s="1" t="s">
        <v>3538</v>
      </c>
    </row>
    <row r="1961" spans="1:2" x14ac:dyDescent="0.25">
      <c r="A1961" s="1" t="s">
        <v>264</v>
      </c>
      <c r="B1961" s="1" t="s">
        <v>3539</v>
      </c>
    </row>
    <row r="1962" spans="1:2" x14ac:dyDescent="0.25">
      <c r="A1962" s="1" t="s">
        <v>3530</v>
      </c>
      <c r="B1962" s="1" t="s">
        <v>3540</v>
      </c>
    </row>
    <row r="1963" spans="1:2" x14ac:dyDescent="0.25">
      <c r="A1963" s="1" t="s">
        <v>3532</v>
      </c>
      <c r="B1963" s="1" t="s">
        <v>3541</v>
      </c>
    </row>
    <row r="1964" spans="1:2" x14ac:dyDescent="0.25">
      <c r="A1964" s="1" t="s">
        <v>90</v>
      </c>
      <c r="B1964" s="1" t="s">
        <v>3542</v>
      </c>
    </row>
    <row r="1965" spans="1:2" x14ac:dyDescent="0.25">
      <c r="A1965" s="1" t="s">
        <v>16</v>
      </c>
      <c r="B1965" s="1" t="s">
        <v>3543</v>
      </c>
    </row>
    <row r="1966" spans="1:2" x14ac:dyDescent="0.25">
      <c r="A1966" s="1" t="s">
        <v>3544</v>
      </c>
      <c r="B1966" s="1" t="s">
        <v>3545</v>
      </c>
    </row>
    <row r="1967" spans="1:2" x14ac:dyDescent="0.25">
      <c r="A1967" s="1" t="s">
        <v>3546</v>
      </c>
      <c r="B1967" s="1" t="s">
        <v>3547</v>
      </c>
    </row>
    <row r="1968" spans="1:2" x14ac:dyDescent="0.25">
      <c r="A1968" s="1" t="s">
        <v>3548</v>
      </c>
      <c r="B1968" s="1" t="s">
        <v>3549</v>
      </c>
    </row>
    <row r="1969" spans="1:2" x14ac:dyDescent="0.25">
      <c r="A1969" s="1" t="s">
        <v>3550</v>
      </c>
      <c r="B1969" s="1" t="s">
        <v>3551</v>
      </c>
    </row>
    <row r="1970" spans="1:2" x14ac:dyDescent="0.25">
      <c r="A1970" s="1" t="s">
        <v>3552</v>
      </c>
      <c r="B1970" s="1" t="s">
        <v>3553</v>
      </c>
    </row>
    <row r="1971" spans="1:2" x14ac:dyDescent="0.25">
      <c r="A1971" s="1" t="s">
        <v>3554</v>
      </c>
      <c r="B1971" s="1" t="s">
        <v>3555</v>
      </c>
    </row>
    <row r="1972" spans="1:2" x14ac:dyDescent="0.25">
      <c r="A1972" s="1" t="s">
        <v>3556</v>
      </c>
      <c r="B1972" s="1" t="s">
        <v>3557</v>
      </c>
    </row>
    <row r="1973" spans="1:2" x14ac:dyDescent="0.25">
      <c r="A1973" s="1" t="s">
        <v>3558</v>
      </c>
      <c r="B1973" s="1" t="s">
        <v>3559</v>
      </c>
    </row>
    <row r="1974" spans="1:2" x14ac:dyDescent="0.25">
      <c r="A1974" s="1" t="s">
        <v>3560</v>
      </c>
      <c r="B1974" s="1" t="s">
        <v>3561</v>
      </c>
    </row>
    <row r="1975" spans="1:2" x14ac:dyDescent="0.25">
      <c r="A1975" s="1" t="s">
        <v>3562</v>
      </c>
      <c r="B1975" s="1" t="s">
        <v>3563</v>
      </c>
    </row>
    <row r="1976" spans="1:2" x14ac:dyDescent="0.25">
      <c r="A1976" s="1" t="s">
        <v>3564</v>
      </c>
      <c r="B1976" s="1" t="s">
        <v>3565</v>
      </c>
    </row>
    <row r="1977" spans="1:2" x14ac:dyDescent="0.25">
      <c r="A1977" s="1" t="s">
        <v>3566</v>
      </c>
      <c r="B1977" s="1" t="s">
        <v>3567</v>
      </c>
    </row>
    <row r="1978" spans="1:2" x14ac:dyDescent="0.25">
      <c r="A1978" s="1" t="s">
        <v>16</v>
      </c>
      <c r="B1978" s="1" t="s">
        <v>3568</v>
      </c>
    </row>
    <row r="1979" spans="1:2" x14ac:dyDescent="0.25">
      <c r="A1979" s="1" t="s">
        <v>436</v>
      </c>
      <c r="B1979" s="1" t="s">
        <v>3569</v>
      </c>
    </row>
    <row r="1980" spans="1:2" x14ac:dyDescent="0.25">
      <c r="A1980" s="1" t="s">
        <v>3570</v>
      </c>
      <c r="B1980" s="1" t="s">
        <v>3571</v>
      </c>
    </row>
    <row r="1981" spans="1:2" x14ac:dyDescent="0.25">
      <c r="A1981" s="1" t="s">
        <v>397</v>
      </c>
      <c r="B1981" s="1" t="s">
        <v>3572</v>
      </c>
    </row>
    <row r="1982" spans="1:2" x14ac:dyDescent="0.25">
      <c r="A1982" s="1" t="s">
        <v>641</v>
      </c>
      <c r="B1982" s="1" t="s">
        <v>3573</v>
      </c>
    </row>
    <row r="1983" spans="1:2" x14ac:dyDescent="0.25">
      <c r="A1983" s="1" t="s">
        <v>264</v>
      </c>
      <c r="B1983" s="1" t="s">
        <v>3574</v>
      </c>
    </row>
    <row r="1984" spans="1:2" x14ac:dyDescent="0.25">
      <c r="A1984" s="1" t="s">
        <v>90</v>
      </c>
      <c r="B1984" s="1" t="s">
        <v>3575</v>
      </c>
    </row>
    <row r="1985" spans="1:2" x14ac:dyDescent="0.25">
      <c r="A1985" s="1" t="s">
        <v>14</v>
      </c>
      <c r="B1985" s="1" t="s">
        <v>3576</v>
      </c>
    </row>
    <row r="1986" spans="1:2" x14ac:dyDescent="0.25">
      <c r="A1986" s="1" t="s">
        <v>253</v>
      </c>
      <c r="B1986" s="1" t="s">
        <v>3577</v>
      </c>
    </row>
    <row r="1987" spans="1:2" x14ac:dyDescent="0.25">
      <c r="A1987" s="1" t="s">
        <v>151</v>
      </c>
      <c r="B1987" s="1" t="s">
        <v>3578</v>
      </c>
    </row>
    <row r="1988" spans="1:2" x14ac:dyDescent="0.25">
      <c r="A1988" s="1" t="s">
        <v>92</v>
      </c>
      <c r="B1988" s="1" t="s">
        <v>3579</v>
      </c>
    </row>
    <row r="1989" spans="1:2" x14ac:dyDescent="0.25">
      <c r="A1989" s="1" t="s">
        <v>274</v>
      </c>
      <c r="B1989" s="1" t="s">
        <v>3580</v>
      </c>
    </row>
    <row r="1990" spans="1:2" x14ac:dyDescent="0.25">
      <c r="A1990" s="1" t="s">
        <v>2221</v>
      </c>
      <c r="B1990" s="1" t="s">
        <v>3581</v>
      </c>
    </row>
    <row r="1991" spans="1:2" x14ac:dyDescent="0.25">
      <c r="A1991" s="1" t="s">
        <v>133</v>
      </c>
      <c r="B1991" s="1" t="s">
        <v>3582</v>
      </c>
    </row>
    <row r="1992" spans="1:2" x14ac:dyDescent="0.25">
      <c r="A1992" s="1" t="s">
        <v>3583</v>
      </c>
      <c r="B1992" s="1" t="s">
        <v>3584</v>
      </c>
    </row>
    <row r="1993" spans="1:2" x14ac:dyDescent="0.25">
      <c r="A1993" s="1" t="s">
        <v>3585</v>
      </c>
      <c r="B1993" s="1" t="s">
        <v>3586</v>
      </c>
    </row>
    <row r="1994" spans="1:2" x14ac:dyDescent="0.25">
      <c r="A1994" s="1" t="s">
        <v>3587</v>
      </c>
      <c r="B1994" s="1" t="s">
        <v>3588</v>
      </c>
    </row>
    <row r="1995" spans="1:2" x14ac:dyDescent="0.25">
      <c r="A1995" s="1" t="s">
        <v>3589</v>
      </c>
      <c r="B1995" s="1" t="s">
        <v>3590</v>
      </c>
    </row>
    <row r="1996" spans="1:2" x14ac:dyDescent="0.25">
      <c r="A1996" s="1" t="s">
        <v>3591</v>
      </c>
      <c r="B1996" s="1" t="s">
        <v>3592</v>
      </c>
    </row>
    <row r="1997" spans="1:2" x14ac:dyDescent="0.25">
      <c r="A1997" s="1" t="s">
        <v>3593</v>
      </c>
      <c r="B1997" s="1" t="s">
        <v>3594</v>
      </c>
    </row>
    <row r="1998" spans="1:2" x14ac:dyDescent="0.25">
      <c r="A1998" s="1" t="s">
        <v>3595</v>
      </c>
      <c r="B1998" s="1" t="s">
        <v>3596</v>
      </c>
    </row>
    <row r="1999" spans="1:2" x14ac:dyDescent="0.25">
      <c r="A1999" s="1" t="s">
        <v>2177</v>
      </c>
      <c r="B1999" s="1" t="s">
        <v>3597</v>
      </c>
    </row>
    <row r="2000" spans="1:2" x14ac:dyDescent="0.25">
      <c r="A2000" s="1" t="s">
        <v>3598</v>
      </c>
      <c r="B2000" s="1" t="s">
        <v>3599</v>
      </c>
    </row>
    <row r="2001" spans="1:2" x14ac:dyDescent="0.25">
      <c r="A2001" s="1" t="s">
        <v>3587</v>
      </c>
      <c r="B2001" s="1" t="s">
        <v>3600</v>
      </c>
    </row>
    <row r="2002" spans="1:2" x14ac:dyDescent="0.25">
      <c r="A2002" s="1" t="s">
        <v>3601</v>
      </c>
      <c r="B2002" s="1" t="s">
        <v>3602</v>
      </c>
    </row>
    <row r="2003" spans="1:2" x14ac:dyDescent="0.25">
      <c r="A2003" s="1" t="s">
        <v>3603</v>
      </c>
      <c r="B2003" s="1" t="s">
        <v>3604</v>
      </c>
    </row>
    <row r="2004" spans="1:2" x14ac:dyDescent="0.25">
      <c r="A2004" s="1" t="s">
        <v>3345</v>
      </c>
      <c r="B2004" s="1" t="s">
        <v>3605</v>
      </c>
    </row>
    <row r="2005" spans="1:2" x14ac:dyDescent="0.25">
      <c r="A2005" s="1" t="s">
        <v>593</v>
      </c>
      <c r="B2005" s="1" t="s">
        <v>3606</v>
      </c>
    </row>
    <row r="2006" spans="1:2" x14ac:dyDescent="0.25">
      <c r="A2006" s="1" t="s">
        <v>3607</v>
      </c>
      <c r="B2006" s="1" t="s">
        <v>3608</v>
      </c>
    </row>
    <row r="2007" spans="1:2" x14ac:dyDescent="0.25">
      <c r="A2007" s="1" t="s">
        <v>3609</v>
      </c>
      <c r="B2007" s="1" t="s">
        <v>3610</v>
      </c>
    </row>
    <row r="2008" spans="1:2" x14ac:dyDescent="0.25">
      <c r="A2008" s="1" t="s">
        <v>3611</v>
      </c>
      <c r="B2008" s="1" t="s">
        <v>3612</v>
      </c>
    </row>
    <row r="2009" spans="1:2" x14ac:dyDescent="0.25">
      <c r="A2009" s="1" t="s">
        <v>3613</v>
      </c>
      <c r="B2009" s="1" t="s">
        <v>3614</v>
      </c>
    </row>
    <row r="2010" spans="1:2" x14ac:dyDescent="0.25">
      <c r="A2010" s="1" t="s">
        <v>3615</v>
      </c>
      <c r="B2010" s="1" t="s">
        <v>3616</v>
      </c>
    </row>
    <row r="2011" spans="1:2" x14ac:dyDescent="0.25">
      <c r="A2011" s="1" t="s">
        <v>2007</v>
      </c>
      <c r="B2011" s="1" t="s">
        <v>3617</v>
      </c>
    </row>
    <row r="2012" spans="1:2" x14ac:dyDescent="0.25">
      <c r="A2012" s="1" t="s">
        <v>3371</v>
      </c>
      <c r="B2012" s="1" t="s">
        <v>3618</v>
      </c>
    </row>
    <row r="2013" spans="1:2" x14ac:dyDescent="0.25">
      <c r="A2013" s="1" t="s">
        <v>3364</v>
      </c>
      <c r="B2013" s="1" t="s">
        <v>3619</v>
      </c>
    </row>
    <row r="2014" spans="1:2" x14ac:dyDescent="0.25">
      <c r="A2014" s="1" t="s">
        <v>3620</v>
      </c>
      <c r="B2014" s="1" t="s">
        <v>3621</v>
      </c>
    </row>
    <row r="2015" spans="1:2" x14ac:dyDescent="0.25">
      <c r="A2015" s="1" t="s">
        <v>3622</v>
      </c>
      <c r="B2015" s="1" t="s">
        <v>3623</v>
      </c>
    </row>
    <row r="2016" spans="1:2" x14ac:dyDescent="0.25">
      <c r="A2016" s="1" t="s">
        <v>3624</v>
      </c>
      <c r="B2016" s="1" t="s">
        <v>3625</v>
      </c>
    </row>
    <row r="2017" spans="1:2" x14ac:dyDescent="0.25">
      <c r="A2017" s="1" t="s">
        <v>3626</v>
      </c>
      <c r="B2017" s="1" t="s">
        <v>3627</v>
      </c>
    </row>
    <row r="2018" spans="1:2" x14ac:dyDescent="0.25">
      <c r="A2018" s="1" t="s">
        <v>587</v>
      </c>
      <c r="B2018" s="1" t="s">
        <v>3628</v>
      </c>
    </row>
    <row r="2019" spans="1:2" x14ac:dyDescent="0.25">
      <c r="A2019" s="1" t="s">
        <v>3629</v>
      </c>
      <c r="B2019" s="1" t="s">
        <v>3630</v>
      </c>
    </row>
    <row r="2020" spans="1:2" x14ac:dyDescent="0.25">
      <c r="A2020" s="1" t="s">
        <v>3631</v>
      </c>
      <c r="B2020" s="1" t="s">
        <v>3632</v>
      </c>
    </row>
    <row r="2021" spans="1:2" x14ac:dyDescent="0.25">
      <c r="A2021" s="1" t="s">
        <v>3633</v>
      </c>
      <c r="B2021" s="1" t="s">
        <v>3634</v>
      </c>
    </row>
    <row r="2022" spans="1:2" x14ac:dyDescent="0.25">
      <c r="A2022" s="1" t="s">
        <v>3635</v>
      </c>
      <c r="B2022" s="1" t="s">
        <v>3636</v>
      </c>
    </row>
    <row r="2023" spans="1:2" x14ac:dyDescent="0.25">
      <c r="A2023" s="1" t="s">
        <v>3637</v>
      </c>
      <c r="B2023" s="1" t="s">
        <v>3638</v>
      </c>
    </row>
    <row r="2024" spans="1:2" x14ac:dyDescent="0.25">
      <c r="A2024" s="1" t="s">
        <v>3639</v>
      </c>
      <c r="B2024" s="1" t="s">
        <v>3640</v>
      </c>
    </row>
    <row r="2025" spans="1:2" x14ac:dyDescent="0.25">
      <c r="A2025" s="1" t="s">
        <v>3626</v>
      </c>
      <c r="B2025" s="1" t="s">
        <v>3641</v>
      </c>
    </row>
    <row r="2026" spans="1:2" x14ac:dyDescent="0.25">
      <c r="A2026" s="1" t="s">
        <v>587</v>
      </c>
      <c r="B2026" s="1" t="s">
        <v>3642</v>
      </c>
    </row>
    <row r="2027" spans="1:2" x14ac:dyDescent="0.25">
      <c r="A2027" s="1" t="s">
        <v>3643</v>
      </c>
      <c r="B2027" s="1" t="s">
        <v>3644</v>
      </c>
    </row>
    <row r="2028" spans="1:2" x14ac:dyDescent="0.25">
      <c r="A2028" s="1" t="s">
        <v>3645</v>
      </c>
      <c r="B2028" s="1" t="s">
        <v>3646</v>
      </c>
    </row>
    <row r="2029" spans="1:2" x14ac:dyDescent="0.25">
      <c r="A2029" s="1" t="s">
        <v>3647</v>
      </c>
      <c r="B2029" s="1" t="s">
        <v>3648</v>
      </c>
    </row>
    <row r="2030" spans="1:2" x14ac:dyDescent="0.25">
      <c r="A2030" s="1" t="s">
        <v>3649</v>
      </c>
      <c r="B2030" s="1" t="s">
        <v>3650</v>
      </c>
    </row>
    <row r="2031" spans="1:2" x14ac:dyDescent="0.25">
      <c r="A2031" s="1" t="s">
        <v>3651</v>
      </c>
      <c r="B2031" s="1" t="s">
        <v>3652</v>
      </c>
    </row>
    <row r="2032" spans="1:2" x14ac:dyDescent="0.25">
      <c r="A2032" s="1" t="s">
        <v>3653</v>
      </c>
      <c r="B2032" s="1" t="s">
        <v>3654</v>
      </c>
    </row>
    <row r="2033" spans="1:2" x14ac:dyDescent="0.25">
      <c r="A2033" s="1" t="s">
        <v>3629</v>
      </c>
      <c r="B2033" s="1" t="s">
        <v>3655</v>
      </c>
    </row>
    <row r="2034" spans="1:2" x14ac:dyDescent="0.25">
      <c r="A2034" s="1" t="s">
        <v>3345</v>
      </c>
      <c r="B2034" s="1" t="s">
        <v>3656</v>
      </c>
    </row>
    <row r="2035" spans="1:2" x14ac:dyDescent="0.25">
      <c r="A2035" s="1" t="s">
        <v>3657</v>
      </c>
      <c r="B2035" s="1" t="s">
        <v>3658</v>
      </c>
    </row>
    <row r="2036" spans="1:2" x14ac:dyDescent="0.25">
      <c r="A2036" s="1" t="s">
        <v>3659</v>
      </c>
      <c r="B2036" s="1" t="s">
        <v>3660</v>
      </c>
    </row>
    <row r="2037" spans="1:2" x14ac:dyDescent="0.25">
      <c r="A2037" s="1" t="s">
        <v>3661</v>
      </c>
      <c r="B2037" s="1" t="s">
        <v>3662</v>
      </c>
    </row>
    <row r="2038" spans="1:2" x14ac:dyDescent="0.25">
      <c r="A2038" s="1" t="s">
        <v>3364</v>
      </c>
      <c r="B2038" s="1" t="s">
        <v>3663</v>
      </c>
    </row>
    <row r="2039" spans="1:2" x14ac:dyDescent="0.25">
      <c r="A2039" s="1" t="s">
        <v>3607</v>
      </c>
      <c r="B2039" s="1" t="s">
        <v>3664</v>
      </c>
    </row>
    <row r="2040" spans="1:2" x14ac:dyDescent="0.25">
      <c r="A2040" s="1" t="s">
        <v>3665</v>
      </c>
      <c r="B2040" s="1" t="s">
        <v>3666</v>
      </c>
    </row>
    <row r="2041" spans="1:2" x14ac:dyDescent="0.25">
      <c r="A2041" s="1" t="s">
        <v>3667</v>
      </c>
      <c r="B2041" s="1" t="s">
        <v>3668</v>
      </c>
    </row>
    <row r="2042" spans="1:2" x14ac:dyDescent="0.25">
      <c r="A2042" s="1" t="s">
        <v>3669</v>
      </c>
      <c r="B2042" s="1" t="s">
        <v>3670</v>
      </c>
    </row>
    <row r="2043" spans="1:2" x14ac:dyDescent="0.25">
      <c r="A2043" s="1" t="s">
        <v>3671</v>
      </c>
      <c r="B2043" s="1" t="s">
        <v>3672</v>
      </c>
    </row>
    <row r="2044" spans="1:2" x14ac:dyDescent="0.25">
      <c r="A2044" s="1" t="s">
        <v>3673</v>
      </c>
      <c r="B2044" s="1" t="s">
        <v>3674</v>
      </c>
    </row>
    <row r="2045" spans="1:2" x14ac:dyDescent="0.25">
      <c r="A2045" s="1" t="s">
        <v>587</v>
      </c>
      <c r="B2045" s="1" t="s">
        <v>3675</v>
      </c>
    </row>
    <row r="2046" spans="1:2" x14ac:dyDescent="0.25">
      <c r="A2046" s="1" t="s">
        <v>585</v>
      </c>
      <c r="B2046" s="1" t="s">
        <v>3676</v>
      </c>
    </row>
    <row r="2047" spans="1:2" x14ac:dyDescent="0.25">
      <c r="A2047" s="1" t="s">
        <v>3677</v>
      </c>
      <c r="B2047" s="1" t="s">
        <v>3678</v>
      </c>
    </row>
    <row r="2048" spans="1:2" x14ac:dyDescent="0.25">
      <c r="A2048" s="1" t="s">
        <v>3679</v>
      </c>
      <c r="B2048" s="1" t="s">
        <v>3680</v>
      </c>
    </row>
    <row r="2049" spans="1:2" x14ac:dyDescent="0.25">
      <c r="A2049" s="1" t="s">
        <v>3681</v>
      </c>
      <c r="B2049" s="1" t="s">
        <v>3682</v>
      </c>
    </row>
    <row r="2050" spans="1:2" x14ac:dyDescent="0.25">
      <c r="A2050" s="1" t="s">
        <v>3683</v>
      </c>
      <c r="B2050" s="1" t="s">
        <v>3684</v>
      </c>
    </row>
    <row r="2051" spans="1:2" x14ac:dyDescent="0.25">
      <c r="A2051" s="1" t="s">
        <v>587</v>
      </c>
      <c r="B2051" s="1" t="s">
        <v>3685</v>
      </c>
    </row>
    <row r="2052" spans="1:2" x14ac:dyDescent="0.25">
      <c r="A2052" s="1" t="s">
        <v>3686</v>
      </c>
      <c r="B2052" s="1" t="s">
        <v>3687</v>
      </c>
    </row>
    <row r="2053" spans="1:2" x14ac:dyDescent="0.25">
      <c r="A2053" s="1" t="s">
        <v>3688</v>
      </c>
      <c r="B2053" s="1" t="s">
        <v>3689</v>
      </c>
    </row>
    <row r="2054" spans="1:2" x14ac:dyDescent="0.25">
      <c r="A2054" s="1" t="s">
        <v>3690</v>
      </c>
      <c r="B2054" s="1" t="s">
        <v>3691</v>
      </c>
    </row>
    <row r="2055" spans="1:2" x14ac:dyDescent="0.25">
      <c r="A2055" s="1" t="s">
        <v>3692</v>
      </c>
      <c r="B2055" s="1" t="s">
        <v>3693</v>
      </c>
    </row>
    <row r="2056" spans="1:2" x14ac:dyDescent="0.25">
      <c r="A2056" s="1" t="s">
        <v>3694</v>
      </c>
      <c r="B2056" s="1" t="s">
        <v>3695</v>
      </c>
    </row>
    <row r="2057" spans="1:2" x14ac:dyDescent="0.25">
      <c r="A2057" s="1" t="s">
        <v>3696</v>
      </c>
      <c r="B2057" s="1" t="s">
        <v>3697</v>
      </c>
    </row>
    <row r="2058" spans="1:2" x14ac:dyDescent="0.25">
      <c r="A2058" s="1" t="s">
        <v>3698</v>
      </c>
      <c r="B2058" s="1" t="s">
        <v>3699</v>
      </c>
    </row>
    <row r="2059" spans="1:2" x14ac:dyDescent="0.25">
      <c r="A2059" s="1" t="s">
        <v>587</v>
      </c>
      <c r="B2059" s="1" t="s">
        <v>3700</v>
      </c>
    </row>
    <row r="2060" spans="1:2" x14ac:dyDescent="0.25">
      <c r="A2060" s="1" t="s">
        <v>3661</v>
      </c>
      <c r="B2060" s="1" t="s">
        <v>3701</v>
      </c>
    </row>
    <row r="2061" spans="1:2" x14ac:dyDescent="0.25">
      <c r="A2061" s="1" t="s">
        <v>3702</v>
      </c>
      <c r="B2061" s="1" t="s">
        <v>3703</v>
      </c>
    </row>
    <row r="2062" spans="1:2" x14ac:dyDescent="0.25">
      <c r="A2062" s="1" t="s">
        <v>3704</v>
      </c>
      <c r="B2062" s="1" t="s">
        <v>3705</v>
      </c>
    </row>
    <row r="2063" spans="1:2" x14ac:dyDescent="0.25">
      <c r="A2063" s="1" t="s">
        <v>641</v>
      </c>
      <c r="B2063" s="1" t="s">
        <v>3706</v>
      </c>
    </row>
    <row r="2064" spans="1:2" x14ac:dyDescent="0.25">
      <c r="A2064" s="1" t="s">
        <v>3707</v>
      </c>
      <c r="B2064" s="1" t="s">
        <v>3708</v>
      </c>
    </row>
    <row r="2065" spans="1:2" x14ac:dyDescent="0.25">
      <c r="A2065" s="1" t="s">
        <v>3709</v>
      </c>
      <c r="B2065" s="1" t="s">
        <v>3710</v>
      </c>
    </row>
    <row r="2066" spans="1:2" x14ac:dyDescent="0.25">
      <c r="A2066" s="1" t="s">
        <v>662</v>
      </c>
      <c r="B2066" s="1" t="s">
        <v>3711</v>
      </c>
    </row>
    <row r="2067" spans="1:2" x14ac:dyDescent="0.25">
      <c r="A2067" s="1" t="s">
        <v>167</v>
      </c>
      <c r="B2067" s="1" t="s">
        <v>3712</v>
      </c>
    </row>
    <row r="2068" spans="1:2" x14ac:dyDescent="0.25">
      <c r="A2068" s="1" t="s">
        <v>3713</v>
      </c>
      <c r="B2068" s="1" t="s">
        <v>3714</v>
      </c>
    </row>
    <row r="2069" spans="1:2" x14ac:dyDescent="0.25">
      <c r="A2069" s="1" t="s">
        <v>3715</v>
      </c>
      <c r="B2069" s="1" t="s">
        <v>3716</v>
      </c>
    </row>
    <row r="2070" spans="1:2" x14ac:dyDescent="0.25">
      <c r="A2070" s="1" t="s">
        <v>3717</v>
      </c>
      <c r="B2070" s="1" t="s">
        <v>3718</v>
      </c>
    </row>
    <row r="2071" spans="1:2" x14ac:dyDescent="0.25">
      <c r="A2071" s="1" t="s">
        <v>3719</v>
      </c>
      <c r="B2071" s="1" t="s">
        <v>3720</v>
      </c>
    </row>
    <row r="2072" spans="1:2" x14ac:dyDescent="0.25">
      <c r="A2072" s="1" t="s">
        <v>3721</v>
      </c>
      <c r="B2072" s="1" t="s">
        <v>3722</v>
      </c>
    </row>
    <row r="2073" spans="1:2" x14ac:dyDescent="0.25">
      <c r="A2073" s="1" t="s">
        <v>3723</v>
      </c>
      <c r="B2073" s="1" t="s">
        <v>3724</v>
      </c>
    </row>
    <row r="2074" spans="1:2" x14ac:dyDescent="0.25">
      <c r="A2074" s="1" t="s">
        <v>3725</v>
      </c>
      <c r="B2074" s="1" t="s">
        <v>3726</v>
      </c>
    </row>
    <row r="2075" spans="1:2" x14ac:dyDescent="0.25">
      <c r="A2075" s="1" t="s">
        <v>355</v>
      </c>
      <c r="B2075" s="1" t="s">
        <v>3727</v>
      </c>
    </row>
    <row r="2076" spans="1:2" x14ac:dyDescent="0.25">
      <c r="A2076" s="1" t="s">
        <v>3728</v>
      </c>
      <c r="B2076" s="1" t="s">
        <v>3729</v>
      </c>
    </row>
    <row r="2077" spans="1:2" x14ac:dyDescent="0.25">
      <c r="A2077" s="1" t="s">
        <v>3730</v>
      </c>
      <c r="B2077" s="1" t="s">
        <v>3731</v>
      </c>
    </row>
    <row r="2078" spans="1:2" x14ac:dyDescent="0.25">
      <c r="A2078" s="1" t="s">
        <v>436</v>
      </c>
      <c r="B2078" s="1" t="s">
        <v>3732</v>
      </c>
    </row>
    <row r="2079" spans="1:2" x14ac:dyDescent="0.25">
      <c r="A2079" s="1" t="s">
        <v>3707</v>
      </c>
      <c r="B2079" s="1" t="s">
        <v>3733</v>
      </c>
    </row>
    <row r="2080" spans="1:2" x14ac:dyDescent="0.25">
      <c r="A2080" s="1" t="s">
        <v>469</v>
      </c>
      <c r="B2080" s="1" t="s">
        <v>3734</v>
      </c>
    </row>
    <row r="2081" spans="1:2" x14ac:dyDescent="0.25">
      <c r="A2081" s="1" t="s">
        <v>3735</v>
      </c>
      <c r="B2081" s="1" t="s">
        <v>3736</v>
      </c>
    </row>
    <row r="2082" spans="1:2" x14ac:dyDescent="0.25">
      <c r="A2082" s="1" t="s">
        <v>3737</v>
      </c>
      <c r="B2082" s="1" t="s">
        <v>3738</v>
      </c>
    </row>
    <row r="2083" spans="1:2" x14ac:dyDescent="0.25">
      <c r="A2083" s="1" t="s">
        <v>3739</v>
      </c>
      <c r="B2083" s="1" t="s">
        <v>3740</v>
      </c>
    </row>
    <row r="2084" spans="1:2" x14ac:dyDescent="0.25">
      <c r="A2084" s="1" t="s">
        <v>3741</v>
      </c>
      <c r="B2084" s="1" t="s">
        <v>3742</v>
      </c>
    </row>
    <row r="2085" spans="1:2" x14ac:dyDescent="0.25">
      <c r="A2085" s="1" t="s">
        <v>3743</v>
      </c>
      <c r="B2085" s="1" t="s">
        <v>3744</v>
      </c>
    </row>
    <row r="2086" spans="1:2" x14ac:dyDescent="0.25">
      <c r="A2086" s="1" t="s">
        <v>2372</v>
      </c>
      <c r="B2086" s="1" t="s">
        <v>3745</v>
      </c>
    </row>
    <row r="2087" spans="1:2" x14ac:dyDescent="0.25">
      <c r="A2087" s="1" t="s">
        <v>3746</v>
      </c>
      <c r="B2087" s="1" t="s">
        <v>3747</v>
      </c>
    </row>
    <row r="2088" spans="1:2" x14ac:dyDescent="0.25">
      <c r="A2088" s="1" t="s">
        <v>3013</v>
      </c>
      <c r="B2088" s="1" t="s">
        <v>3748</v>
      </c>
    </row>
    <row r="2089" spans="1:2" x14ac:dyDescent="0.25">
      <c r="A2089" s="1" t="s">
        <v>3749</v>
      </c>
      <c r="B2089" s="1" t="s">
        <v>3750</v>
      </c>
    </row>
    <row r="2090" spans="1:2" x14ac:dyDescent="0.25">
      <c r="A2090" s="1" t="s">
        <v>3751</v>
      </c>
      <c r="B2090" s="1" t="s">
        <v>3752</v>
      </c>
    </row>
    <row r="2091" spans="1:2" x14ac:dyDescent="0.25">
      <c r="A2091" s="1" t="s">
        <v>3753</v>
      </c>
      <c r="B2091" s="1" t="s">
        <v>3754</v>
      </c>
    </row>
    <row r="2092" spans="1:2" x14ac:dyDescent="0.25">
      <c r="A2092" s="1" t="s">
        <v>3755</v>
      </c>
      <c r="B2092" s="1" t="s">
        <v>3756</v>
      </c>
    </row>
    <row r="2093" spans="1:2" x14ac:dyDescent="0.25">
      <c r="A2093" s="1" t="s">
        <v>3757</v>
      </c>
      <c r="B2093" s="1" t="s">
        <v>3758</v>
      </c>
    </row>
    <row r="2094" spans="1:2" x14ac:dyDescent="0.25">
      <c r="A2094" s="1" t="s">
        <v>3759</v>
      </c>
      <c r="B2094" s="1" t="s">
        <v>3760</v>
      </c>
    </row>
    <row r="2095" spans="1:2" x14ac:dyDescent="0.25">
      <c r="A2095" s="1" t="s">
        <v>3761</v>
      </c>
      <c r="B2095" s="1" t="s">
        <v>3762</v>
      </c>
    </row>
    <row r="2096" spans="1:2" x14ac:dyDescent="0.25">
      <c r="A2096" s="1" t="s">
        <v>3763</v>
      </c>
      <c r="B2096" s="1" t="s">
        <v>3764</v>
      </c>
    </row>
    <row r="2097" spans="1:2" x14ac:dyDescent="0.25">
      <c r="A2097" s="1" t="s">
        <v>3765</v>
      </c>
      <c r="B2097" s="1" t="s">
        <v>3766</v>
      </c>
    </row>
    <row r="2098" spans="1:2" x14ac:dyDescent="0.25">
      <c r="A2098" s="1" t="s">
        <v>3767</v>
      </c>
      <c r="B2098" s="1" t="s">
        <v>3768</v>
      </c>
    </row>
    <row r="2099" spans="1:2" x14ac:dyDescent="0.25">
      <c r="A2099" s="1" t="s">
        <v>3769</v>
      </c>
      <c r="B2099" s="1" t="s">
        <v>3770</v>
      </c>
    </row>
    <row r="2100" spans="1:2" x14ac:dyDescent="0.25">
      <c r="A2100" s="1" t="s">
        <v>3771</v>
      </c>
      <c r="B2100" s="1" t="s">
        <v>3772</v>
      </c>
    </row>
    <row r="2101" spans="1:2" x14ac:dyDescent="0.25">
      <c r="A2101" s="1" t="s">
        <v>3773</v>
      </c>
      <c r="B2101" s="1" t="s">
        <v>3774</v>
      </c>
    </row>
    <row r="2102" spans="1:2" x14ac:dyDescent="0.25">
      <c r="A2102" s="1" t="s">
        <v>3775</v>
      </c>
      <c r="B2102" s="1" t="s">
        <v>3776</v>
      </c>
    </row>
    <row r="2103" spans="1:2" x14ac:dyDescent="0.25">
      <c r="A2103" s="1" t="s">
        <v>3777</v>
      </c>
      <c r="B2103" s="1" t="s">
        <v>3778</v>
      </c>
    </row>
    <row r="2104" spans="1:2" x14ac:dyDescent="0.25">
      <c r="A2104" s="1" t="s">
        <v>3779</v>
      </c>
      <c r="B2104" s="1" t="s">
        <v>3780</v>
      </c>
    </row>
    <row r="2105" spans="1:2" x14ac:dyDescent="0.25">
      <c r="A2105" s="1" t="s">
        <v>3781</v>
      </c>
      <c r="B2105" s="1" t="s">
        <v>3782</v>
      </c>
    </row>
    <row r="2106" spans="1:2" x14ac:dyDescent="0.25">
      <c r="A2106" s="1" t="s">
        <v>3783</v>
      </c>
      <c r="B2106" s="1" t="s">
        <v>3784</v>
      </c>
    </row>
    <row r="2107" spans="1:2" x14ac:dyDescent="0.25">
      <c r="A2107" s="1" t="s">
        <v>3785</v>
      </c>
      <c r="B2107" s="1" t="s">
        <v>3786</v>
      </c>
    </row>
    <row r="2108" spans="1:2" x14ac:dyDescent="0.25">
      <c r="A2108" s="1" t="s">
        <v>3787</v>
      </c>
      <c r="B2108" s="1" t="s">
        <v>3788</v>
      </c>
    </row>
    <row r="2109" spans="1:2" x14ac:dyDescent="0.25">
      <c r="A2109" s="1" t="s">
        <v>3789</v>
      </c>
      <c r="B2109" s="1" t="s">
        <v>3790</v>
      </c>
    </row>
    <row r="2110" spans="1:2" x14ac:dyDescent="0.25">
      <c r="A2110" s="1" t="s">
        <v>3791</v>
      </c>
      <c r="B2110" s="1" t="s">
        <v>3792</v>
      </c>
    </row>
    <row r="2111" spans="1:2" x14ac:dyDescent="0.25">
      <c r="A2111" s="1" t="s">
        <v>3793</v>
      </c>
      <c r="B2111" s="1" t="s">
        <v>3794</v>
      </c>
    </row>
    <row r="2112" spans="1:2" x14ac:dyDescent="0.25">
      <c r="A2112" s="1" t="s">
        <v>436</v>
      </c>
      <c r="B2112" s="1" t="s">
        <v>3795</v>
      </c>
    </row>
    <row r="2113" spans="1:2" x14ac:dyDescent="0.25">
      <c r="A2113" s="1" t="s">
        <v>3709</v>
      </c>
      <c r="B2113" s="1" t="s">
        <v>3796</v>
      </c>
    </row>
    <row r="2114" spans="1:2" x14ac:dyDescent="0.25">
      <c r="A2114" s="1" t="s">
        <v>3797</v>
      </c>
      <c r="B2114" s="1" t="s">
        <v>3798</v>
      </c>
    </row>
    <row r="2115" spans="1:2" x14ac:dyDescent="0.25">
      <c r="A2115" s="1" t="s">
        <v>3799</v>
      </c>
      <c r="B2115" s="1" t="s">
        <v>3800</v>
      </c>
    </row>
    <row r="2116" spans="1:2" x14ac:dyDescent="0.25">
      <c r="A2116" s="1" t="s">
        <v>619</v>
      </c>
      <c r="B2116" s="1" t="s">
        <v>3801</v>
      </c>
    </row>
    <row r="2117" spans="1:2" x14ac:dyDescent="0.25">
      <c r="A2117" s="1" t="s">
        <v>3802</v>
      </c>
      <c r="B2117" s="1" t="s">
        <v>3803</v>
      </c>
    </row>
    <row r="2118" spans="1:2" x14ac:dyDescent="0.25">
      <c r="A2118" s="1" t="s">
        <v>3804</v>
      </c>
      <c r="B2118" s="1" t="s">
        <v>3805</v>
      </c>
    </row>
    <row r="2119" spans="1:2" x14ac:dyDescent="0.25">
      <c r="A2119" s="1" t="s">
        <v>90</v>
      </c>
      <c r="B2119" s="1" t="s">
        <v>3806</v>
      </c>
    </row>
    <row r="2120" spans="1:2" x14ac:dyDescent="0.25">
      <c r="A2120" s="1" t="s">
        <v>92</v>
      </c>
      <c r="B2120" s="1" t="s">
        <v>3807</v>
      </c>
    </row>
    <row r="2121" spans="1:2" x14ac:dyDescent="0.25">
      <c r="A2121" s="1" t="s">
        <v>264</v>
      </c>
      <c r="B2121" s="1" t="s">
        <v>3808</v>
      </c>
    </row>
    <row r="2122" spans="1:2" x14ac:dyDescent="0.25">
      <c r="A2122" s="1" t="s">
        <v>253</v>
      </c>
      <c r="B2122" s="1" t="s">
        <v>3809</v>
      </c>
    </row>
    <row r="2123" spans="1:2" x14ac:dyDescent="0.25">
      <c r="A2123" s="1" t="s">
        <v>3810</v>
      </c>
      <c r="B2123" s="1" t="s">
        <v>3811</v>
      </c>
    </row>
    <row r="2124" spans="1:2" x14ac:dyDescent="0.25">
      <c r="A2124" s="1" t="s">
        <v>3812</v>
      </c>
      <c r="B2124" s="1" t="s">
        <v>3813</v>
      </c>
    </row>
    <row r="2125" spans="1:2" x14ac:dyDescent="0.25">
      <c r="A2125" s="1" t="s">
        <v>3814</v>
      </c>
      <c r="B2125" s="1" t="s">
        <v>3815</v>
      </c>
    </row>
    <row r="2126" spans="1:2" x14ac:dyDescent="0.25">
      <c r="A2126" s="1" t="s">
        <v>3816</v>
      </c>
      <c r="B2126" s="1" t="s">
        <v>3817</v>
      </c>
    </row>
    <row r="2127" spans="1:2" x14ac:dyDescent="0.25">
      <c r="A2127" s="1" t="s">
        <v>3818</v>
      </c>
      <c r="B2127" s="1" t="s">
        <v>3819</v>
      </c>
    </row>
    <row r="2128" spans="1:2" x14ac:dyDescent="0.25">
      <c r="A2128" s="1" t="s">
        <v>2518</v>
      </c>
      <c r="B2128" s="1" t="s">
        <v>3820</v>
      </c>
    </row>
    <row r="2129" spans="1:2" x14ac:dyDescent="0.25">
      <c r="A2129" s="1" t="s">
        <v>3821</v>
      </c>
      <c r="B2129" s="1" t="s">
        <v>3822</v>
      </c>
    </row>
    <row r="2130" spans="1:2" x14ac:dyDescent="0.25">
      <c r="A2130" s="1" t="s">
        <v>3816</v>
      </c>
      <c r="B2130" s="1" t="s">
        <v>3823</v>
      </c>
    </row>
    <row r="2131" spans="1:2" x14ac:dyDescent="0.25">
      <c r="A2131" s="1" t="s">
        <v>397</v>
      </c>
      <c r="B2131" s="1" t="s">
        <v>3824</v>
      </c>
    </row>
    <row r="2132" spans="1:2" x14ac:dyDescent="0.25">
      <c r="A2132" s="1" t="s">
        <v>362</v>
      </c>
      <c r="B2132" s="1" t="s">
        <v>3825</v>
      </c>
    </row>
    <row r="2133" spans="1:2" x14ac:dyDescent="0.25">
      <c r="A2133" s="1" t="s">
        <v>641</v>
      </c>
      <c r="B2133" s="1" t="s">
        <v>3826</v>
      </c>
    </row>
    <row r="2134" spans="1:2" x14ac:dyDescent="0.25">
      <c r="A2134" s="1" t="s">
        <v>3827</v>
      </c>
      <c r="B2134" s="1" t="s">
        <v>3828</v>
      </c>
    </row>
    <row r="2135" spans="1:2" x14ac:dyDescent="0.25">
      <c r="A2135" s="1" t="s">
        <v>3829</v>
      </c>
      <c r="B2135" s="1" t="s">
        <v>3830</v>
      </c>
    </row>
    <row r="2136" spans="1:2" x14ac:dyDescent="0.25">
      <c r="A2136" s="1" t="s">
        <v>88</v>
      </c>
      <c r="B2136" s="1" t="s">
        <v>3831</v>
      </c>
    </row>
    <row r="2137" spans="1:2" x14ac:dyDescent="0.25">
      <c r="A2137" s="1" t="s">
        <v>3832</v>
      </c>
      <c r="B2137" s="1" t="s">
        <v>3833</v>
      </c>
    </row>
    <row r="2138" spans="1:2" x14ac:dyDescent="0.25">
      <c r="A2138" s="1" t="s">
        <v>3834</v>
      </c>
      <c r="B2138" s="1" t="s">
        <v>3835</v>
      </c>
    </row>
    <row r="2139" spans="1:2" x14ac:dyDescent="0.25">
      <c r="A2139" s="1" t="s">
        <v>3836</v>
      </c>
      <c r="B2139" s="1" t="s">
        <v>3837</v>
      </c>
    </row>
    <row r="2140" spans="1:2" x14ac:dyDescent="0.25">
      <c r="A2140" s="1" t="s">
        <v>264</v>
      </c>
      <c r="B2140" s="1" t="s">
        <v>3838</v>
      </c>
    </row>
    <row r="2141" spans="1:2" x14ac:dyDescent="0.25">
      <c r="A2141" s="1" t="s">
        <v>988</v>
      </c>
      <c r="B2141" s="1" t="s">
        <v>3839</v>
      </c>
    </row>
    <row r="2142" spans="1:2" x14ac:dyDescent="0.25">
      <c r="A2142" s="1" t="s">
        <v>253</v>
      </c>
      <c r="B2142" s="1" t="s">
        <v>3840</v>
      </c>
    </row>
    <row r="2143" spans="1:2" x14ac:dyDescent="0.25">
      <c r="A2143" s="1" t="s">
        <v>16</v>
      </c>
      <c r="B2143" s="1" t="s">
        <v>3841</v>
      </c>
    </row>
    <row r="2144" spans="1:2" x14ac:dyDescent="0.25">
      <c r="A2144" s="1" t="s">
        <v>151</v>
      </c>
      <c r="B2144" s="1" t="s">
        <v>3842</v>
      </c>
    </row>
    <row r="2145" spans="1:2" x14ac:dyDescent="0.25">
      <c r="A2145" s="1" t="s">
        <v>2372</v>
      </c>
      <c r="B2145" s="1" t="s">
        <v>3843</v>
      </c>
    </row>
    <row r="2146" spans="1:2" x14ac:dyDescent="0.25">
      <c r="A2146" s="1" t="s">
        <v>3844</v>
      </c>
      <c r="B2146" s="1" t="s">
        <v>3845</v>
      </c>
    </row>
    <row r="2147" spans="1:2" x14ac:dyDescent="0.25">
      <c r="A2147" s="1" t="s">
        <v>3846</v>
      </c>
      <c r="B2147" s="1" t="s">
        <v>3847</v>
      </c>
    </row>
    <row r="2148" spans="1:2" x14ac:dyDescent="0.25">
      <c r="A2148" s="1" t="s">
        <v>248</v>
      </c>
      <c r="B2148" s="1" t="s">
        <v>3848</v>
      </c>
    </row>
    <row r="2149" spans="1:2" x14ac:dyDescent="0.25">
      <c r="A2149" s="1" t="s">
        <v>3849</v>
      </c>
      <c r="B2149" s="1" t="s">
        <v>3850</v>
      </c>
    </row>
    <row r="2150" spans="1:2" x14ac:dyDescent="0.25">
      <c r="A2150" s="1" t="s">
        <v>3142</v>
      </c>
      <c r="B2150" s="1" t="s">
        <v>3851</v>
      </c>
    </row>
    <row r="2151" spans="1:2" x14ac:dyDescent="0.25">
      <c r="A2151" s="1" t="s">
        <v>3852</v>
      </c>
      <c r="B2151" s="1" t="s">
        <v>3853</v>
      </c>
    </row>
    <row r="2152" spans="1:2" x14ac:dyDescent="0.25">
      <c r="A2152" s="1" t="s">
        <v>3854</v>
      </c>
      <c r="B2152" s="1" t="s">
        <v>3855</v>
      </c>
    </row>
    <row r="2153" spans="1:2" x14ac:dyDescent="0.25">
      <c r="A2153" s="1" t="s">
        <v>3856</v>
      </c>
      <c r="B2153" s="1" t="s">
        <v>3857</v>
      </c>
    </row>
    <row r="2154" spans="1:2" x14ac:dyDescent="0.25">
      <c r="A2154" s="1" t="s">
        <v>3858</v>
      </c>
      <c r="B2154" s="1" t="s">
        <v>3859</v>
      </c>
    </row>
    <row r="2155" spans="1:2" x14ac:dyDescent="0.25">
      <c r="A2155" s="1" t="s">
        <v>3860</v>
      </c>
      <c r="B2155" s="1" t="s">
        <v>3861</v>
      </c>
    </row>
    <row r="2156" spans="1:2" x14ac:dyDescent="0.25">
      <c r="A2156" s="1" t="s">
        <v>3862</v>
      </c>
      <c r="B2156" s="1" t="s">
        <v>3863</v>
      </c>
    </row>
    <row r="2157" spans="1:2" x14ac:dyDescent="0.25">
      <c r="A2157" s="1" t="s">
        <v>3196</v>
      </c>
      <c r="B2157" s="1" t="s">
        <v>3864</v>
      </c>
    </row>
    <row r="2158" spans="1:2" x14ac:dyDescent="0.25">
      <c r="A2158" s="1" t="s">
        <v>3865</v>
      </c>
      <c r="B2158" s="1" t="s">
        <v>3866</v>
      </c>
    </row>
    <row r="2159" spans="1:2" x14ac:dyDescent="0.25">
      <c r="A2159" s="1" t="s">
        <v>3867</v>
      </c>
      <c r="B2159" s="1" t="s">
        <v>3868</v>
      </c>
    </row>
    <row r="2160" spans="1:2" x14ac:dyDescent="0.25">
      <c r="A2160" s="1" t="s">
        <v>3869</v>
      </c>
      <c r="B2160" s="1" t="s">
        <v>3870</v>
      </c>
    </row>
    <row r="2161" spans="1:2" x14ac:dyDescent="0.25">
      <c r="A2161" s="1" t="s">
        <v>3871</v>
      </c>
      <c r="B2161" s="1" t="s">
        <v>3872</v>
      </c>
    </row>
    <row r="2162" spans="1:2" x14ac:dyDescent="0.25">
      <c r="A2162" s="1" t="s">
        <v>3873</v>
      </c>
      <c r="B2162" s="1" t="s">
        <v>3874</v>
      </c>
    </row>
    <row r="2163" spans="1:2" x14ac:dyDescent="0.25">
      <c r="A2163" s="1" t="s">
        <v>3875</v>
      </c>
      <c r="B2163" s="1" t="s">
        <v>3876</v>
      </c>
    </row>
    <row r="2164" spans="1:2" x14ac:dyDescent="0.25">
      <c r="A2164" s="1" t="s">
        <v>3194</v>
      </c>
      <c r="B2164" s="1" t="s">
        <v>3877</v>
      </c>
    </row>
    <row r="2165" spans="1:2" x14ac:dyDescent="0.25">
      <c r="A2165" s="1" t="s">
        <v>3878</v>
      </c>
      <c r="B2165" s="1" t="s">
        <v>3879</v>
      </c>
    </row>
    <row r="2166" spans="1:2" x14ac:dyDescent="0.25">
      <c r="A2166" s="1" t="s">
        <v>3880</v>
      </c>
      <c r="B2166" s="1" t="s">
        <v>3881</v>
      </c>
    </row>
    <row r="2167" spans="1:2" x14ac:dyDescent="0.25">
      <c r="A2167" s="1" t="s">
        <v>3882</v>
      </c>
      <c r="B2167" s="1" t="s">
        <v>3883</v>
      </c>
    </row>
    <row r="2168" spans="1:2" x14ac:dyDescent="0.25">
      <c r="A2168" s="1" t="s">
        <v>3884</v>
      </c>
      <c r="B2168" s="1" t="s">
        <v>3885</v>
      </c>
    </row>
    <row r="2169" spans="1:2" x14ac:dyDescent="0.25">
      <c r="A2169" s="1" t="s">
        <v>3886</v>
      </c>
      <c r="B2169" s="1" t="s">
        <v>3887</v>
      </c>
    </row>
    <row r="2170" spans="1:2" x14ac:dyDescent="0.25">
      <c r="A2170" s="1" t="s">
        <v>3888</v>
      </c>
      <c r="B2170" s="1" t="s">
        <v>3889</v>
      </c>
    </row>
    <row r="2171" spans="1:2" x14ac:dyDescent="0.25">
      <c r="A2171" s="1" t="s">
        <v>3890</v>
      </c>
      <c r="B2171" s="1" t="s">
        <v>3891</v>
      </c>
    </row>
    <row r="2172" spans="1:2" x14ac:dyDescent="0.25">
      <c r="A2172" s="1" t="s">
        <v>3892</v>
      </c>
      <c r="B2172" s="1" t="s">
        <v>3893</v>
      </c>
    </row>
    <row r="2173" spans="1:2" x14ac:dyDescent="0.25">
      <c r="A2173" s="1" t="s">
        <v>3894</v>
      </c>
      <c r="B2173" s="1" t="s">
        <v>3895</v>
      </c>
    </row>
    <row r="2174" spans="1:2" x14ac:dyDescent="0.25">
      <c r="A2174" s="1" t="s">
        <v>3896</v>
      </c>
      <c r="B2174" s="1" t="s">
        <v>3897</v>
      </c>
    </row>
    <row r="2175" spans="1:2" x14ac:dyDescent="0.25">
      <c r="A2175" s="1" t="s">
        <v>3898</v>
      </c>
      <c r="B2175" s="1" t="s">
        <v>3899</v>
      </c>
    </row>
    <row r="2176" spans="1:2" x14ac:dyDescent="0.25">
      <c r="A2176" s="1" t="s">
        <v>3900</v>
      </c>
      <c r="B2176" s="1" t="s">
        <v>3901</v>
      </c>
    </row>
    <row r="2177" spans="1:2" x14ac:dyDescent="0.25">
      <c r="A2177" s="1" t="s">
        <v>3902</v>
      </c>
      <c r="B2177" s="1" t="s">
        <v>3903</v>
      </c>
    </row>
    <row r="2178" spans="1:2" x14ac:dyDescent="0.25">
      <c r="A2178" s="1" t="s">
        <v>3904</v>
      </c>
      <c r="B2178" s="1" t="s">
        <v>3905</v>
      </c>
    </row>
    <row r="2179" spans="1:2" x14ac:dyDescent="0.25">
      <c r="A2179" s="1" t="s">
        <v>3906</v>
      </c>
      <c r="B2179" s="1" t="s">
        <v>3907</v>
      </c>
    </row>
    <row r="2180" spans="1:2" x14ac:dyDescent="0.25">
      <c r="A2180" s="1" t="s">
        <v>3908</v>
      </c>
      <c r="B2180" s="1" t="s">
        <v>3909</v>
      </c>
    </row>
    <row r="2181" spans="1:2" x14ac:dyDescent="0.25">
      <c r="A2181" s="1" t="s">
        <v>3910</v>
      </c>
      <c r="B2181" s="1" t="s">
        <v>3911</v>
      </c>
    </row>
    <row r="2182" spans="1:2" x14ac:dyDescent="0.25">
      <c r="A2182" s="1" t="s">
        <v>3912</v>
      </c>
      <c r="B2182" s="1" t="s">
        <v>3913</v>
      </c>
    </row>
    <row r="2183" spans="1:2" x14ac:dyDescent="0.25">
      <c r="A2183" s="1" t="s">
        <v>3914</v>
      </c>
      <c r="B2183" s="1" t="s">
        <v>3915</v>
      </c>
    </row>
    <row r="2184" spans="1:2" x14ac:dyDescent="0.25">
      <c r="A2184" s="1" t="s">
        <v>3916</v>
      </c>
      <c r="B2184" s="1" t="s">
        <v>3917</v>
      </c>
    </row>
    <row r="2185" spans="1:2" x14ac:dyDescent="0.25">
      <c r="A2185" s="1" t="s">
        <v>3918</v>
      </c>
      <c r="B2185" s="1" t="s">
        <v>3919</v>
      </c>
    </row>
    <row r="2186" spans="1:2" x14ac:dyDescent="0.25">
      <c r="A2186" s="1" t="s">
        <v>3920</v>
      </c>
      <c r="B2186" s="1" t="s">
        <v>3921</v>
      </c>
    </row>
    <row r="2187" spans="1:2" x14ac:dyDescent="0.25">
      <c r="A2187" s="1" t="s">
        <v>3922</v>
      </c>
      <c r="B2187" s="1" t="s">
        <v>3923</v>
      </c>
    </row>
    <row r="2188" spans="1:2" x14ac:dyDescent="0.25">
      <c r="A2188" s="1" t="s">
        <v>3924</v>
      </c>
      <c r="B2188" s="1" t="s">
        <v>3925</v>
      </c>
    </row>
    <row r="2189" spans="1:2" x14ac:dyDescent="0.25">
      <c r="A2189" s="1" t="s">
        <v>264</v>
      </c>
      <c r="B2189" s="1" t="s">
        <v>3926</v>
      </c>
    </row>
    <row r="2190" spans="1:2" x14ac:dyDescent="0.25">
      <c r="A2190" s="1" t="s">
        <v>3927</v>
      </c>
      <c r="B2190" s="1" t="s">
        <v>3928</v>
      </c>
    </row>
    <row r="2191" spans="1:2" x14ac:dyDescent="0.25">
      <c r="A2191" s="1" t="s">
        <v>90</v>
      </c>
      <c r="B2191" s="1" t="s">
        <v>3929</v>
      </c>
    </row>
    <row r="2192" spans="1:2" x14ac:dyDescent="0.25">
      <c r="A2192" s="1" t="s">
        <v>3930</v>
      </c>
      <c r="B2192" s="1" t="s">
        <v>3931</v>
      </c>
    </row>
    <row r="2193" spans="1:2" x14ac:dyDescent="0.25">
      <c r="A2193" s="1" t="s">
        <v>3932</v>
      </c>
      <c r="B2193" s="1" t="s">
        <v>3933</v>
      </c>
    </row>
    <row r="2194" spans="1:2" x14ac:dyDescent="0.25">
      <c r="A2194" s="1" t="s">
        <v>151</v>
      </c>
      <c r="B2194" s="1" t="s">
        <v>3934</v>
      </c>
    </row>
    <row r="2195" spans="1:2" x14ac:dyDescent="0.25">
      <c r="A2195" s="1" t="s">
        <v>163</v>
      </c>
      <c r="B2195" s="1" t="s">
        <v>3935</v>
      </c>
    </row>
    <row r="2196" spans="1:2" x14ac:dyDescent="0.25">
      <c r="A2196" s="1" t="s">
        <v>2372</v>
      </c>
      <c r="B2196" s="1" t="s">
        <v>3936</v>
      </c>
    </row>
    <row r="2197" spans="1:2" x14ac:dyDescent="0.25">
      <c r="A2197" s="1" t="s">
        <v>3937</v>
      </c>
      <c r="B2197" s="1" t="s">
        <v>3938</v>
      </c>
    </row>
    <row r="2198" spans="1:2" x14ac:dyDescent="0.25">
      <c r="A2198" s="1" t="s">
        <v>3939</v>
      </c>
      <c r="B2198" s="1" t="s">
        <v>3940</v>
      </c>
    </row>
    <row r="2199" spans="1:2" x14ac:dyDescent="0.25">
      <c r="A2199" s="1" t="s">
        <v>3941</v>
      </c>
      <c r="B2199" s="1" t="s">
        <v>3942</v>
      </c>
    </row>
    <row r="2200" spans="1:2" x14ac:dyDescent="0.25">
      <c r="A2200" s="1" t="s">
        <v>3943</v>
      </c>
      <c r="B2200" s="1" t="s">
        <v>3944</v>
      </c>
    </row>
    <row r="2201" spans="1:2" x14ac:dyDescent="0.25">
      <c r="A2201" s="1" t="s">
        <v>3152</v>
      </c>
      <c r="B2201" s="1" t="s">
        <v>3945</v>
      </c>
    </row>
    <row r="2202" spans="1:2" x14ac:dyDescent="0.25">
      <c r="A2202" s="1" t="s">
        <v>3144</v>
      </c>
      <c r="B2202" s="1" t="s">
        <v>3946</v>
      </c>
    </row>
    <row r="2203" spans="1:2" x14ac:dyDescent="0.25">
      <c r="A2203" s="1" t="s">
        <v>3156</v>
      </c>
      <c r="B2203" s="1" t="s">
        <v>3947</v>
      </c>
    </row>
    <row r="2204" spans="1:2" x14ac:dyDescent="0.25">
      <c r="A2204" s="1" t="s">
        <v>3948</v>
      </c>
      <c r="B2204" s="1" t="s">
        <v>3949</v>
      </c>
    </row>
    <row r="2205" spans="1:2" x14ac:dyDescent="0.25">
      <c r="A2205" s="1" t="s">
        <v>3950</v>
      </c>
      <c r="B2205" s="1" t="s">
        <v>3951</v>
      </c>
    </row>
    <row r="2206" spans="1:2" x14ac:dyDescent="0.25">
      <c r="A2206" s="1" t="s">
        <v>3952</v>
      </c>
      <c r="B2206" s="1" t="s">
        <v>3953</v>
      </c>
    </row>
    <row r="2207" spans="1:2" x14ac:dyDescent="0.25">
      <c r="A2207" s="1" t="s">
        <v>3954</v>
      </c>
      <c r="B2207" s="1" t="s">
        <v>3955</v>
      </c>
    </row>
    <row r="2208" spans="1:2" x14ac:dyDescent="0.25">
      <c r="A2208" s="1" t="s">
        <v>3956</v>
      </c>
      <c r="B2208" s="1" t="s">
        <v>3957</v>
      </c>
    </row>
    <row r="2209" spans="1:2" x14ac:dyDescent="0.25">
      <c r="A2209" s="1" t="s">
        <v>3958</v>
      </c>
      <c r="B2209" s="1" t="s">
        <v>3959</v>
      </c>
    </row>
    <row r="2210" spans="1:2" x14ac:dyDescent="0.25">
      <c r="A2210" s="1" t="s">
        <v>3960</v>
      </c>
      <c r="B2210" s="1" t="s">
        <v>3961</v>
      </c>
    </row>
    <row r="2211" spans="1:2" x14ac:dyDescent="0.25">
      <c r="A2211" s="1" t="s">
        <v>3154</v>
      </c>
      <c r="B2211" s="1" t="s">
        <v>3962</v>
      </c>
    </row>
    <row r="2212" spans="1:2" x14ac:dyDescent="0.25">
      <c r="A2212" s="1" t="s">
        <v>3963</v>
      </c>
      <c r="B2212" s="1" t="s">
        <v>3964</v>
      </c>
    </row>
    <row r="2213" spans="1:2" x14ac:dyDescent="0.25">
      <c r="A2213" s="1" t="s">
        <v>3965</v>
      </c>
      <c r="B2213" s="1" t="s">
        <v>3966</v>
      </c>
    </row>
    <row r="2214" spans="1:2" x14ac:dyDescent="0.25">
      <c r="A2214" s="1" t="s">
        <v>3967</v>
      </c>
      <c r="B2214" s="1" t="s">
        <v>3968</v>
      </c>
    </row>
    <row r="2215" spans="1:2" x14ac:dyDescent="0.25">
      <c r="A2215" s="1" t="s">
        <v>3969</v>
      </c>
      <c r="B2215" s="1" t="s">
        <v>3970</v>
      </c>
    </row>
    <row r="2216" spans="1:2" x14ac:dyDescent="0.25">
      <c r="A2216" s="1" t="s">
        <v>3956</v>
      </c>
      <c r="B2216" s="1" t="s">
        <v>3971</v>
      </c>
    </row>
    <row r="2217" spans="1:2" x14ac:dyDescent="0.25">
      <c r="A2217" s="1" t="s">
        <v>3960</v>
      </c>
      <c r="B2217" s="1" t="s">
        <v>3972</v>
      </c>
    </row>
    <row r="2218" spans="1:2" x14ac:dyDescent="0.25">
      <c r="A2218" s="1" t="s">
        <v>3174</v>
      </c>
      <c r="B2218" s="1" t="s">
        <v>3973</v>
      </c>
    </row>
    <row r="2219" spans="1:2" x14ac:dyDescent="0.25">
      <c r="A2219" s="1" t="s">
        <v>3974</v>
      </c>
      <c r="B2219" s="1" t="s">
        <v>3975</v>
      </c>
    </row>
    <row r="2220" spans="1:2" x14ac:dyDescent="0.25">
      <c r="A2220" s="1" t="s">
        <v>3976</v>
      </c>
      <c r="B2220" s="1" t="s">
        <v>3977</v>
      </c>
    </row>
    <row r="2221" spans="1:2" x14ac:dyDescent="0.25">
      <c r="A2221" s="1" t="s">
        <v>3164</v>
      </c>
      <c r="B2221" s="1" t="s">
        <v>3978</v>
      </c>
    </row>
    <row r="2222" spans="1:2" x14ac:dyDescent="0.25">
      <c r="A2222" s="1" t="s">
        <v>3979</v>
      </c>
      <c r="B2222" s="1" t="s">
        <v>3980</v>
      </c>
    </row>
    <row r="2223" spans="1:2" x14ac:dyDescent="0.25">
      <c r="A2223" s="1" t="s">
        <v>3860</v>
      </c>
      <c r="B2223" s="1" t="s">
        <v>3981</v>
      </c>
    </row>
    <row r="2224" spans="1:2" x14ac:dyDescent="0.25">
      <c r="A2224" s="1" t="s">
        <v>3982</v>
      </c>
      <c r="B2224" s="1" t="s">
        <v>3983</v>
      </c>
    </row>
    <row r="2225" spans="1:2" x14ac:dyDescent="0.25">
      <c r="A2225" s="1" t="s">
        <v>3984</v>
      </c>
      <c r="B2225" s="1" t="s">
        <v>3985</v>
      </c>
    </row>
    <row r="2226" spans="1:2" x14ac:dyDescent="0.25">
      <c r="A2226" s="1" t="s">
        <v>3986</v>
      </c>
      <c r="B2226" s="1" t="s">
        <v>3987</v>
      </c>
    </row>
    <row r="2227" spans="1:2" x14ac:dyDescent="0.25">
      <c r="A2227" s="1" t="s">
        <v>3988</v>
      </c>
      <c r="B2227" s="1" t="s">
        <v>3989</v>
      </c>
    </row>
    <row r="2228" spans="1:2" x14ac:dyDescent="0.25">
      <c r="A2228" s="1" t="s">
        <v>3990</v>
      </c>
      <c r="B2228" s="1" t="s">
        <v>3991</v>
      </c>
    </row>
    <row r="2229" spans="1:2" x14ac:dyDescent="0.25">
      <c r="A2229" s="1" t="s">
        <v>3992</v>
      </c>
      <c r="B2229" s="1" t="s">
        <v>3993</v>
      </c>
    </row>
    <row r="2230" spans="1:2" x14ac:dyDescent="0.25">
      <c r="A2230" s="1" t="s">
        <v>3994</v>
      </c>
      <c r="B2230" s="1" t="s">
        <v>3995</v>
      </c>
    </row>
    <row r="2231" spans="1:2" x14ac:dyDescent="0.25">
      <c r="A2231" s="1" t="s">
        <v>3996</v>
      </c>
      <c r="B2231" s="1" t="s">
        <v>3997</v>
      </c>
    </row>
    <row r="2232" spans="1:2" x14ac:dyDescent="0.25">
      <c r="A2232" s="1" t="s">
        <v>641</v>
      </c>
      <c r="B2232" s="1" t="s">
        <v>3998</v>
      </c>
    </row>
    <row r="2233" spans="1:2" x14ac:dyDescent="0.25">
      <c r="A2233" s="1" t="s">
        <v>253</v>
      </c>
      <c r="B2233" s="1" t="s">
        <v>3999</v>
      </c>
    </row>
    <row r="2234" spans="1:2" x14ac:dyDescent="0.25">
      <c r="A2234" s="1" t="s">
        <v>14</v>
      </c>
      <c r="B2234" s="1" t="s">
        <v>4000</v>
      </c>
    </row>
    <row r="2235" spans="1:2" x14ac:dyDescent="0.25">
      <c r="A2235" s="1" t="s">
        <v>90</v>
      </c>
      <c r="B2235" s="1" t="s">
        <v>4001</v>
      </c>
    </row>
    <row r="2236" spans="1:2" x14ac:dyDescent="0.25">
      <c r="A2236" s="1" t="s">
        <v>1976</v>
      </c>
      <c r="B2236" s="1" t="s">
        <v>4002</v>
      </c>
    </row>
    <row r="2237" spans="1:2" x14ac:dyDescent="0.25">
      <c r="A2237" s="1" t="s">
        <v>16</v>
      </c>
      <c r="B2237" s="1" t="s">
        <v>4003</v>
      </c>
    </row>
    <row r="2238" spans="1:2" x14ac:dyDescent="0.25">
      <c r="A2238" s="1" t="s">
        <v>248</v>
      </c>
      <c r="B2238" s="1" t="s">
        <v>4004</v>
      </c>
    </row>
    <row r="2239" spans="1:2" x14ac:dyDescent="0.25">
      <c r="A2239" s="1" t="s">
        <v>274</v>
      </c>
      <c r="B2239" s="1" t="s">
        <v>4005</v>
      </c>
    </row>
    <row r="2240" spans="1:2" x14ac:dyDescent="0.25">
      <c r="A2240" s="1" t="s">
        <v>151</v>
      </c>
      <c r="B2240" s="1" t="s">
        <v>4006</v>
      </c>
    </row>
    <row r="2241" spans="1:2" x14ac:dyDescent="0.25">
      <c r="A2241" s="1" t="s">
        <v>351</v>
      </c>
      <c r="B2241" s="1" t="s">
        <v>4007</v>
      </c>
    </row>
    <row r="2242" spans="1:2" x14ac:dyDescent="0.25">
      <c r="A2242" s="1" t="s">
        <v>652</v>
      </c>
      <c r="B2242" s="1" t="s">
        <v>4008</v>
      </c>
    </row>
    <row r="2243" spans="1:2" x14ac:dyDescent="0.25">
      <c r="A2243" s="1" t="s">
        <v>2906</v>
      </c>
      <c r="B2243" s="1" t="s">
        <v>4009</v>
      </c>
    </row>
    <row r="2244" spans="1:2" x14ac:dyDescent="0.25">
      <c r="A2244" s="1" t="s">
        <v>4010</v>
      </c>
      <c r="B2244" s="1" t="s">
        <v>4011</v>
      </c>
    </row>
    <row r="2245" spans="1:2" x14ac:dyDescent="0.25">
      <c r="A2245" s="1" t="s">
        <v>4012</v>
      </c>
      <c r="B2245" s="1" t="s">
        <v>4013</v>
      </c>
    </row>
    <row r="2246" spans="1:2" x14ac:dyDescent="0.25">
      <c r="A2246" s="1" t="s">
        <v>641</v>
      </c>
      <c r="B2246" s="1" t="s">
        <v>4014</v>
      </c>
    </row>
    <row r="2247" spans="1:2" x14ac:dyDescent="0.25">
      <c r="A2247" s="1" t="s">
        <v>253</v>
      </c>
      <c r="B2247" s="1" t="s">
        <v>4015</v>
      </c>
    </row>
    <row r="2248" spans="1:2" x14ac:dyDescent="0.25">
      <c r="A2248" s="1" t="s">
        <v>16</v>
      </c>
      <c r="B2248" s="1" t="s">
        <v>4016</v>
      </c>
    </row>
    <row r="2249" spans="1:2" x14ac:dyDescent="0.25">
      <c r="A2249" s="1" t="s">
        <v>4017</v>
      </c>
      <c r="B2249" s="1" t="s">
        <v>4018</v>
      </c>
    </row>
    <row r="2250" spans="1:2" x14ac:dyDescent="0.25">
      <c r="A2250" s="1" t="s">
        <v>4019</v>
      </c>
      <c r="B2250" s="1" t="s">
        <v>4020</v>
      </c>
    </row>
    <row r="2251" spans="1:2" x14ac:dyDescent="0.25">
      <c r="A2251" s="1" t="s">
        <v>4021</v>
      </c>
      <c r="B2251" s="1" t="s">
        <v>4022</v>
      </c>
    </row>
    <row r="2252" spans="1:2" x14ac:dyDescent="0.25">
      <c r="A2252" s="1" t="s">
        <v>4023</v>
      </c>
      <c r="B2252" s="1" t="s">
        <v>4024</v>
      </c>
    </row>
    <row r="2253" spans="1:2" x14ac:dyDescent="0.25">
      <c r="A2253" s="1" t="s">
        <v>264</v>
      </c>
      <c r="B2253" s="1" t="s">
        <v>4025</v>
      </c>
    </row>
    <row r="2254" spans="1:2" x14ac:dyDescent="0.25">
      <c r="A2254" s="1" t="s">
        <v>988</v>
      </c>
      <c r="B2254" s="1" t="s">
        <v>4026</v>
      </c>
    </row>
    <row r="2255" spans="1:2" x14ac:dyDescent="0.25">
      <c r="A2255" s="1" t="s">
        <v>90</v>
      </c>
      <c r="B2255" s="1" t="s">
        <v>4027</v>
      </c>
    </row>
    <row r="2256" spans="1:2" x14ac:dyDescent="0.25">
      <c r="A2256" s="1" t="s">
        <v>1199</v>
      </c>
      <c r="B2256" s="1" t="s">
        <v>4028</v>
      </c>
    </row>
    <row r="2257" spans="1:2" x14ac:dyDescent="0.25">
      <c r="A2257" s="1" t="s">
        <v>4029</v>
      </c>
      <c r="B2257" s="1" t="s">
        <v>4030</v>
      </c>
    </row>
    <row r="2258" spans="1:2" x14ac:dyDescent="0.25">
      <c r="A2258" s="1" t="s">
        <v>4031</v>
      </c>
      <c r="B2258" s="1" t="s">
        <v>4032</v>
      </c>
    </row>
    <row r="2259" spans="1:2" x14ac:dyDescent="0.25">
      <c r="A2259" s="1" t="s">
        <v>4033</v>
      </c>
      <c r="B2259" s="1" t="s">
        <v>4034</v>
      </c>
    </row>
    <row r="2260" spans="1:2" x14ac:dyDescent="0.25">
      <c r="A2260" s="1" t="s">
        <v>258</v>
      </c>
      <c r="B2260" s="1" t="s">
        <v>4035</v>
      </c>
    </row>
    <row r="2261" spans="1:2" x14ac:dyDescent="0.25">
      <c r="A2261" s="1" t="s">
        <v>4036</v>
      </c>
      <c r="B2261" s="1" t="s">
        <v>4037</v>
      </c>
    </row>
    <row r="2262" spans="1:2" x14ac:dyDescent="0.25">
      <c r="A2262" s="1" t="s">
        <v>3956</v>
      </c>
      <c r="B2262" s="1" t="s">
        <v>4038</v>
      </c>
    </row>
    <row r="2263" spans="1:2" x14ac:dyDescent="0.25">
      <c r="A2263" s="1" t="s">
        <v>3152</v>
      </c>
      <c r="B2263" s="1" t="s">
        <v>4039</v>
      </c>
    </row>
    <row r="2264" spans="1:2" x14ac:dyDescent="0.25">
      <c r="A2264" s="1" t="s">
        <v>4040</v>
      </c>
      <c r="B2264" s="1" t="s">
        <v>4041</v>
      </c>
    </row>
    <row r="2265" spans="1:2" x14ac:dyDescent="0.25">
      <c r="A2265" s="1" t="s">
        <v>3860</v>
      </c>
      <c r="B2265" s="1" t="s">
        <v>4042</v>
      </c>
    </row>
    <row r="2266" spans="1:2" x14ac:dyDescent="0.25">
      <c r="A2266" s="1" t="s">
        <v>3164</v>
      </c>
      <c r="B2266" s="1" t="s">
        <v>4043</v>
      </c>
    </row>
    <row r="2267" spans="1:2" x14ac:dyDescent="0.25">
      <c r="A2267" s="1" t="s">
        <v>4044</v>
      </c>
      <c r="B2267" s="1" t="s">
        <v>4045</v>
      </c>
    </row>
    <row r="2268" spans="1:2" x14ac:dyDescent="0.25">
      <c r="A2268" s="1" t="s">
        <v>4046</v>
      </c>
      <c r="B2268" s="1" t="s">
        <v>4047</v>
      </c>
    </row>
    <row r="2269" spans="1:2" x14ac:dyDescent="0.25">
      <c r="A2269" s="1" t="s">
        <v>4048</v>
      </c>
      <c r="B2269" s="1" t="s">
        <v>4049</v>
      </c>
    </row>
    <row r="2270" spans="1:2" x14ac:dyDescent="0.25">
      <c r="A2270" s="1" t="s">
        <v>4050</v>
      </c>
      <c r="B2270" s="1" t="s">
        <v>4051</v>
      </c>
    </row>
    <row r="2271" spans="1:2" x14ac:dyDescent="0.25">
      <c r="A2271" s="1" t="s">
        <v>4052</v>
      </c>
      <c r="B2271" s="1" t="s">
        <v>4053</v>
      </c>
    </row>
    <row r="2272" spans="1:2" x14ac:dyDescent="0.25">
      <c r="A2272" s="1" t="s">
        <v>4054</v>
      </c>
      <c r="B2272" s="1" t="s">
        <v>4055</v>
      </c>
    </row>
    <row r="2273" spans="1:2" x14ac:dyDescent="0.25">
      <c r="A2273" s="1" t="s">
        <v>4033</v>
      </c>
      <c r="B2273" s="1" t="s">
        <v>4056</v>
      </c>
    </row>
    <row r="2274" spans="1:2" x14ac:dyDescent="0.25">
      <c r="A2274" s="1" t="s">
        <v>258</v>
      </c>
      <c r="B2274" s="1" t="s">
        <v>4057</v>
      </c>
    </row>
    <row r="2275" spans="1:2" x14ac:dyDescent="0.25">
      <c r="A2275" s="1" t="s">
        <v>4058</v>
      </c>
      <c r="B2275" s="1" t="s">
        <v>4059</v>
      </c>
    </row>
    <row r="2276" spans="1:2" x14ac:dyDescent="0.25">
      <c r="A2276" s="1" t="s">
        <v>4060</v>
      </c>
      <c r="B2276" s="1" t="s">
        <v>4061</v>
      </c>
    </row>
    <row r="2277" spans="1:2" x14ac:dyDescent="0.25">
      <c r="A2277" s="1" t="s">
        <v>4062</v>
      </c>
      <c r="B2277" s="1" t="s">
        <v>4063</v>
      </c>
    </row>
    <row r="2278" spans="1:2" x14ac:dyDescent="0.25">
      <c r="A2278" s="1" t="s">
        <v>4064</v>
      </c>
      <c r="B2278" s="1" t="s">
        <v>4065</v>
      </c>
    </row>
    <row r="2279" spans="1:2" x14ac:dyDescent="0.25">
      <c r="A2279" s="1" t="s">
        <v>4066</v>
      </c>
      <c r="B2279" s="1" t="s">
        <v>4067</v>
      </c>
    </row>
    <row r="2280" spans="1:2" x14ac:dyDescent="0.25">
      <c r="A2280" s="1" t="s">
        <v>4068</v>
      </c>
      <c r="B2280" s="1" t="s">
        <v>4069</v>
      </c>
    </row>
    <row r="2281" spans="1:2" x14ac:dyDescent="0.25">
      <c r="A2281" s="1" t="s">
        <v>4070</v>
      </c>
      <c r="B2281" s="1" t="s">
        <v>4071</v>
      </c>
    </row>
    <row r="2282" spans="1:2" x14ac:dyDescent="0.25">
      <c r="A2282" s="1" t="s">
        <v>4072</v>
      </c>
      <c r="B2282" s="1" t="s">
        <v>4073</v>
      </c>
    </row>
    <row r="2283" spans="1:2" x14ac:dyDescent="0.25">
      <c r="A2283" s="1" t="s">
        <v>4074</v>
      </c>
      <c r="B2283" s="1" t="s">
        <v>4075</v>
      </c>
    </row>
    <row r="2284" spans="1:2" x14ac:dyDescent="0.25">
      <c r="A2284" s="1" t="s">
        <v>3713</v>
      </c>
      <c r="B2284" s="1" t="s">
        <v>4076</v>
      </c>
    </row>
    <row r="2285" spans="1:2" x14ac:dyDescent="0.25">
      <c r="A2285" s="1" t="s">
        <v>402</v>
      </c>
      <c r="B2285" s="1" t="s">
        <v>4077</v>
      </c>
    </row>
    <row r="2286" spans="1:2" x14ac:dyDescent="0.25">
      <c r="A2286" s="1" t="s">
        <v>90</v>
      </c>
      <c r="B2286" s="1" t="s">
        <v>4078</v>
      </c>
    </row>
    <row r="2287" spans="1:2" x14ac:dyDescent="0.25">
      <c r="A2287" s="1" t="s">
        <v>2415</v>
      </c>
      <c r="B2287" s="1" t="s">
        <v>4079</v>
      </c>
    </row>
    <row r="2288" spans="1:2" x14ac:dyDescent="0.25">
      <c r="A2288" s="1" t="s">
        <v>253</v>
      </c>
      <c r="B2288" s="1" t="s">
        <v>4080</v>
      </c>
    </row>
    <row r="2289" spans="1:2" x14ac:dyDescent="0.25">
      <c r="A2289" s="1" t="s">
        <v>4081</v>
      </c>
      <c r="B2289" s="1" t="s">
        <v>4082</v>
      </c>
    </row>
    <row r="2290" spans="1:2" x14ac:dyDescent="0.25">
      <c r="A2290" s="1" t="s">
        <v>4083</v>
      </c>
      <c r="B2290" s="1" t="s">
        <v>4084</v>
      </c>
    </row>
    <row r="2291" spans="1:2" x14ac:dyDescent="0.25">
      <c r="A2291" s="1" t="s">
        <v>3829</v>
      </c>
      <c r="B2291" s="1" t="s">
        <v>4085</v>
      </c>
    </row>
    <row r="2292" spans="1:2" x14ac:dyDescent="0.25">
      <c r="A2292" s="1" t="s">
        <v>4086</v>
      </c>
      <c r="B2292" s="1" t="s">
        <v>4087</v>
      </c>
    </row>
    <row r="2293" spans="1:2" x14ac:dyDescent="0.25">
      <c r="A2293" s="1" t="s">
        <v>4088</v>
      </c>
      <c r="B2293" s="1" t="s">
        <v>4089</v>
      </c>
    </row>
    <row r="2294" spans="1:2" x14ac:dyDescent="0.25">
      <c r="A2294" s="1" t="s">
        <v>4090</v>
      </c>
      <c r="B2294" s="1" t="s">
        <v>4091</v>
      </c>
    </row>
    <row r="2295" spans="1:2" x14ac:dyDescent="0.25">
      <c r="A2295" s="1" t="s">
        <v>129</v>
      </c>
      <c r="B2295" s="1" t="s">
        <v>4092</v>
      </c>
    </row>
    <row r="2296" spans="1:2" x14ac:dyDescent="0.25">
      <c r="A2296" s="1" t="s">
        <v>4093</v>
      </c>
      <c r="B2296" s="1" t="s">
        <v>4094</v>
      </c>
    </row>
    <row r="2297" spans="1:2" x14ac:dyDescent="0.25">
      <c r="A2297" s="1" t="s">
        <v>4095</v>
      </c>
      <c r="B2297" s="1" t="s">
        <v>4096</v>
      </c>
    </row>
    <row r="2298" spans="1:2" x14ac:dyDescent="0.25">
      <c r="A2298" s="1" t="s">
        <v>4097</v>
      </c>
      <c r="B2298" s="1" t="s">
        <v>4098</v>
      </c>
    </row>
    <row r="2299" spans="1:2" x14ac:dyDescent="0.25">
      <c r="A2299" s="1" t="s">
        <v>4099</v>
      </c>
      <c r="B2299" s="1" t="s">
        <v>4100</v>
      </c>
    </row>
    <row r="2300" spans="1:2" x14ac:dyDescent="0.25">
      <c r="A2300" s="1" t="s">
        <v>4101</v>
      </c>
      <c r="B2300" s="1" t="s">
        <v>4102</v>
      </c>
    </row>
    <row r="2301" spans="1:2" x14ac:dyDescent="0.25">
      <c r="A2301" s="1" t="s">
        <v>3960</v>
      </c>
      <c r="B2301" s="1" t="s">
        <v>4103</v>
      </c>
    </row>
    <row r="2302" spans="1:2" x14ac:dyDescent="0.25">
      <c r="A2302" s="1" t="s">
        <v>3156</v>
      </c>
      <c r="B2302" s="1" t="s">
        <v>4104</v>
      </c>
    </row>
    <row r="2303" spans="1:2" x14ac:dyDescent="0.25">
      <c r="A2303" s="1" t="s">
        <v>4105</v>
      </c>
      <c r="B2303" s="1" t="s">
        <v>4106</v>
      </c>
    </row>
    <row r="2304" spans="1:2" x14ac:dyDescent="0.25">
      <c r="A2304" s="1" t="s">
        <v>3967</v>
      </c>
      <c r="B2304" s="1" t="s">
        <v>4107</v>
      </c>
    </row>
    <row r="2305" spans="1:2" x14ac:dyDescent="0.25">
      <c r="A2305" s="1" t="s">
        <v>3958</v>
      </c>
      <c r="B2305" s="1" t="s">
        <v>4108</v>
      </c>
    </row>
    <row r="2306" spans="1:2" x14ac:dyDescent="0.25">
      <c r="A2306" s="1" t="s">
        <v>3138</v>
      </c>
      <c r="B2306" s="1" t="s">
        <v>4109</v>
      </c>
    </row>
    <row r="2307" spans="1:2" x14ac:dyDescent="0.25">
      <c r="A2307" s="1" t="s">
        <v>3154</v>
      </c>
      <c r="B2307" s="1" t="s">
        <v>4110</v>
      </c>
    </row>
    <row r="2308" spans="1:2" x14ac:dyDescent="0.25">
      <c r="A2308" s="1" t="s">
        <v>3152</v>
      </c>
      <c r="B2308" s="1" t="s">
        <v>4111</v>
      </c>
    </row>
    <row r="2309" spans="1:2" x14ac:dyDescent="0.25">
      <c r="A2309" s="1" t="s">
        <v>3142</v>
      </c>
      <c r="B2309" s="1" t="s">
        <v>4112</v>
      </c>
    </row>
    <row r="2310" spans="1:2" x14ac:dyDescent="0.25">
      <c r="A2310" s="1" t="s">
        <v>3956</v>
      </c>
      <c r="B2310" s="1" t="s">
        <v>4113</v>
      </c>
    </row>
    <row r="2311" spans="1:2" x14ac:dyDescent="0.25">
      <c r="A2311" s="1" t="s">
        <v>4114</v>
      </c>
      <c r="B2311" s="1" t="s">
        <v>4115</v>
      </c>
    </row>
    <row r="2312" spans="1:2" x14ac:dyDescent="0.25">
      <c r="A2312" s="1" t="s">
        <v>3164</v>
      </c>
      <c r="B2312" s="1" t="s">
        <v>4116</v>
      </c>
    </row>
    <row r="2313" spans="1:2" x14ac:dyDescent="0.25">
      <c r="A2313" s="1" t="s">
        <v>3162</v>
      </c>
      <c r="B2313" s="1" t="s">
        <v>4117</v>
      </c>
    </row>
    <row r="2314" spans="1:2" x14ac:dyDescent="0.25">
      <c r="A2314" s="1" t="s">
        <v>3160</v>
      </c>
      <c r="B2314" s="1" t="s">
        <v>4118</v>
      </c>
    </row>
    <row r="2315" spans="1:2" x14ac:dyDescent="0.25">
      <c r="A2315" s="1" t="s">
        <v>4119</v>
      </c>
      <c r="B2315" s="1" t="s">
        <v>4120</v>
      </c>
    </row>
    <row r="2316" spans="1:2" x14ac:dyDescent="0.25">
      <c r="A2316" s="1" t="s">
        <v>4121</v>
      </c>
      <c r="B2316" s="1" t="s">
        <v>4122</v>
      </c>
    </row>
    <row r="2317" spans="1:2" x14ac:dyDescent="0.25">
      <c r="A2317" s="1" t="s">
        <v>4123</v>
      </c>
      <c r="B2317" s="1" t="s">
        <v>4124</v>
      </c>
    </row>
    <row r="2318" spans="1:2" x14ac:dyDescent="0.25">
      <c r="A2318" s="1" t="s">
        <v>4125</v>
      </c>
      <c r="B2318" s="1" t="s">
        <v>4126</v>
      </c>
    </row>
    <row r="2319" spans="1:2" x14ac:dyDescent="0.25">
      <c r="A2319" s="1" t="s">
        <v>4127</v>
      </c>
      <c r="B2319" s="1" t="s">
        <v>4128</v>
      </c>
    </row>
    <row r="2320" spans="1:2" x14ac:dyDescent="0.25">
      <c r="A2320" s="1" t="s">
        <v>4129</v>
      </c>
      <c r="B2320" s="1" t="s">
        <v>4130</v>
      </c>
    </row>
    <row r="2321" spans="1:2" x14ac:dyDescent="0.25">
      <c r="A2321" s="1" t="s">
        <v>4131</v>
      </c>
      <c r="B2321" s="1" t="s">
        <v>4132</v>
      </c>
    </row>
    <row r="2322" spans="1:2" x14ac:dyDescent="0.25">
      <c r="A2322" s="1" t="s">
        <v>4133</v>
      </c>
      <c r="B2322" s="1" t="s">
        <v>4134</v>
      </c>
    </row>
    <row r="2323" spans="1:2" x14ac:dyDescent="0.25">
      <c r="A2323" s="1" t="s">
        <v>4135</v>
      </c>
      <c r="B2323" s="1" t="s">
        <v>4136</v>
      </c>
    </row>
    <row r="2324" spans="1:2" x14ac:dyDescent="0.25">
      <c r="A2324" s="1" t="s">
        <v>4137</v>
      </c>
      <c r="B2324" s="1" t="s">
        <v>4138</v>
      </c>
    </row>
    <row r="2325" spans="1:2" x14ac:dyDescent="0.25">
      <c r="A2325" s="1" t="s">
        <v>4139</v>
      </c>
      <c r="B2325" s="1" t="s">
        <v>4140</v>
      </c>
    </row>
    <row r="2326" spans="1:2" x14ac:dyDescent="0.25">
      <c r="A2326" s="1" t="s">
        <v>4141</v>
      </c>
      <c r="B2326" s="1" t="s">
        <v>4142</v>
      </c>
    </row>
    <row r="2327" spans="1:2" x14ac:dyDescent="0.25">
      <c r="A2327" s="1" t="s">
        <v>4143</v>
      </c>
      <c r="B2327" s="1" t="s">
        <v>4144</v>
      </c>
    </row>
    <row r="2328" spans="1:2" x14ac:dyDescent="0.25">
      <c r="A2328" s="1" t="s">
        <v>4145</v>
      </c>
      <c r="B2328" s="1" t="s">
        <v>4146</v>
      </c>
    </row>
    <row r="2329" spans="1:2" x14ac:dyDescent="0.25">
      <c r="A2329" s="1" t="s">
        <v>4147</v>
      </c>
      <c r="B2329" s="1" t="s">
        <v>4148</v>
      </c>
    </row>
    <row r="2330" spans="1:2" x14ac:dyDescent="0.25">
      <c r="A2330" s="1" t="s">
        <v>4149</v>
      </c>
      <c r="B2330" s="1" t="s">
        <v>4150</v>
      </c>
    </row>
    <row r="2331" spans="1:2" x14ac:dyDescent="0.25">
      <c r="A2331" s="1" t="s">
        <v>3196</v>
      </c>
      <c r="B2331" s="1" t="s">
        <v>4151</v>
      </c>
    </row>
    <row r="2332" spans="1:2" x14ac:dyDescent="0.25">
      <c r="A2332" s="1" t="s">
        <v>3128</v>
      </c>
      <c r="B2332" s="1" t="s">
        <v>4152</v>
      </c>
    </row>
    <row r="2333" spans="1:2" x14ac:dyDescent="0.25">
      <c r="A2333" s="1" t="s">
        <v>4153</v>
      </c>
      <c r="B2333" s="1" t="s">
        <v>4154</v>
      </c>
    </row>
    <row r="2334" spans="1:2" x14ac:dyDescent="0.25">
      <c r="A2334" s="1" t="s">
        <v>4155</v>
      </c>
      <c r="B2334" s="1" t="s">
        <v>4156</v>
      </c>
    </row>
    <row r="2335" spans="1:2" x14ac:dyDescent="0.25">
      <c r="A2335" s="1" t="s">
        <v>4157</v>
      </c>
      <c r="B2335" s="1" t="s">
        <v>4158</v>
      </c>
    </row>
    <row r="2336" spans="1:2" x14ac:dyDescent="0.25">
      <c r="A2336" s="1" t="s">
        <v>441</v>
      </c>
      <c r="B2336" s="1" t="s">
        <v>4159</v>
      </c>
    </row>
    <row r="2337" spans="1:2" x14ac:dyDescent="0.25">
      <c r="A2337" s="1" t="s">
        <v>3832</v>
      </c>
      <c r="B2337" s="1" t="s">
        <v>4160</v>
      </c>
    </row>
    <row r="2338" spans="1:2" x14ac:dyDescent="0.25">
      <c r="A2338" s="1" t="s">
        <v>3827</v>
      </c>
      <c r="B2338" s="1" t="s">
        <v>4161</v>
      </c>
    </row>
    <row r="2339" spans="1:2" x14ac:dyDescent="0.25">
      <c r="A2339" s="1" t="s">
        <v>3122</v>
      </c>
      <c r="B2339" s="1" t="s">
        <v>4162</v>
      </c>
    </row>
    <row r="2340" spans="1:2" x14ac:dyDescent="0.25">
      <c r="A2340" s="1" t="s">
        <v>264</v>
      </c>
      <c r="B2340" s="1" t="s">
        <v>4163</v>
      </c>
    </row>
    <row r="2341" spans="1:2" x14ac:dyDescent="0.25">
      <c r="A2341" s="1" t="s">
        <v>988</v>
      </c>
      <c r="B2341" s="1" t="s">
        <v>4164</v>
      </c>
    </row>
    <row r="2342" spans="1:2" x14ac:dyDescent="0.25">
      <c r="A2342" s="1" t="s">
        <v>253</v>
      </c>
      <c r="B2342" s="1" t="s">
        <v>4165</v>
      </c>
    </row>
    <row r="2343" spans="1:2" x14ac:dyDescent="0.25">
      <c r="A2343" s="1" t="s">
        <v>92</v>
      </c>
      <c r="B2343" s="1" t="s">
        <v>4166</v>
      </c>
    </row>
    <row r="2344" spans="1:2" x14ac:dyDescent="0.25">
      <c r="A2344" s="1" t="s">
        <v>4167</v>
      </c>
      <c r="B2344" s="1" t="s">
        <v>4168</v>
      </c>
    </row>
    <row r="2345" spans="1:2" x14ac:dyDescent="0.25">
      <c r="A2345" s="1" t="s">
        <v>3836</v>
      </c>
      <c r="B2345" s="1" t="s">
        <v>4169</v>
      </c>
    </row>
    <row r="2346" spans="1:2" x14ac:dyDescent="0.25">
      <c r="A2346" s="1" t="s">
        <v>3364</v>
      </c>
      <c r="B2346" s="1" t="s">
        <v>4170</v>
      </c>
    </row>
    <row r="2347" spans="1:2" x14ac:dyDescent="0.25">
      <c r="A2347" s="1" t="s">
        <v>4171</v>
      </c>
      <c r="B2347" s="1" t="s">
        <v>4172</v>
      </c>
    </row>
    <row r="2348" spans="1:2" x14ac:dyDescent="0.25">
      <c r="A2348" s="1" t="s">
        <v>2372</v>
      </c>
      <c r="B2348" s="1" t="s">
        <v>4173</v>
      </c>
    </row>
    <row r="2349" spans="1:2" x14ac:dyDescent="0.25">
      <c r="A2349" s="1" t="s">
        <v>3852</v>
      </c>
      <c r="B2349" s="1" t="s">
        <v>4174</v>
      </c>
    </row>
    <row r="2350" spans="1:2" x14ac:dyDescent="0.25">
      <c r="A2350" s="1" t="s">
        <v>4175</v>
      </c>
      <c r="B2350" s="1" t="s">
        <v>4176</v>
      </c>
    </row>
    <row r="2351" spans="1:2" x14ac:dyDescent="0.25">
      <c r="A2351" s="1" t="s">
        <v>4177</v>
      </c>
      <c r="B2351" s="1" t="s">
        <v>4178</v>
      </c>
    </row>
    <row r="2352" spans="1:2" x14ac:dyDescent="0.25">
      <c r="A2352" s="1" t="s">
        <v>4179</v>
      </c>
      <c r="B2352" s="1" t="s">
        <v>4180</v>
      </c>
    </row>
    <row r="2353" spans="1:2" x14ac:dyDescent="0.25">
      <c r="A2353" s="1" t="s">
        <v>4181</v>
      </c>
      <c r="B2353" s="1" t="s">
        <v>4182</v>
      </c>
    </row>
    <row r="2354" spans="1:2" x14ac:dyDescent="0.25">
      <c r="A2354" s="1" t="s">
        <v>3858</v>
      </c>
      <c r="B2354" s="1" t="s">
        <v>4183</v>
      </c>
    </row>
    <row r="2355" spans="1:2" x14ac:dyDescent="0.25">
      <c r="A2355" s="1" t="s">
        <v>3860</v>
      </c>
      <c r="B2355" s="1" t="s">
        <v>4184</v>
      </c>
    </row>
    <row r="2356" spans="1:2" x14ac:dyDescent="0.25">
      <c r="A2356" s="1" t="s">
        <v>4185</v>
      </c>
      <c r="B2356" s="1" t="s">
        <v>4186</v>
      </c>
    </row>
    <row r="2357" spans="1:2" x14ac:dyDescent="0.25">
      <c r="A2357" s="1" t="s">
        <v>4187</v>
      </c>
      <c r="B2357" s="1" t="s">
        <v>4188</v>
      </c>
    </row>
    <row r="2358" spans="1:2" x14ac:dyDescent="0.25">
      <c r="A2358" s="1" t="s">
        <v>4189</v>
      </c>
      <c r="B2358" s="1" t="s">
        <v>4190</v>
      </c>
    </row>
    <row r="2359" spans="1:2" x14ac:dyDescent="0.25">
      <c r="A2359" s="1" t="s">
        <v>4191</v>
      </c>
      <c r="B2359" s="1" t="s">
        <v>4192</v>
      </c>
    </row>
    <row r="2360" spans="1:2" x14ac:dyDescent="0.25">
      <c r="A2360" s="1" t="s">
        <v>4193</v>
      </c>
      <c r="B2360" s="1" t="s">
        <v>4194</v>
      </c>
    </row>
    <row r="2361" spans="1:2" x14ac:dyDescent="0.25">
      <c r="A2361" s="1" t="s">
        <v>4195</v>
      </c>
      <c r="B2361" s="1" t="s">
        <v>4196</v>
      </c>
    </row>
    <row r="2362" spans="1:2" x14ac:dyDescent="0.25">
      <c r="A2362" s="1" t="s">
        <v>4197</v>
      </c>
      <c r="B2362" s="1" t="s">
        <v>4198</v>
      </c>
    </row>
    <row r="2363" spans="1:2" x14ac:dyDescent="0.25">
      <c r="A2363" s="1" t="s">
        <v>4199</v>
      </c>
      <c r="B2363" s="1" t="s">
        <v>4200</v>
      </c>
    </row>
    <row r="2364" spans="1:2" x14ac:dyDescent="0.25">
      <c r="A2364" s="1" t="s">
        <v>4187</v>
      </c>
      <c r="B2364" s="1" t="s">
        <v>4201</v>
      </c>
    </row>
    <row r="2365" spans="1:2" x14ac:dyDescent="0.25">
      <c r="A2365" s="1" t="s">
        <v>4202</v>
      </c>
      <c r="B2365" s="1" t="s">
        <v>4203</v>
      </c>
    </row>
    <row r="2366" spans="1:2" x14ac:dyDescent="0.25">
      <c r="A2366" s="1" t="s">
        <v>3865</v>
      </c>
      <c r="B2366" s="1" t="s">
        <v>4204</v>
      </c>
    </row>
    <row r="2367" spans="1:2" x14ac:dyDescent="0.25">
      <c r="A2367" s="1" t="s">
        <v>3867</v>
      </c>
      <c r="B2367" s="1" t="s">
        <v>4205</v>
      </c>
    </row>
    <row r="2368" spans="1:2" x14ac:dyDescent="0.25">
      <c r="A2368" s="1" t="s">
        <v>3869</v>
      </c>
      <c r="B2368" s="1" t="s">
        <v>4206</v>
      </c>
    </row>
    <row r="2369" spans="1:2" x14ac:dyDescent="0.25">
      <c r="A2369" s="1" t="s">
        <v>4207</v>
      </c>
      <c r="B2369" s="1" t="s">
        <v>4208</v>
      </c>
    </row>
    <row r="2370" spans="1:2" x14ac:dyDescent="0.25">
      <c r="A2370" s="1" t="s">
        <v>4209</v>
      </c>
      <c r="B2370" s="1" t="s">
        <v>4210</v>
      </c>
    </row>
    <row r="2371" spans="1:2" x14ac:dyDescent="0.25">
      <c r="A2371" s="1" t="s">
        <v>4211</v>
      </c>
      <c r="B2371" s="1" t="s">
        <v>4212</v>
      </c>
    </row>
    <row r="2372" spans="1:2" x14ac:dyDescent="0.25">
      <c r="A2372" s="1" t="s">
        <v>4213</v>
      </c>
      <c r="B2372" s="1" t="s">
        <v>4214</v>
      </c>
    </row>
    <row r="2373" spans="1:2" x14ac:dyDescent="0.25">
      <c r="A2373" s="1" t="s">
        <v>4215</v>
      </c>
      <c r="B2373" s="1" t="s">
        <v>4216</v>
      </c>
    </row>
    <row r="2374" spans="1:2" x14ac:dyDescent="0.25">
      <c r="A2374" s="1" t="s">
        <v>4217</v>
      </c>
      <c r="B2374" s="1" t="s">
        <v>4218</v>
      </c>
    </row>
    <row r="2375" spans="1:2" x14ac:dyDescent="0.25">
      <c r="A2375" s="1" t="s">
        <v>4219</v>
      </c>
      <c r="B2375" s="1" t="s">
        <v>4220</v>
      </c>
    </row>
    <row r="2376" spans="1:2" x14ac:dyDescent="0.25">
      <c r="A2376" s="1" t="s">
        <v>4221</v>
      </c>
      <c r="B2376" s="1" t="s">
        <v>4222</v>
      </c>
    </row>
    <row r="2377" spans="1:2" x14ac:dyDescent="0.25">
      <c r="A2377" s="1" t="s">
        <v>4223</v>
      </c>
      <c r="B2377" s="1" t="s">
        <v>4224</v>
      </c>
    </row>
    <row r="2378" spans="1:2" x14ac:dyDescent="0.25">
      <c r="A2378" s="1" t="s">
        <v>4225</v>
      </c>
      <c r="B2378" s="1" t="s">
        <v>4226</v>
      </c>
    </row>
    <row r="2379" spans="1:2" x14ac:dyDescent="0.25">
      <c r="A2379" s="1" t="s">
        <v>4227</v>
      </c>
      <c r="B2379" s="1" t="s">
        <v>4228</v>
      </c>
    </row>
    <row r="2380" spans="1:2" x14ac:dyDescent="0.25">
      <c r="A2380" s="1" t="s">
        <v>4229</v>
      </c>
      <c r="B2380" s="1" t="s">
        <v>4230</v>
      </c>
    </row>
    <row r="2381" spans="1:2" x14ac:dyDescent="0.25">
      <c r="A2381" s="1" t="s">
        <v>4231</v>
      </c>
      <c r="B2381" s="1" t="s">
        <v>4232</v>
      </c>
    </row>
    <row r="2382" spans="1:2" x14ac:dyDescent="0.25">
      <c r="A2382" s="1" t="s">
        <v>4233</v>
      </c>
      <c r="B2382" s="1" t="s">
        <v>4234</v>
      </c>
    </row>
    <row r="2383" spans="1:2" x14ac:dyDescent="0.25">
      <c r="A2383" s="1" t="s">
        <v>4235</v>
      </c>
      <c r="B2383" s="1" t="s">
        <v>4236</v>
      </c>
    </row>
    <row r="2384" spans="1:2" x14ac:dyDescent="0.25">
      <c r="A2384" s="1" t="s">
        <v>4237</v>
      </c>
      <c r="B2384" s="1" t="s">
        <v>4238</v>
      </c>
    </row>
    <row r="2385" spans="1:2" x14ac:dyDescent="0.25">
      <c r="A2385" s="1" t="s">
        <v>4239</v>
      </c>
      <c r="B2385" s="1" t="s">
        <v>4240</v>
      </c>
    </row>
    <row r="2386" spans="1:2" x14ac:dyDescent="0.25">
      <c r="A2386" s="1" t="s">
        <v>4241</v>
      </c>
      <c r="B2386" s="1" t="s">
        <v>4242</v>
      </c>
    </row>
    <row r="2387" spans="1:2" x14ac:dyDescent="0.25">
      <c r="A2387" s="1" t="s">
        <v>4243</v>
      </c>
      <c r="B2387" s="1" t="s">
        <v>4244</v>
      </c>
    </row>
    <row r="2388" spans="1:2" x14ac:dyDescent="0.25">
      <c r="A2388" s="1" t="s">
        <v>4245</v>
      </c>
      <c r="B2388" s="1" t="s">
        <v>4246</v>
      </c>
    </row>
    <row r="2389" spans="1:2" x14ac:dyDescent="0.25">
      <c r="A2389" s="1" t="s">
        <v>4157</v>
      </c>
      <c r="B2389" s="1" t="s">
        <v>4247</v>
      </c>
    </row>
    <row r="2390" spans="1:2" x14ac:dyDescent="0.25">
      <c r="A2390" s="1" t="s">
        <v>441</v>
      </c>
      <c r="B2390" s="1" t="s">
        <v>4248</v>
      </c>
    </row>
    <row r="2391" spans="1:2" x14ac:dyDescent="0.25">
      <c r="A2391" s="1" t="s">
        <v>4249</v>
      </c>
      <c r="B2391" s="1" t="s">
        <v>4250</v>
      </c>
    </row>
    <row r="2392" spans="1:2" x14ac:dyDescent="0.25">
      <c r="A2392" s="1" t="s">
        <v>4251</v>
      </c>
      <c r="B2392" s="1" t="s">
        <v>4252</v>
      </c>
    </row>
    <row r="2393" spans="1:2" x14ac:dyDescent="0.25">
      <c r="A2393" s="1" t="s">
        <v>258</v>
      </c>
      <c r="B2393" s="1" t="s">
        <v>4253</v>
      </c>
    </row>
    <row r="2394" spans="1:2" x14ac:dyDescent="0.25">
      <c r="A2394" s="1" t="s">
        <v>80</v>
      </c>
      <c r="B2394" s="1" t="s">
        <v>4254</v>
      </c>
    </row>
    <row r="2395" spans="1:2" x14ac:dyDescent="0.25">
      <c r="A2395" s="1" t="s">
        <v>4255</v>
      </c>
      <c r="B2395" s="1" t="s">
        <v>4256</v>
      </c>
    </row>
    <row r="2396" spans="1:2" x14ac:dyDescent="0.25">
      <c r="A2396" s="1" t="s">
        <v>4257</v>
      </c>
      <c r="B2396" s="1" t="s">
        <v>4258</v>
      </c>
    </row>
    <row r="2397" spans="1:2" x14ac:dyDescent="0.25">
      <c r="A2397" s="1" t="s">
        <v>264</v>
      </c>
      <c r="B2397" s="1" t="s">
        <v>4259</v>
      </c>
    </row>
    <row r="2398" spans="1:2" x14ac:dyDescent="0.25">
      <c r="A2398" s="1" t="s">
        <v>253</v>
      </c>
      <c r="B2398" s="1" t="s">
        <v>4260</v>
      </c>
    </row>
    <row r="2399" spans="1:2" x14ac:dyDescent="0.25">
      <c r="A2399" s="1" t="s">
        <v>16</v>
      </c>
      <c r="B2399" s="1" t="s">
        <v>4261</v>
      </c>
    </row>
    <row r="2400" spans="1:2" x14ac:dyDescent="0.25">
      <c r="A2400" s="1" t="s">
        <v>4262</v>
      </c>
      <c r="B2400" s="1" t="s">
        <v>4263</v>
      </c>
    </row>
    <row r="2401" spans="1:2" x14ac:dyDescent="0.25">
      <c r="A2401" s="1" t="s">
        <v>4264</v>
      </c>
      <c r="B2401" s="1" t="s">
        <v>4265</v>
      </c>
    </row>
    <row r="2402" spans="1:2" x14ac:dyDescent="0.25">
      <c r="A2402" s="1" t="s">
        <v>604</v>
      </c>
      <c r="B2402" s="1" t="s">
        <v>4266</v>
      </c>
    </row>
    <row r="2403" spans="1:2" x14ac:dyDescent="0.25">
      <c r="A2403" s="1" t="s">
        <v>4267</v>
      </c>
      <c r="B2403" s="1" t="s">
        <v>4268</v>
      </c>
    </row>
    <row r="2404" spans="1:2" x14ac:dyDescent="0.25">
      <c r="A2404" s="1" t="s">
        <v>4090</v>
      </c>
      <c r="B2404" s="1" t="s">
        <v>4269</v>
      </c>
    </row>
    <row r="2405" spans="1:2" x14ac:dyDescent="0.25">
      <c r="A2405" s="1" t="s">
        <v>151</v>
      </c>
      <c r="B2405" s="1" t="s">
        <v>4270</v>
      </c>
    </row>
    <row r="2406" spans="1:2" x14ac:dyDescent="0.25">
      <c r="A2406" s="1" t="s">
        <v>3122</v>
      </c>
      <c r="B2406" s="1" t="s">
        <v>4271</v>
      </c>
    </row>
    <row r="2407" spans="1:2" x14ac:dyDescent="0.25">
      <c r="A2407" s="1" t="s">
        <v>2372</v>
      </c>
      <c r="B2407" s="1" t="s">
        <v>4272</v>
      </c>
    </row>
    <row r="2408" spans="1:2" x14ac:dyDescent="0.25">
      <c r="A2408" s="1" t="s">
        <v>3852</v>
      </c>
      <c r="B2408" s="1" t="s">
        <v>4273</v>
      </c>
    </row>
    <row r="2409" spans="1:2" x14ac:dyDescent="0.25">
      <c r="A2409" s="1" t="s">
        <v>4274</v>
      </c>
      <c r="B2409" s="1" t="s">
        <v>4275</v>
      </c>
    </row>
    <row r="2410" spans="1:2" x14ac:dyDescent="0.25">
      <c r="A2410" s="1" t="s">
        <v>4276</v>
      </c>
      <c r="B2410" s="1" t="s">
        <v>4277</v>
      </c>
    </row>
    <row r="2411" spans="1:2" x14ac:dyDescent="0.25">
      <c r="A2411" s="1" t="s">
        <v>3886</v>
      </c>
      <c r="B2411" s="1" t="s">
        <v>4278</v>
      </c>
    </row>
    <row r="2412" spans="1:2" x14ac:dyDescent="0.25">
      <c r="A2412" s="1" t="s">
        <v>3144</v>
      </c>
      <c r="B2412" s="1" t="s">
        <v>4279</v>
      </c>
    </row>
    <row r="2413" spans="1:2" x14ac:dyDescent="0.25">
      <c r="A2413" s="1" t="s">
        <v>3152</v>
      </c>
      <c r="B2413" s="1" t="s">
        <v>4280</v>
      </c>
    </row>
    <row r="2414" spans="1:2" x14ac:dyDescent="0.25">
      <c r="A2414" s="1" t="s">
        <v>3882</v>
      </c>
      <c r="B2414" s="1" t="s">
        <v>4281</v>
      </c>
    </row>
    <row r="2415" spans="1:2" x14ac:dyDescent="0.25">
      <c r="A2415" s="1" t="s">
        <v>3958</v>
      </c>
      <c r="B2415" s="1" t="s">
        <v>4282</v>
      </c>
    </row>
    <row r="2416" spans="1:2" x14ac:dyDescent="0.25">
      <c r="A2416" s="1" t="s">
        <v>3156</v>
      </c>
      <c r="B2416" s="1" t="s">
        <v>4283</v>
      </c>
    </row>
    <row r="2417" spans="1:2" x14ac:dyDescent="0.25">
      <c r="A2417" s="1" t="s">
        <v>3154</v>
      </c>
      <c r="B2417" s="1" t="s">
        <v>4284</v>
      </c>
    </row>
    <row r="2418" spans="1:2" x14ac:dyDescent="0.25">
      <c r="A2418" s="1" t="s">
        <v>4285</v>
      </c>
      <c r="B2418" s="1" t="s">
        <v>4286</v>
      </c>
    </row>
    <row r="2419" spans="1:2" x14ac:dyDescent="0.25">
      <c r="A2419" s="1" t="s">
        <v>3858</v>
      </c>
      <c r="B2419" s="1" t="s">
        <v>4287</v>
      </c>
    </row>
    <row r="2420" spans="1:2" x14ac:dyDescent="0.25">
      <c r="A2420" s="1" t="s">
        <v>3860</v>
      </c>
      <c r="B2420" s="1" t="s">
        <v>4288</v>
      </c>
    </row>
    <row r="2421" spans="1:2" x14ac:dyDescent="0.25">
      <c r="A2421" s="1" t="s">
        <v>4289</v>
      </c>
      <c r="B2421" s="1" t="s">
        <v>4290</v>
      </c>
    </row>
    <row r="2422" spans="1:2" x14ac:dyDescent="0.25">
      <c r="A2422" s="1" t="s">
        <v>4291</v>
      </c>
      <c r="B2422" s="1" t="s">
        <v>4292</v>
      </c>
    </row>
    <row r="2423" spans="1:2" x14ac:dyDescent="0.25">
      <c r="A2423" s="1" t="s">
        <v>3136</v>
      </c>
      <c r="B2423" s="1" t="s">
        <v>4293</v>
      </c>
    </row>
    <row r="2424" spans="1:2" x14ac:dyDescent="0.25">
      <c r="A2424" s="1" t="s">
        <v>3871</v>
      </c>
      <c r="B2424" s="1" t="s">
        <v>4294</v>
      </c>
    </row>
    <row r="2425" spans="1:2" x14ac:dyDescent="0.25">
      <c r="A2425" s="1" t="s">
        <v>4295</v>
      </c>
      <c r="B2425" s="1" t="s">
        <v>4296</v>
      </c>
    </row>
    <row r="2426" spans="1:2" x14ac:dyDescent="0.25">
      <c r="A2426" s="1" t="s">
        <v>4297</v>
      </c>
      <c r="B2426" s="1" t="s">
        <v>4298</v>
      </c>
    </row>
    <row r="2427" spans="1:2" x14ac:dyDescent="0.25">
      <c r="A2427" s="1" t="s">
        <v>3950</v>
      </c>
      <c r="B2427" s="1" t="s">
        <v>4299</v>
      </c>
    </row>
    <row r="2428" spans="1:2" x14ac:dyDescent="0.25">
      <c r="A2428" s="1" t="s">
        <v>3196</v>
      </c>
      <c r="B2428" s="1" t="s">
        <v>4300</v>
      </c>
    </row>
    <row r="2429" spans="1:2" x14ac:dyDescent="0.25">
      <c r="A2429" s="1" t="s">
        <v>4301</v>
      </c>
      <c r="B2429" s="1" t="s">
        <v>4302</v>
      </c>
    </row>
    <row r="2430" spans="1:2" x14ac:dyDescent="0.25">
      <c r="A2430" s="1" t="s">
        <v>4303</v>
      </c>
      <c r="B2430" s="1" t="s">
        <v>4304</v>
      </c>
    </row>
    <row r="2431" spans="1:2" x14ac:dyDescent="0.25">
      <c r="A2431" s="1" t="s">
        <v>3194</v>
      </c>
      <c r="B2431" s="1" t="s">
        <v>4305</v>
      </c>
    </row>
    <row r="2432" spans="1:2" x14ac:dyDescent="0.25">
      <c r="A2432" s="1" t="s">
        <v>4306</v>
      </c>
      <c r="B2432" s="1" t="s">
        <v>4307</v>
      </c>
    </row>
    <row r="2433" spans="1:2" x14ac:dyDescent="0.25">
      <c r="A2433" s="1" t="s">
        <v>4308</v>
      </c>
      <c r="B2433" s="1" t="s">
        <v>4309</v>
      </c>
    </row>
    <row r="2434" spans="1:2" x14ac:dyDescent="0.25">
      <c r="A2434" s="1" t="s">
        <v>4310</v>
      </c>
      <c r="B2434" s="1" t="s">
        <v>4311</v>
      </c>
    </row>
    <row r="2435" spans="1:2" x14ac:dyDescent="0.25">
      <c r="A2435" s="1" t="s">
        <v>4312</v>
      </c>
      <c r="B2435" s="1" t="s">
        <v>4313</v>
      </c>
    </row>
    <row r="2436" spans="1:2" x14ac:dyDescent="0.25">
      <c r="A2436" s="1" t="s">
        <v>4314</v>
      </c>
      <c r="B2436" s="1" t="s">
        <v>4315</v>
      </c>
    </row>
    <row r="2437" spans="1:2" x14ac:dyDescent="0.25">
      <c r="A2437" s="1" t="s">
        <v>4316</v>
      </c>
      <c r="B2437" s="1" t="s">
        <v>4317</v>
      </c>
    </row>
    <row r="2438" spans="1:2" x14ac:dyDescent="0.25">
      <c r="A2438" s="1" t="s">
        <v>4318</v>
      </c>
      <c r="B2438" s="1" t="s">
        <v>4319</v>
      </c>
    </row>
    <row r="2439" spans="1:2" x14ac:dyDescent="0.25">
      <c r="A2439" s="1" t="s">
        <v>4320</v>
      </c>
      <c r="B2439" s="1" t="s">
        <v>4321</v>
      </c>
    </row>
    <row r="2440" spans="1:2" x14ac:dyDescent="0.25">
      <c r="A2440" s="1" t="s">
        <v>4322</v>
      </c>
      <c r="B2440" s="1" t="s">
        <v>4323</v>
      </c>
    </row>
    <row r="2441" spans="1:2" x14ac:dyDescent="0.25">
      <c r="A2441" s="1" t="s">
        <v>4324</v>
      </c>
      <c r="B2441" s="1" t="s">
        <v>4325</v>
      </c>
    </row>
    <row r="2442" spans="1:2" x14ac:dyDescent="0.25">
      <c r="A2442" s="1" t="s">
        <v>4326</v>
      </c>
      <c r="B2442" s="1" t="s">
        <v>4327</v>
      </c>
    </row>
    <row r="2443" spans="1:2" x14ac:dyDescent="0.25">
      <c r="A2443" s="1" t="s">
        <v>4221</v>
      </c>
      <c r="B2443" s="1" t="s">
        <v>4328</v>
      </c>
    </row>
    <row r="2444" spans="1:2" x14ac:dyDescent="0.25">
      <c r="A2444" s="1" t="s">
        <v>4329</v>
      </c>
      <c r="B2444" s="1" t="s">
        <v>4330</v>
      </c>
    </row>
  </sheetData>
  <pageMargins left="0.7" right="0.7" top="0.75" bottom="0.75" header="0.3" footer="0.3"/>
  <customProperties>
    <customPr name="_pios_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2:K68"/>
  <sheetViews>
    <sheetView tabSelected="1" zoomScale="85" zoomScaleNormal="85" workbookViewId="0">
      <selection activeCell="A8" sqref="A8:XFD8"/>
    </sheetView>
  </sheetViews>
  <sheetFormatPr defaultRowHeight="26.25" customHeight="1" x14ac:dyDescent="0.25"/>
  <cols>
    <col min="1" max="2" width="9.140625" style="7"/>
    <col min="3" max="3" width="22" style="7" customWidth="1"/>
    <col min="4" max="4" width="33.42578125" style="7" customWidth="1"/>
    <col min="5" max="5" width="37.140625" style="7" customWidth="1"/>
    <col min="6" max="6" width="13.42578125" style="7" customWidth="1"/>
    <col min="7" max="7" width="20.42578125" style="7" customWidth="1"/>
    <col min="8" max="8" width="14.5703125" style="7" customWidth="1"/>
    <col min="9" max="9" width="13.7109375" style="7" customWidth="1"/>
    <col min="10" max="10" width="18.85546875" style="7" customWidth="1"/>
    <col min="11" max="11" width="50.140625" style="7" customWidth="1"/>
    <col min="12" max="16384" width="9.140625" style="7"/>
  </cols>
  <sheetData>
    <row r="2" spans="2:11" ht="26.25" customHeight="1" x14ac:dyDescent="0.25">
      <c r="B2" s="18" t="s">
        <v>4439</v>
      </c>
    </row>
    <row r="4" spans="2:11" ht="26.25" customHeight="1" x14ac:dyDescent="0.25">
      <c r="B4" s="4">
        <v>221001</v>
      </c>
      <c r="C4" s="5" t="s">
        <v>0</v>
      </c>
      <c r="D4" s="6"/>
      <c r="E4" s="6"/>
      <c r="F4" s="16"/>
      <c r="G4" s="16"/>
      <c r="H4" s="16"/>
      <c r="I4" s="16"/>
      <c r="J4" s="16"/>
      <c r="K4" s="16"/>
    </row>
    <row r="5" spans="2:11" ht="43.5" customHeight="1" x14ac:dyDescent="0.25">
      <c r="B5" s="8" t="s">
        <v>1</v>
      </c>
      <c r="C5" s="8" t="s">
        <v>4337</v>
      </c>
      <c r="D5" s="8" t="s">
        <v>2</v>
      </c>
      <c r="E5" s="8" t="s">
        <v>4338</v>
      </c>
      <c r="F5" s="8" t="s">
        <v>4339</v>
      </c>
      <c r="G5" s="8" t="s">
        <v>4340</v>
      </c>
      <c r="H5" s="8" t="s">
        <v>4341</v>
      </c>
      <c r="I5" s="8" t="s">
        <v>4342</v>
      </c>
      <c r="J5" s="8" t="s">
        <v>3</v>
      </c>
      <c r="K5" s="8" t="s">
        <v>4</v>
      </c>
    </row>
    <row r="6" spans="2:11" ht="26.25" customHeight="1" x14ac:dyDescent="0.25">
      <c r="B6" s="9"/>
      <c r="C6" s="9"/>
      <c r="D6" s="2" t="str">
        <f>_xlfn.IFNA(INDEX(Program!A:A,MATCH(Code_221001[[#This Row],[*Program Code]],Program!B:B,0)),"")</f>
        <v/>
      </c>
      <c r="F6" s="10"/>
      <c r="H6" s="11"/>
      <c r="I6" s="10"/>
      <c r="J6" s="15">
        <f>Code_221001[[#This Row],[*No. Of Trips]]*Code_221001[[#This Row],[*Expenditure Per Trip]]</f>
        <v>0</v>
      </c>
    </row>
    <row r="7" spans="2:11" ht="26.25" customHeight="1" x14ac:dyDescent="0.25">
      <c r="B7" s="9"/>
      <c r="C7" s="9"/>
      <c r="D7" s="2" t="str">
        <f>_xlfn.IFNA(INDEX(Program!A:A,MATCH(Code_221001[[#This Row],[*Program Code]],Program!B:B,0)),"")</f>
        <v/>
      </c>
      <c r="F7" s="10"/>
      <c r="H7" s="11"/>
      <c r="I7" s="10"/>
      <c r="J7" s="15">
        <f>Code_221001[[#This Row],[*No. Of Trips]]*Code_221001[[#This Row],[*Expenditure Per Trip]]</f>
        <v>0</v>
      </c>
    </row>
    <row r="8" spans="2:11" ht="26.25" customHeight="1" x14ac:dyDescent="0.25">
      <c r="B8" s="9"/>
      <c r="C8" s="9"/>
      <c r="D8" s="2" t="str">
        <f>_xlfn.IFNA(INDEX(Program!A:A,MATCH(Code_221001[[#This Row],[*Program Code]],Program!B:B,0)),"")</f>
        <v/>
      </c>
      <c r="F8" s="10"/>
      <c r="H8" s="11"/>
      <c r="I8" s="10"/>
      <c r="J8" s="15">
        <f>Code_221001[[#This Row],[*No. Of Trips]]*Code_221001[[#This Row],[*Expenditure Per Trip]]</f>
        <v>0</v>
      </c>
    </row>
    <row r="9" spans="2:11" ht="26.25" customHeight="1" x14ac:dyDescent="0.25">
      <c r="B9" s="9"/>
      <c r="C9" s="9"/>
      <c r="D9" s="2" t="str">
        <f>_xlfn.IFNA(INDEX(Program!A:A,MATCH(Code_221001[[#This Row],[*Program Code]],Program!B:B,0)),"")</f>
        <v/>
      </c>
      <c r="F9" s="10"/>
      <c r="H9" s="11"/>
      <c r="I9" s="10"/>
      <c r="J9" s="15">
        <f>Code_221001[[#This Row],[*No. Of Trips]]*Code_221001[[#This Row],[*Expenditure Per Trip]]</f>
        <v>0</v>
      </c>
    </row>
    <row r="10" spans="2:11" ht="26.25" customHeight="1" x14ac:dyDescent="0.25">
      <c r="B10" s="9"/>
      <c r="C10" s="9"/>
      <c r="D10" s="2" t="str">
        <f>_xlfn.IFNA(INDEX(Program!A:A,MATCH(Code_221001[[#This Row],[*Program Code]],Program!B:B,0)),"")</f>
        <v/>
      </c>
      <c r="F10" s="10"/>
      <c r="H10" s="11"/>
      <c r="I10" s="10"/>
      <c r="J10" s="15">
        <f>Code_221001[[#This Row],[*No. Of Trips]]*Code_221001[[#This Row],[*Expenditure Per Trip]]</f>
        <v>0</v>
      </c>
    </row>
    <row r="11" spans="2:11" ht="26.25" customHeight="1" x14ac:dyDescent="0.25">
      <c r="B11" s="9"/>
      <c r="C11" s="9"/>
      <c r="D11" s="3" t="str">
        <f>_xlfn.IFNA(INDEX(Program!A:A,MATCH(Code_221001[[#This Row],[*Program Code]],Program!B:B,0)),"")</f>
        <v/>
      </c>
      <c r="F11" s="10"/>
      <c r="H11" s="11"/>
      <c r="I11" s="10"/>
      <c r="J11" s="15">
        <f>Code_221001[[#This Row],[*No. Of Trips]]*Code_221001[[#This Row],[*Expenditure Per Trip]]</f>
        <v>0</v>
      </c>
    </row>
    <row r="12" spans="2:11" ht="26.25" customHeight="1" x14ac:dyDescent="0.25">
      <c r="B12" s="9"/>
      <c r="C12" s="9"/>
      <c r="D12" s="3" t="str">
        <f>_xlfn.IFNA(INDEX(Program!A:A,MATCH(Code_221001[[#This Row],[*Program Code]],Program!B:B,0)),"")</f>
        <v/>
      </c>
      <c r="F12" s="10"/>
      <c r="H12" s="11"/>
      <c r="I12" s="10"/>
      <c r="J12" s="15">
        <f>Code_221001[[#This Row],[*No. Of Trips]]*Code_221001[[#This Row],[*Expenditure Per Trip]]</f>
        <v>0</v>
      </c>
    </row>
    <row r="13" spans="2:11" ht="26.25" customHeight="1" x14ac:dyDescent="0.25">
      <c r="B13" s="12" t="s">
        <v>5</v>
      </c>
      <c r="C13" s="13"/>
      <c r="D13" s="12"/>
      <c r="E13" s="12"/>
      <c r="F13" s="12"/>
      <c r="G13" s="12"/>
      <c r="H13" s="12"/>
      <c r="I13" s="12"/>
      <c r="J13" s="14">
        <f>SUBTOTAL(109,Code_221001[Total Expenditure])</f>
        <v>0</v>
      </c>
      <c r="K13" s="12"/>
    </row>
    <row r="15" spans="2:11" ht="26.25" customHeight="1" x14ac:dyDescent="0.25">
      <c r="B15" s="4">
        <v>221002</v>
      </c>
      <c r="C15" s="5" t="s">
        <v>4331</v>
      </c>
      <c r="D15" s="6"/>
      <c r="E15" s="6"/>
      <c r="F15" s="16"/>
      <c r="G15" s="16"/>
      <c r="H15" s="16"/>
      <c r="I15" s="16"/>
      <c r="J15" s="16"/>
      <c r="K15" s="16"/>
    </row>
    <row r="16" spans="2:11" ht="43.5" customHeight="1" x14ac:dyDescent="0.25">
      <c r="B16" s="8" t="s">
        <v>1</v>
      </c>
      <c r="C16" s="8" t="s">
        <v>4337</v>
      </c>
      <c r="D16" s="8" t="s">
        <v>2</v>
      </c>
      <c r="E16" s="8" t="s">
        <v>4338</v>
      </c>
      <c r="F16" s="8" t="s">
        <v>4339</v>
      </c>
      <c r="G16" s="8" t="s">
        <v>4340</v>
      </c>
      <c r="H16" s="8" t="s">
        <v>4341</v>
      </c>
      <c r="I16" s="8" t="s">
        <v>4342</v>
      </c>
      <c r="J16" s="8" t="s">
        <v>3</v>
      </c>
      <c r="K16" s="8" t="s">
        <v>4</v>
      </c>
    </row>
    <row r="17" spans="2:11" ht="26.25" customHeight="1" x14ac:dyDescent="0.25">
      <c r="B17" s="9"/>
      <c r="C17" s="9"/>
      <c r="D17" s="2" t="str">
        <f>_xlfn.IFNA(INDEX(Program!A:A,MATCH(Code_221002[[#This Row],[*Program Code]],Program!B:B,0)),"")</f>
        <v/>
      </c>
      <c r="F17" s="10"/>
      <c r="H17" s="11"/>
      <c r="I17" s="10"/>
      <c r="J17" s="15">
        <f>Code_221002[[#This Row],[*No. Of Trips]]*Code_221002[[#This Row],[*Expenditure Per Trip]]</f>
        <v>0</v>
      </c>
    </row>
    <row r="18" spans="2:11" ht="26.25" customHeight="1" x14ac:dyDescent="0.25">
      <c r="B18" s="9"/>
      <c r="C18" s="9"/>
      <c r="D18" s="2" t="str">
        <f>_xlfn.IFNA(INDEX(Program!A:A,MATCH(Code_221002[[#This Row],[*Program Code]],Program!B:B,0)),"")</f>
        <v/>
      </c>
      <c r="F18" s="10"/>
      <c r="H18" s="11"/>
      <c r="I18" s="10"/>
      <c r="J18" s="15">
        <f>Code_221002[[#This Row],[*No. Of Trips]]*Code_221002[[#This Row],[*Expenditure Per Trip]]</f>
        <v>0</v>
      </c>
    </row>
    <row r="19" spans="2:11" ht="26.25" customHeight="1" x14ac:dyDescent="0.25">
      <c r="B19" s="9"/>
      <c r="C19" s="9"/>
      <c r="D19" s="2" t="str">
        <f>_xlfn.IFNA(INDEX(Program!A:A,MATCH(Code_221002[[#This Row],[*Program Code]],Program!B:B,0)),"")</f>
        <v/>
      </c>
      <c r="F19" s="10"/>
      <c r="H19" s="11"/>
      <c r="I19" s="10"/>
      <c r="J19" s="15">
        <f>Code_221002[[#This Row],[*No. Of Trips]]*Code_221002[[#This Row],[*Expenditure Per Trip]]</f>
        <v>0</v>
      </c>
    </row>
    <row r="20" spans="2:11" ht="26.25" customHeight="1" x14ac:dyDescent="0.25">
      <c r="B20" s="9"/>
      <c r="C20" s="9"/>
      <c r="D20" s="2" t="str">
        <f>_xlfn.IFNA(INDEX(Program!A:A,MATCH(Code_221002[[#This Row],[*Program Code]],Program!B:B,0)),"")</f>
        <v/>
      </c>
      <c r="F20" s="10"/>
      <c r="H20" s="11"/>
      <c r="I20" s="10"/>
      <c r="J20" s="15">
        <f>Code_221002[[#This Row],[*No. Of Trips]]*Code_221002[[#This Row],[*Expenditure Per Trip]]</f>
        <v>0</v>
      </c>
    </row>
    <row r="21" spans="2:11" ht="26.25" customHeight="1" x14ac:dyDescent="0.25">
      <c r="B21" s="9"/>
      <c r="C21" s="9"/>
      <c r="D21" s="2" t="str">
        <f>_xlfn.IFNA(INDEX(Program!A:A,MATCH(Code_221002[[#This Row],[*Program Code]],Program!B:B,0)),"")</f>
        <v/>
      </c>
      <c r="F21" s="10"/>
      <c r="H21" s="11"/>
      <c r="I21" s="10"/>
      <c r="J21" s="15">
        <f>Code_221002[[#This Row],[*No. Of Trips]]*Code_221002[[#This Row],[*Expenditure Per Trip]]</f>
        <v>0</v>
      </c>
    </row>
    <row r="22" spans="2:11" ht="26.25" customHeight="1" x14ac:dyDescent="0.25">
      <c r="B22" s="9"/>
      <c r="C22" s="9"/>
      <c r="D22" s="3" t="str">
        <f>_xlfn.IFNA(INDEX(Program!A:A,MATCH(Code_221002[[#This Row],[*Program Code]],Program!B:B,0)),"")</f>
        <v/>
      </c>
      <c r="F22" s="10"/>
      <c r="H22" s="11"/>
      <c r="I22" s="10"/>
      <c r="J22" s="15">
        <f>Code_221002[[#This Row],[*No. Of Trips]]*Code_221002[[#This Row],[*Expenditure Per Trip]]</f>
        <v>0</v>
      </c>
    </row>
    <row r="23" spans="2:11" ht="26.25" customHeight="1" x14ac:dyDescent="0.25">
      <c r="B23" s="9"/>
      <c r="C23" s="9"/>
      <c r="D23" s="3" t="str">
        <f>_xlfn.IFNA(INDEX(Program!A:A,MATCH(Code_221002[[#This Row],[*Program Code]],Program!B:B,0)),"")</f>
        <v/>
      </c>
      <c r="F23" s="10"/>
      <c r="H23" s="11"/>
      <c r="I23" s="10"/>
      <c r="J23" s="15">
        <f>Code_221002[[#This Row],[*No. Of Trips]]*Code_221002[[#This Row],[*Expenditure Per Trip]]</f>
        <v>0</v>
      </c>
    </row>
    <row r="24" spans="2:11" ht="26.25" customHeight="1" x14ac:dyDescent="0.25">
      <c r="B24" s="12" t="s">
        <v>5</v>
      </c>
      <c r="C24" s="13"/>
      <c r="D24" s="12"/>
      <c r="E24" s="12"/>
      <c r="F24" s="12"/>
      <c r="G24" s="12"/>
      <c r="H24" s="12"/>
      <c r="I24" s="12"/>
      <c r="J24" s="14">
        <f>SUBTOTAL(109,Code_221002[Total Expenditure])</f>
        <v>0</v>
      </c>
      <c r="K24" s="12"/>
    </row>
    <row r="26" spans="2:11" ht="26.25" customHeight="1" x14ac:dyDescent="0.25">
      <c r="B26" s="4">
        <v>221003</v>
      </c>
      <c r="C26" s="5" t="s">
        <v>4332</v>
      </c>
      <c r="D26" s="6"/>
      <c r="E26" s="6"/>
      <c r="F26" s="16"/>
      <c r="G26" s="16"/>
      <c r="H26" s="16"/>
      <c r="I26" s="16"/>
      <c r="J26" s="16"/>
      <c r="K26" s="16"/>
    </row>
    <row r="27" spans="2:11" ht="43.5" customHeight="1" x14ac:dyDescent="0.25">
      <c r="B27" s="8" t="s">
        <v>1</v>
      </c>
      <c r="C27" s="8" t="s">
        <v>4337</v>
      </c>
      <c r="D27" s="8" t="s">
        <v>2</v>
      </c>
      <c r="E27" s="8" t="s">
        <v>4338</v>
      </c>
      <c r="F27" s="8" t="s">
        <v>4339</v>
      </c>
      <c r="G27" s="8" t="s">
        <v>4340</v>
      </c>
      <c r="H27" s="8" t="s">
        <v>4341</v>
      </c>
      <c r="I27" s="8" t="s">
        <v>4342</v>
      </c>
      <c r="J27" s="8" t="s">
        <v>3</v>
      </c>
      <c r="K27" s="8" t="s">
        <v>4</v>
      </c>
    </row>
    <row r="28" spans="2:11" ht="26.25" customHeight="1" x14ac:dyDescent="0.25">
      <c r="B28" s="9"/>
      <c r="C28" s="9"/>
      <c r="D28" s="2" t="str">
        <f>_xlfn.IFNA(INDEX(Program!A:A,MATCH(Code_221003[[#This Row],[*Program Code]],Program!B:B,0)),"")</f>
        <v/>
      </c>
      <c r="F28" s="10"/>
      <c r="H28" s="11"/>
      <c r="I28" s="10"/>
      <c r="J28" s="15">
        <f>Code_221003[[#This Row],[*No. Of Trips]]*Code_221003[[#This Row],[*Expenditure Per Trip]]</f>
        <v>0</v>
      </c>
    </row>
    <row r="29" spans="2:11" ht="26.25" customHeight="1" x14ac:dyDescent="0.25">
      <c r="B29" s="9"/>
      <c r="C29" s="9"/>
      <c r="D29" s="2" t="str">
        <f>_xlfn.IFNA(INDEX(Program!A:A,MATCH(Code_221003[[#This Row],[*Program Code]],Program!B:B,0)),"")</f>
        <v/>
      </c>
      <c r="F29" s="10"/>
      <c r="H29" s="11"/>
      <c r="I29" s="10"/>
      <c r="J29" s="15">
        <f>Code_221003[[#This Row],[*No. Of Trips]]*Code_221003[[#This Row],[*Expenditure Per Trip]]</f>
        <v>0</v>
      </c>
    </row>
    <row r="30" spans="2:11" ht="26.25" customHeight="1" x14ac:dyDescent="0.25">
      <c r="B30" s="9"/>
      <c r="C30" s="9"/>
      <c r="D30" s="2" t="str">
        <f>_xlfn.IFNA(INDEX(Program!A:A,MATCH(Code_221003[[#This Row],[*Program Code]],Program!B:B,0)),"")</f>
        <v/>
      </c>
      <c r="F30" s="10"/>
      <c r="H30" s="11"/>
      <c r="I30" s="10"/>
      <c r="J30" s="15">
        <f>Code_221003[[#This Row],[*No. Of Trips]]*Code_221003[[#This Row],[*Expenditure Per Trip]]</f>
        <v>0</v>
      </c>
    </row>
    <row r="31" spans="2:11" ht="26.25" customHeight="1" x14ac:dyDescent="0.25">
      <c r="B31" s="9"/>
      <c r="C31" s="9"/>
      <c r="D31" s="2" t="str">
        <f>_xlfn.IFNA(INDEX(Program!A:A,MATCH(Code_221003[[#This Row],[*Program Code]],Program!B:B,0)),"")</f>
        <v/>
      </c>
      <c r="F31" s="10"/>
      <c r="H31" s="11"/>
      <c r="I31" s="10"/>
      <c r="J31" s="15">
        <f>Code_221003[[#This Row],[*No. Of Trips]]*Code_221003[[#This Row],[*Expenditure Per Trip]]</f>
        <v>0</v>
      </c>
    </row>
    <row r="32" spans="2:11" ht="26.25" customHeight="1" x14ac:dyDescent="0.25">
      <c r="B32" s="9"/>
      <c r="C32" s="9"/>
      <c r="D32" s="2" t="str">
        <f>_xlfn.IFNA(INDEX(Program!A:A,MATCH(Code_221003[[#This Row],[*Program Code]],Program!B:B,0)),"")</f>
        <v/>
      </c>
      <c r="F32" s="10"/>
      <c r="H32" s="11"/>
      <c r="I32" s="10"/>
      <c r="J32" s="15">
        <f>Code_221003[[#This Row],[*No. Of Trips]]*Code_221003[[#This Row],[*Expenditure Per Trip]]</f>
        <v>0</v>
      </c>
    </row>
    <row r="33" spans="2:11" ht="26.25" customHeight="1" x14ac:dyDescent="0.25">
      <c r="B33" s="9"/>
      <c r="C33" s="9"/>
      <c r="D33" s="3" t="str">
        <f>_xlfn.IFNA(INDEX(Program!A:A,MATCH(Code_221003[[#This Row],[*Program Code]],Program!B:B,0)),"")</f>
        <v/>
      </c>
      <c r="F33" s="10"/>
      <c r="H33" s="11"/>
      <c r="I33" s="10"/>
      <c r="J33" s="15">
        <f>Code_221003[[#This Row],[*No. Of Trips]]*Code_221003[[#This Row],[*Expenditure Per Trip]]</f>
        <v>0</v>
      </c>
    </row>
    <row r="34" spans="2:11" ht="26.25" customHeight="1" x14ac:dyDescent="0.25">
      <c r="B34" s="9"/>
      <c r="C34" s="9"/>
      <c r="D34" s="3" t="str">
        <f>_xlfn.IFNA(INDEX(Program!A:A,MATCH(Code_221003[[#This Row],[*Program Code]],Program!B:B,0)),"")</f>
        <v/>
      </c>
      <c r="F34" s="10"/>
      <c r="H34" s="11"/>
      <c r="I34" s="10"/>
      <c r="J34" s="15">
        <f>Code_221003[[#This Row],[*No. Of Trips]]*Code_221003[[#This Row],[*Expenditure Per Trip]]</f>
        <v>0</v>
      </c>
    </row>
    <row r="35" spans="2:11" ht="26.25" customHeight="1" x14ac:dyDescent="0.25">
      <c r="B35" s="12" t="s">
        <v>5</v>
      </c>
      <c r="C35" s="13"/>
      <c r="D35" s="12"/>
      <c r="E35" s="12"/>
      <c r="F35" s="12"/>
      <c r="G35" s="12"/>
      <c r="H35" s="12"/>
      <c r="I35" s="12"/>
      <c r="J35" s="14">
        <f>SUBTOTAL(109,Code_221003[Total Expenditure])</f>
        <v>0</v>
      </c>
      <c r="K35" s="12"/>
    </row>
    <row r="37" spans="2:11" ht="26.25" customHeight="1" x14ac:dyDescent="0.25">
      <c r="B37" s="4">
        <v>221004</v>
      </c>
      <c r="C37" s="5" t="s">
        <v>4333</v>
      </c>
      <c r="D37" s="6"/>
      <c r="E37" s="6"/>
      <c r="F37" s="16"/>
      <c r="G37" s="16"/>
      <c r="H37" s="16"/>
      <c r="I37" s="16"/>
      <c r="J37" s="16"/>
      <c r="K37" s="16"/>
    </row>
    <row r="38" spans="2:11" ht="43.5" customHeight="1" x14ac:dyDescent="0.25">
      <c r="B38" s="8" t="s">
        <v>1</v>
      </c>
      <c r="C38" s="8" t="s">
        <v>4337</v>
      </c>
      <c r="D38" s="8" t="s">
        <v>2</v>
      </c>
      <c r="E38" s="8" t="s">
        <v>4338</v>
      </c>
      <c r="F38" s="8" t="s">
        <v>4339</v>
      </c>
      <c r="G38" s="8" t="s">
        <v>4340</v>
      </c>
      <c r="H38" s="8" t="s">
        <v>4341</v>
      </c>
      <c r="I38" s="8" t="s">
        <v>4342</v>
      </c>
      <c r="J38" s="8" t="s">
        <v>3</v>
      </c>
      <c r="K38" s="8" t="s">
        <v>4</v>
      </c>
    </row>
    <row r="39" spans="2:11" ht="26.25" customHeight="1" x14ac:dyDescent="0.25">
      <c r="B39" s="9"/>
      <c r="C39" s="9"/>
      <c r="D39" s="2" t="str">
        <f>_xlfn.IFNA(INDEX(Program!A:A,MATCH(Table3567[[#This Row],[*Program Code]],Program!B:B,0)),"")</f>
        <v/>
      </c>
      <c r="F39" s="10"/>
      <c r="H39" s="11"/>
      <c r="I39" s="10"/>
      <c r="J39" s="15">
        <f>Table3567[[#This Row],[*No. Of Trips]]*Table3567[[#This Row],[*Expenditure Per Trip]]</f>
        <v>0</v>
      </c>
    </row>
    <row r="40" spans="2:11" ht="26.25" customHeight="1" x14ac:dyDescent="0.25">
      <c r="B40" s="9"/>
      <c r="C40" s="9"/>
      <c r="D40" s="2" t="str">
        <f>_xlfn.IFNA(INDEX(Program!A:A,MATCH(Table3567[[#This Row],[*Program Code]],Program!B:B,0)),"")</f>
        <v/>
      </c>
      <c r="F40" s="10"/>
      <c r="H40" s="11"/>
      <c r="I40" s="10"/>
      <c r="J40" s="15">
        <f>Table3567[[#This Row],[*No. Of Trips]]*Table3567[[#This Row],[*Expenditure Per Trip]]</f>
        <v>0</v>
      </c>
    </row>
    <row r="41" spans="2:11" ht="26.25" customHeight="1" x14ac:dyDescent="0.25">
      <c r="B41" s="9"/>
      <c r="C41" s="9"/>
      <c r="D41" s="2" t="str">
        <f>_xlfn.IFNA(INDEX(Program!A:A,MATCH(Table3567[[#This Row],[*Program Code]],Program!B:B,0)),"")</f>
        <v/>
      </c>
      <c r="F41" s="10"/>
      <c r="H41" s="11"/>
      <c r="I41" s="10"/>
      <c r="J41" s="15">
        <f>Table3567[[#This Row],[*No. Of Trips]]*Table3567[[#This Row],[*Expenditure Per Trip]]</f>
        <v>0</v>
      </c>
    </row>
    <row r="42" spans="2:11" ht="26.25" customHeight="1" x14ac:dyDescent="0.25">
      <c r="B42" s="9"/>
      <c r="C42" s="9"/>
      <c r="D42" s="2" t="str">
        <f>_xlfn.IFNA(INDEX(Program!A:A,MATCH(Table3567[[#This Row],[*Program Code]],Program!B:B,0)),"")</f>
        <v/>
      </c>
      <c r="F42" s="10"/>
      <c r="H42" s="11"/>
      <c r="I42" s="10"/>
      <c r="J42" s="15">
        <f>Table3567[[#This Row],[*No. Of Trips]]*Table3567[[#This Row],[*Expenditure Per Trip]]</f>
        <v>0</v>
      </c>
    </row>
    <row r="43" spans="2:11" ht="26.25" customHeight="1" x14ac:dyDescent="0.25">
      <c r="B43" s="9"/>
      <c r="C43" s="9"/>
      <c r="D43" s="2" t="str">
        <f>_xlfn.IFNA(INDEX(Program!A:A,MATCH(Table3567[[#This Row],[*Program Code]],Program!B:B,0)),"")</f>
        <v/>
      </c>
      <c r="F43" s="10"/>
      <c r="H43" s="11"/>
      <c r="I43" s="10"/>
      <c r="J43" s="15">
        <f>Table3567[[#This Row],[*No. Of Trips]]*Table3567[[#This Row],[*Expenditure Per Trip]]</f>
        <v>0</v>
      </c>
    </row>
    <row r="44" spans="2:11" ht="26.25" customHeight="1" x14ac:dyDescent="0.25">
      <c r="B44" s="9"/>
      <c r="C44" s="9"/>
      <c r="D44" s="3" t="str">
        <f>_xlfn.IFNA(INDEX(Program!A:A,MATCH(Table3567[[#This Row],[*Program Code]],Program!B:B,0)),"")</f>
        <v/>
      </c>
      <c r="F44" s="10"/>
      <c r="H44" s="11"/>
      <c r="I44" s="10"/>
      <c r="J44" s="15">
        <f>Table3567[[#This Row],[*No. Of Trips]]*Table3567[[#This Row],[*Expenditure Per Trip]]</f>
        <v>0</v>
      </c>
    </row>
    <row r="45" spans="2:11" ht="26.25" customHeight="1" x14ac:dyDescent="0.25">
      <c r="B45" s="9"/>
      <c r="C45" s="9"/>
      <c r="D45" s="3" t="str">
        <f>_xlfn.IFNA(INDEX(Program!A:A,MATCH(Table3567[[#This Row],[*Program Code]],Program!B:B,0)),"")</f>
        <v/>
      </c>
      <c r="F45" s="10"/>
      <c r="H45" s="11"/>
      <c r="I45" s="10"/>
      <c r="J45" s="15">
        <f>Table3567[[#This Row],[*No. Of Trips]]*Table3567[[#This Row],[*Expenditure Per Trip]]</f>
        <v>0</v>
      </c>
    </row>
    <row r="46" spans="2:11" ht="26.25" customHeight="1" x14ac:dyDescent="0.25">
      <c r="B46" s="12" t="s">
        <v>5</v>
      </c>
      <c r="C46" s="13"/>
      <c r="D46" s="12"/>
      <c r="E46" s="12"/>
      <c r="F46" s="12"/>
      <c r="G46" s="12"/>
      <c r="H46" s="12"/>
      <c r="I46" s="12"/>
      <c r="J46" s="14">
        <f>SUBTOTAL(109,Table3567[Total Expenditure])</f>
        <v>0</v>
      </c>
      <c r="K46" s="12"/>
    </row>
    <row r="48" spans="2:11" ht="26.25" customHeight="1" x14ac:dyDescent="0.25">
      <c r="B48" s="4">
        <v>221005</v>
      </c>
      <c r="C48" s="5" t="s">
        <v>4334</v>
      </c>
      <c r="D48" s="6"/>
      <c r="E48" s="6"/>
      <c r="F48" s="16"/>
      <c r="G48" s="16"/>
      <c r="H48" s="16"/>
      <c r="I48" s="16"/>
      <c r="J48" s="16"/>
      <c r="K48" s="16"/>
    </row>
    <row r="49" spans="2:11" ht="43.5" customHeight="1" x14ac:dyDescent="0.25">
      <c r="B49" s="8" t="s">
        <v>1</v>
      </c>
      <c r="C49" s="8" t="s">
        <v>4337</v>
      </c>
      <c r="D49" s="8" t="s">
        <v>2</v>
      </c>
      <c r="E49" s="8" t="s">
        <v>4338</v>
      </c>
      <c r="F49" s="8" t="s">
        <v>4339</v>
      </c>
      <c r="G49" s="8" t="s">
        <v>4340</v>
      </c>
      <c r="H49" s="8" t="s">
        <v>4341</v>
      </c>
      <c r="I49" s="8" t="s">
        <v>4342</v>
      </c>
      <c r="J49" s="8" t="s">
        <v>3</v>
      </c>
      <c r="K49" s="8" t="s">
        <v>4</v>
      </c>
    </row>
    <row r="50" spans="2:11" ht="26.25" customHeight="1" x14ac:dyDescent="0.25">
      <c r="B50" s="9"/>
      <c r="C50" s="9"/>
      <c r="D50" s="2" t="str">
        <f>_xlfn.IFNA(INDEX(Program!A:A,MATCH(Table35678[[#This Row],[*Program Code]],Program!B:B,0)),"")</f>
        <v/>
      </c>
      <c r="F50" s="10"/>
      <c r="H50" s="11"/>
      <c r="I50" s="10"/>
      <c r="J50" s="15">
        <f>Table35678[[#This Row],[*No. Of Trips]]*Table35678[[#This Row],[*Expenditure Per Trip]]</f>
        <v>0</v>
      </c>
    </row>
    <row r="51" spans="2:11" ht="26.25" customHeight="1" x14ac:dyDescent="0.25">
      <c r="B51" s="9"/>
      <c r="C51" s="9"/>
      <c r="D51" s="2" t="str">
        <f>_xlfn.IFNA(INDEX(Program!A:A,MATCH(Table35678[[#This Row],[*Program Code]],Program!B:B,0)),"")</f>
        <v/>
      </c>
      <c r="F51" s="10"/>
      <c r="H51" s="11"/>
      <c r="I51" s="10"/>
      <c r="J51" s="15">
        <f>Table35678[[#This Row],[*No. Of Trips]]*Table35678[[#This Row],[*Expenditure Per Trip]]</f>
        <v>0</v>
      </c>
    </row>
    <row r="52" spans="2:11" ht="26.25" customHeight="1" x14ac:dyDescent="0.25">
      <c r="B52" s="9"/>
      <c r="C52" s="9"/>
      <c r="D52" s="2" t="str">
        <f>_xlfn.IFNA(INDEX(Program!A:A,MATCH(Table35678[[#This Row],[*Program Code]],Program!B:B,0)),"")</f>
        <v/>
      </c>
      <c r="F52" s="10"/>
      <c r="H52" s="11"/>
      <c r="I52" s="10"/>
      <c r="J52" s="15">
        <f>Table35678[[#This Row],[*No. Of Trips]]*Table35678[[#This Row],[*Expenditure Per Trip]]</f>
        <v>0</v>
      </c>
    </row>
    <row r="53" spans="2:11" ht="26.25" customHeight="1" x14ac:dyDescent="0.25">
      <c r="B53" s="9"/>
      <c r="C53" s="9"/>
      <c r="D53" s="2" t="str">
        <f>_xlfn.IFNA(INDEX(Program!A:A,MATCH(Table35678[[#This Row],[*Program Code]],Program!B:B,0)),"")</f>
        <v/>
      </c>
      <c r="F53" s="10"/>
      <c r="H53" s="11"/>
      <c r="I53" s="10"/>
      <c r="J53" s="15">
        <f>Table35678[[#This Row],[*No. Of Trips]]*Table35678[[#This Row],[*Expenditure Per Trip]]</f>
        <v>0</v>
      </c>
    </row>
    <row r="54" spans="2:11" ht="26.25" customHeight="1" x14ac:dyDescent="0.25">
      <c r="B54" s="9"/>
      <c r="C54" s="9"/>
      <c r="D54" s="2" t="str">
        <f>_xlfn.IFNA(INDEX(Program!A:A,MATCH(Table35678[[#This Row],[*Program Code]],Program!B:B,0)),"")</f>
        <v/>
      </c>
      <c r="F54" s="10"/>
      <c r="H54" s="11"/>
      <c r="I54" s="10"/>
      <c r="J54" s="15">
        <f>Table35678[[#This Row],[*No. Of Trips]]*Table35678[[#This Row],[*Expenditure Per Trip]]</f>
        <v>0</v>
      </c>
    </row>
    <row r="55" spans="2:11" ht="26.25" customHeight="1" x14ac:dyDescent="0.25">
      <c r="B55" s="9"/>
      <c r="C55" s="9"/>
      <c r="D55" s="3" t="str">
        <f>_xlfn.IFNA(INDEX(Program!A:A,MATCH(Table35678[[#This Row],[*Program Code]],Program!B:B,0)),"")</f>
        <v/>
      </c>
      <c r="F55" s="10"/>
      <c r="H55" s="11"/>
      <c r="I55" s="10"/>
      <c r="J55" s="15">
        <f>Table35678[[#This Row],[*No. Of Trips]]*Table35678[[#This Row],[*Expenditure Per Trip]]</f>
        <v>0</v>
      </c>
    </row>
    <row r="56" spans="2:11" ht="26.25" customHeight="1" x14ac:dyDescent="0.25">
      <c r="B56" s="9"/>
      <c r="C56" s="9"/>
      <c r="D56" s="3" t="str">
        <f>_xlfn.IFNA(INDEX(Program!A:A,MATCH(Table35678[[#This Row],[*Program Code]],Program!B:B,0)),"")</f>
        <v/>
      </c>
      <c r="F56" s="10"/>
      <c r="H56" s="11"/>
      <c r="I56" s="10"/>
      <c r="J56" s="15">
        <f>Table35678[[#This Row],[*No. Of Trips]]*Table35678[[#This Row],[*Expenditure Per Trip]]</f>
        <v>0</v>
      </c>
    </row>
    <row r="57" spans="2:11" ht="26.25" customHeight="1" x14ac:dyDescent="0.25">
      <c r="B57" s="12" t="s">
        <v>5</v>
      </c>
      <c r="C57" s="13"/>
      <c r="D57" s="12"/>
      <c r="E57" s="12"/>
      <c r="F57" s="12"/>
      <c r="G57" s="12"/>
      <c r="H57" s="12"/>
      <c r="I57" s="12"/>
      <c r="J57" s="14">
        <f>SUBTOTAL(109,Table35678[Total Expenditure])</f>
        <v>0</v>
      </c>
      <c r="K57" s="12"/>
    </row>
    <row r="59" spans="2:11" ht="26.25" customHeight="1" x14ac:dyDescent="0.25">
      <c r="B59" s="4">
        <v>221999</v>
      </c>
      <c r="C59" s="5" t="s">
        <v>4335</v>
      </c>
      <c r="D59" s="6"/>
      <c r="E59" s="6"/>
      <c r="F59" s="16"/>
      <c r="G59" s="16"/>
      <c r="H59" s="16"/>
      <c r="I59" s="16"/>
      <c r="J59" s="16"/>
      <c r="K59" s="16"/>
    </row>
    <row r="60" spans="2:11" ht="43.5" customHeight="1" x14ac:dyDescent="0.25">
      <c r="B60" s="8" t="s">
        <v>1</v>
      </c>
      <c r="C60" s="8" t="s">
        <v>4337</v>
      </c>
      <c r="D60" s="8" t="s">
        <v>2</v>
      </c>
      <c r="E60" s="8" t="s">
        <v>4338</v>
      </c>
      <c r="F60" s="8" t="s">
        <v>4339</v>
      </c>
      <c r="G60" s="8" t="s">
        <v>4340</v>
      </c>
      <c r="H60" s="8" t="s">
        <v>4341</v>
      </c>
      <c r="I60" s="8" t="s">
        <v>4342</v>
      </c>
      <c r="J60" s="8" t="s">
        <v>3</v>
      </c>
      <c r="K60" s="8" t="s">
        <v>4</v>
      </c>
    </row>
    <row r="61" spans="2:11" ht="26.25" customHeight="1" x14ac:dyDescent="0.25">
      <c r="B61" s="9"/>
      <c r="C61" s="9"/>
      <c r="D61" s="2" t="str">
        <f>_xlfn.IFNA(INDEX(Program!A:A,MATCH(Table356789[[#This Row],[*Program Code]],Program!B:B,0)),"")</f>
        <v/>
      </c>
      <c r="F61" s="10"/>
      <c r="H61" s="11"/>
      <c r="I61" s="10"/>
      <c r="J61" s="15">
        <f>Table356789[[#This Row],[*No. Of Trips]]*Table356789[[#This Row],[*Expenditure Per Trip]]</f>
        <v>0</v>
      </c>
    </row>
    <row r="62" spans="2:11" ht="26.25" customHeight="1" x14ac:dyDescent="0.25">
      <c r="B62" s="9"/>
      <c r="C62" s="9"/>
      <c r="D62" s="2" t="str">
        <f>_xlfn.IFNA(INDEX(Program!A:A,MATCH(Table356789[[#This Row],[*Program Code]],Program!B:B,0)),"")</f>
        <v/>
      </c>
      <c r="F62" s="10"/>
      <c r="H62" s="11"/>
      <c r="I62" s="10"/>
      <c r="J62" s="15">
        <f>Table356789[[#This Row],[*No. Of Trips]]*Table356789[[#This Row],[*Expenditure Per Trip]]</f>
        <v>0</v>
      </c>
    </row>
    <row r="63" spans="2:11" ht="26.25" customHeight="1" x14ac:dyDescent="0.25">
      <c r="B63" s="9"/>
      <c r="C63" s="9"/>
      <c r="D63" s="2" t="str">
        <f>_xlfn.IFNA(INDEX(Program!A:A,MATCH(Table356789[[#This Row],[*Program Code]],Program!B:B,0)),"")</f>
        <v/>
      </c>
      <c r="F63" s="10"/>
      <c r="H63" s="11"/>
      <c r="I63" s="10"/>
      <c r="J63" s="15">
        <f>Table356789[[#This Row],[*No. Of Trips]]*Table356789[[#This Row],[*Expenditure Per Trip]]</f>
        <v>0</v>
      </c>
    </row>
    <row r="64" spans="2:11" ht="26.25" customHeight="1" x14ac:dyDescent="0.25">
      <c r="B64" s="9"/>
      <c r="C64" s="9"/>
      <c r="D64" s="2" t="str">
        <f>_xlfn.IFNA(INDEX(Program!A:A,MATCH(Table356789[[#This Row],[*Program Code]],Program!B:B,0)),"")</f>
        <v/>
      </c>
      <c r="F64" s="10"/>
      <c r="H64" s="11"/>
      <c r="I64" s="10"/>
      <c r="J64" s="15">
        <f>Table356789[[#This Row],[*No. Of Trips]]*Table356789[[#This Row],[*Expenditure Per Trip]]</f>
        <v>0</v>
      </c>
    </row>
    <row r="65" spans="2:11" ht="26.25" customHeight="1" x14ac:dyDescent="0.25">
      <c r="B65" s="9"/>
      <c r="C65" s="9"/>
      <c r="D65" s="2" t="str">
        <f>_xlfn.IFNA(INDEX(Program!A:A,MATCH(Table356789[[#This Row],[*Program Code]],Program!B:B,0)),"")</f>
        <v/>
      </c>
      <c r="F65" s="10"/>
      <c r="H65" s="11"/>
      <c r="I65" s="10"/>
      <c r="J65" s="15">
        <f>Table356789[[#This Row],[*No. Of Trips]]*Table356789[[#This Row],[*Expenditure Per Trip]]</f>
        <v>0</v>
      </c>
    </row>
    <row r="66" spans="2:11" ht="26.25" customHeight="1" x14ac:dyDescent="0.25">
      <c r="B66" s="9"/>
      <c r="C66" s="9"/>
      <c r="D66" s="3" t="str">
        <f>_xlfn.IFNA(INDEX(Program!A:A,MATCH(Table356789[[#This Row],[*Program Code]],Program!B:B,0)),"")</f>
        <v/>
      </c>
      <c r="F66" s="10"/>
      <c r="H66" s="11"/>
      <c r="I66" s="10"/>
      <c r="J66" s="15">
        <f>Table356789[[#This Row],[*No. Of Trips]]*Table356789[[#This Row],[*Expenditure Per Trip]]</f>
        <v>0</v>
      </c>
    </row>
    <row r="67" spans="2:11" ht="26.25" customHeight="1" x14ac:dyDescent="0.25">
      <c r="B67" s="9"/>
      <c r="C67" s="9"/>
      <c r="D67" s="3" t="str">
        <f>_xlfn.IFNA(INDEX(Program!A:A,MATCH(Table356789[[#This Row],[*Program Code]],Program!B:B,0)),"")</f>
        <v/>
      </c>
      <c r="F67" s="10"/>
      <c r="H67" s="11"/>
      <c r="I67" s="10"/>
      <c r="J67" s="15">
        <f>Table356789[[#This Row],[*No. Of Trips]]*Table356789[[#This Row],[*Expenditure Per Trip]]</f>
        <v>0</v>
      </c>
    </row>
    <row r="68" spans="2:11" ht="26.25" customHeight="1" x14ac:dyDescent="0.25">
      <c r="B68" s="12" t="s">
        <v>5</v>
      </c>
      <c r="C68" s="13"/>
      <c r="D68" s="12"/>
      <c r="E68" s="12"/>
      <c r="F68" s="12"/>
      <c r="G68" s="12"/>
      <c r="H68" s="12"/>
      <c r="I68" s="12"/>
      <c r="J68" s="14">
        <f>SUBTOTAL(109,Table356789[Total Expenditure])</f>
        <v>0</v>
      </c>
      <c r="K68" s="12"/>
    </row>
  </sheetData>
  <sheetProtection formatColumns="0" insertRows="0" deleteRows="0"/>
  <pageMargins left="0.7" right="0.7" top="0.75" bottom="0.75" header="0.3" footer="0.3"/>
  <customProperties>
    <customPr name="_pios_id" r:id="rId1"/>
  </customProperties>
  <tableParts count="6">
    <tablePart r:id="rId2"/>
    <tablePart r:id="rId3"/>
    <tablePart r:id="rId4"/>
    <tablePart r:id="rId5"/>
    <tablePart r:id="rId6"/>
    <tablePart r:id="rId7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2:K134"/>
  <sheetViews>
    <sheetView zoomScale="85" zoomScaleNormal="85" workbookViewId="0">
      <selection activeCell="E1" sqref="E1:E1048576"/>
    </sheetView>
  </sheetViews>
  <sheetFormatPr defaultRowHeight="26.25" customHeight="1" x14ac:dyDescent="0.25"/>
  <cols>
    <col min="1" max="2" width="9.140625" style="7"/>
    <col min="3" max="3" width="22" style="7" customWidth="1"/>
    <col min="4" max="4" width="33.42578125" style="7" customWidth="1"/>
    <col min="5" max="5" width="37.140625" style="7" customWidth="1"/>
    <col min="6" max="6" width="13.42578125" style="7" customWidth="1"/>
    <col min="7" max="7" width="20.42578125" style="7" customWidth="1"/>
    <col min="8" max="8" width="14.5703125" style="7" customWidth="1"/>
    <col min="9" max="9" width="13.7109375" style="7" customWidth="1"/>
    <col min="10" max="10" width="18.85546875" style="7" customWidth="1"/>
    <col min="11" max="11" width="50.140625" style="7" customWidth="1"/>
    <col min="12" max="16384" width="9.140625" style="7"/>
  </cols>
  <sheetData>
    <row r="2" spans="2:11" ht="26.25" customHeight="1" x14ac:dyDescent="0.25">
      <c r="B2" s="18" t="s">
        <v>4440</v>
      </c>
    </row>
    <row r="4" spans="2:11" ht="26.25" customHeight="1" x14ac:dyDescent="0.25">
      <c r="B4" s="4">
        <v>222001</v>
      </c>
      <c r="C4" s="5" t="s">
        <v>4336</v>
      </c>
      <c r="D4" s="6"/>
      <c r="E4" s="6"/>
      <c r="F4" s="16"/>
      <c r="G4" s="16"/>
      <c r="H4" s="16"/>
      <c r="I4" s="16"/>
      <c r="J4" s="16"/>
      <c r="K4" s="16"/>
    </row>
    <row r="5" spans="2:11" ht="43.5" customHeight="1" x14ac:dyDescent="0.25">
      <c r="B5" s="8" t="s">
        <v>1</v>
      </c>
      <c r="C5" s="8" t="s">
        <v>4337</v>
      </c>
      <c r="D5" s="8" t="s">
        <v>2</v>
      </c>
      <c r="E5" s="8" t="s">
        <v>4343</v>
      </c>
      <c r="F5" s="8" t="s">
        <v>4436</v>
      </c>
      <c r="G5" s="8" t="s">
        <v>4344</v>
      </c>
      <c r="H5" s="8" t="s">
        <v>4451</v>
      </c>
      <c r="I5" s="8" t="s">
        <v>4346</v>
      </c>
      <c r="J5" s="8" t="s">
        <v>3</v>
      </c>
      <c r="K5" s="8" t="s">
        <v>4</v>
      </c>
    </row>
    <row r="6" spans="2:11" ht="26.25" customHeight="1" x14ac:dyDescent="0.25">
      <c r="B6" s="9"/>
      <c r="C6" s="9"/>
      <c r="D6" s="2" t="str">
        <f>_xlfn.IFNA(INDEX(Program!A:A,MATCH(Table310[[#This Row],[*Program Code]],Program!B:B,0)),"")</f>
        <v/>
      </c>
      <c r="F6" s="10"/>
      <c r="G6" s="9"/>
      <c r="H6" s="11"/>
      <c r="I6" s="17"/>
      <c r="J6" s="15">
        <f>Table310[[#This Row],[*Unit Price]]*Table310[[#This Row],[*Quantity]]</f>
        <v>0</v>
      </c>
    </row>
    <row r="7" spans="2:11" ht="26.25" customHeight="1" x14ac:dyDescent="0.25">
      <c r="B7" s="9"/>
      <c r="C7" s="9"/>
      <c r="D7" s="2" t="str">
        <f>_xlfn.IFNA(INDEX(Program!A:A,MATCH(Table310[[#This Row],[*Program Code]],Program!B:B,0)),"")</f>
        <v/>
      </c>
      <c r="F7" s="10"/>
      <c r="G7" s="9"/>
      <c r="H7" s="11"/>
      <c r="I7" s="17"/>
      <c r="J7" s="15">
        <f>Table310[[#This Row],[*Unit Price]]*Table310[[#This Row],[*Quantity]]</f>
        <v>0</v>
      </c>
    </row>
    <row r="8" spans="2:11" ht="26.25" customHeight="1" x14ac:dyDescent="0.25">
      <c r="B8" s="9"/>
      <c r="C8" s="9"/>
      <c r="D8" s="2" t="str">
        <f>_xlfn.IFNA(INDEX(Program!A:A,MATCH(Table310[[#This Row],[*Program Code]],Program!B:B,0)),"")</f>
        <v/>
      </c>
      <c r="F8" s="10"/>
      <c r="G8" s="9"/>
      <c r="H8" s="11"/>
      <c r="I8" s="17"/>
      <c r="J8" s="15">
        <f>Table310[[#This Row],[*Unit Price]]*Table310[[#This Row],[*Quantity]]</f>
        <v>0</v>
      </c>
    </row>
    <row r="9" spans="2:11" ht="26.25" customHeight="1" x14ac:dyDescent="0.25">
      <c r="B9" s="9"/>
      <c r="C9" s="9"/>
      <c r="D9" s="2" t="str">
        <f>_xlfn.IFNA(INDEX(Program!A:A,MATCH(Table310[[#This Row],[*Program Code]],Program!B:B,0)),"")</f>
        <v/>
      </c>
      <c r="F9" s="10"/>
      <c r="G9" s="9"/>
      <c r="H9" s="11"/>
      <c r="I9" s="17"/>
      <c r="J9" s="15">
        <f>Table310[[#This Row],[*Unit Price]]*Table310[[#This Row],[*Quantity]]</f>
        <v>0</v>
      </c>
    </row>
    <row r="10" spans="2:11" ht="26.25" customHeight="1" x14ac:dyDescent="0.25">
      <c r="B10" s="9"/>
      <c r="C10" s="9"/>
      <c r="D10" s="2" t="str">
        <f>_xlfn.IFNA(INDEX(Program!A:A,MATCH(Table310[[#This Row],[*Program Code]],Program!B:B,0)),"")</f>
        <v/>
      </c>
      <c r="F10" s="10"/>
      <c r="G10" s="9"/>
      <c r="H10" s="11"/>
      <c r="I10" s="17"/>
      <c r="J10" s="15">
        <f>Table310[[#This Row],[*Unit Price]]*Table310[[#This Row],[*Quantity]]</f>
        <v>0</v>
      </c>
    </row>
    <row r="11" spans="2:11" ht="26.25" customHeight="1" x14ac:dyDescent="0.25">
      <c r="B11" s="9"/>
      <c r="C11" s="9"/>
      <c r="D11" s="3" t="str">
        <f>_xlfn.IFNA(INDEX(Program!A:A,MATCH(Table310[[#This Row],[*Program Code]],Program!B:B,0)),"")</f>
        <v/>
      </c>
      <c r="F11" s="10"/>
      <c r="G11" s="9"/>
      <c r="H11" s="11"/>
      <c r="I11" s="17"/>
      <c r="J11" s="15">
        <f>Table310[[#This Row],[*Unit Price]]*Table310[[#This Row],[*Quantity]]</f>
        <v>0</v>
      </c>
    </row>
    <row r="12" spans="2:11" ht="26.25" customHeight="1" x14ac:dyDescent="0.25">
      <c r="B12" s="9"/>
      <c r="C12" s="9"/>
      <c r="D12" s="3" t="str">
        <f>_xlfn.IFNA(INDEX(Program!A:A,MATCH(Table310[[#This Row],[*Program Code]],Program!B:B,0)),"")</f>
        <v/>
      </c>
      <c r="F12" s="10"/>
      <c r="G12" s="9"/>
      <c r="H12" s="11"/>
      <c r="I12" s="17"/>
      <c r="J12" s="15">
        <f>Table310[[#This Row],[*Unit Price]]*Table310[[#This Row],[*Quantity]]</f>
        <v>0</v>
      </c>
    </row>
    <row r="13" spans="2:11" ht="26.25" customHeight="1" x14ac:dyDescent="0.25">
      <c r="B13" s="12" t="s">
        <v>5</v>
      </c>
      <c r="C13" s="13"/>
      <c r="D13" s="12"/>
      <c r="E13" s="12"/>
      <c r="F13" s="12"/>
      <c r="G13" s="12"/>
      <c r="H13" s="12"/>
      <c r="I13" s="12"/>
      <c r="J13" s="14">
        <f>SUBTOTAL(109,Table310[Total Expenditure])</f>
        <v>0</v>
      </c>
      <c r="K13" s="12"/>
    </row>
    <row r="15" spans="2:11" ht="26.25" customHeight="1" x14ac:dyDescent="0.25">
      <c r="B15" s="4">
        <v>222002</v>
      </c>
      <c r="C15" s="5" t="s">
        <v>4347</v>
      </c>
      <c r="D15" s="6"/>
      <c r="E15" s="6"/>
      <c r="F15" s="16"/>
      <c r="G15" s="16"/>
      <c r="H15" s="16"/>
      <c r="I15" s="16"/>
      <c r="J15" s="16"/>
      <c r="K15" s="16"/>
    </row>
    <row r="16" spans="2:11" ht="43.5" customHeight="1" x14ac:dyDescent="0.25">
      <c r="B16" s="8" t="s">
        <v>1</v>
      </c>
      <c r="C16" s="8" t="s">
        <v>4337</v>
      </c>
      <c r="D16" s="8" t="s">
        <v>2</v>
      </c>
      <c r="E16" s="8" t="s">
        <v>4343</v>
      </c>
      <c r="F16" s="8" t="s">
        <v>4436</v>
      </c>
      <c r="G16" s="8" t="s">
        <v>4344</v>
      </c>
      <c r="H16" s="8" t="s">
        <v>4451</v>
      </c>
      <c r="I16" s="8" t="s">
        <v>4346</v>
      </c>
      <c r="J16" s="8" t="s">
        <v>3</v>
      </c>
      <c r="K16" s="8" t="s">
        <v>4</v>
      </c>
    </row>
    <row r="17" spans="2:11" ht="26.25" customHeight="1" x14ac:dyDescent="0.25">
      <c r="B17" s="9"/>
      <c r="C17" s="9"/>
      <c r="D17" s="2" t="str">
        <f>_xlfn.IFNA(INDEX(Program!A:A,MATCH(Table31017[[#This Row],[*Program Code]],Program!B:B,0)),"")</f>
        <v/>
      </c>
      <c r="F17" s="10"/>
      <c r="G17" s="9"/>
      <c r="H17" s="11"/>
      <c r="I17" s="17"/>
      <c r="J17" s="15">
        <f>Table31017[[#This Row],[*Unit Price]]*Table31017[[#This Row],[*Quantity]]</f>
        <v>0</v>
      </c>
    </row>
    <row r="18" spans="2:11" ht="26.25" customHeight="1" x14ac:dyDescent="0.25">
      <c r="B18" s="9"/>
      <c r="C18" s="9"/>
      <c r="D18" s="2" t="str">
        <f>_xlfn.IFNA(INDEX(Program!A:A,MATCH(Table31017[[#This Row],[*Program Code]],Program!B:B,0)),"")</f>
        <v/>
      </c>
      <c r="F18" s="10"/>
      <c r="G18" s="9"/>
      <c r="H18" s="11"/>
      <c r="I18" s="17"/>
      <c r="J18" s="15">
        <f>Table31017[[#This Row],[*Unit Price]]*Table31017[[#This Row],[*Quantity]]</f>
        <v>0</v>
      </c>
    </row>
    <row r="19" spans="2:11" ht="26.25" customHeight="1" x14ac:dyDescent="0.25">
      <c r="B19" s="9"/>
      <c r="C19" s="9"/>
      <c r="D19" s="2" t="str">
        <f>_xlfn.IFNA(INDEX(Program!A:A,MATCH(Table31017[[#This Row],[*Program Code]],Program!B:B,0)),"")</f>
        <v/>
      </c>
      <c r="F19" s="10"/>
      <c r="G19" s="9"/>
      <c r="H19" s="11"/>
      <c r="I19" s="17"/>
      <c r="J19" s="15">
        <f>Table31017[[#This Row],[*Unit Price]]*Table31017[[#This Row],[*Quantity]]</f>
        <v>0</v>
      </c>
    </row>
    <row r="20" spans="2:11" ht="26.25" customHeight="1" x14ac:dyDescent="0.25">
      <c r="B20" s="9"/>
      <c r="C20" s="9"/>
      <c r="D20" s="2" t="str">
        <f>_xlfn.IFNA(INDEX(Program!A:A,MATCH(Table31017[[#This Row],[*Program Code]],Program!B:B,0)),"")</f>
        <v/>
      </c>
      <c r="F20" s="10"/>
      <c r="G20" s="9"/>
      <c r="H20" s="11"/>
      <c r="I20" s="17"/>
      <c r="J20" s="15">
        <f>Table31017[[#This Row],[*Unit Price]]*Table31017[[#This Row],[*Quantity]]</f>
        <v>0</v>
      </c>
    </row>
    <row r="21" spans="2:11" ht="26.25" customHeight="1" x14ac:dyDescent="0.25">
      <c r="B21" s="9"/>
      <c r="C21" s="9"/>
      <c r="D21" s="2" t="str">
        <f>_xlfn.IFNA(INDEX(Program!A:A,MATCH(Table31017[[#This Row],[*Program Code]],Program!B:B,0)),"")</f>
        <v/>
      </c>
      <c r="F21" s="10"/>
      <c r="G21" s="9"/>
      <c r="H21" s="11"/>
      <c r="I21" s="17"/>
      <c r="J21" s="15">
        <f>Table31017[[#This Row],[*Unit Price]]*Table31017[[#This Row],[*Quantity]]</f>
        <v>0</v>
      </c>
    </row>
    <row r="22" spans="2:11" ht="26.25" customHeight="1" x14ac:dyDescent="0.25">
      <c r="B22" s="9"/>
      <c r="C22" s="9"/>
      <c r="D22" s="3" t="str">
        <f>_xlfn.IFNA(INDEX(Program!A:A,MATCH(Table31017[[#This Row],[*Program Code]],Program!B:B,0)),"")</f>
        <v/>
      </c>
      <c r="F22" s="10"/>
      <c r="G22" s="9"/>
      <c r="H22" s="11"/>
      <c r="I22" s="17"/>
      <c r="J22" s="15">
        <f>Table31017[[#This Row],[*Unit Price]]*Table31017[[#This Row],[*Quantity]]</f>
        <v>0</v>
      </c>
    </row>
    <row r="23" spans="2:11" ht="26.25" customHeight="1" x14ac:dyDescent="0.25">
      <c r="B23" s="9"/>
      <c r="C23" s="9"/>
      <c r="D23" s="3" t="str">
        <f>_xlfn.IFNA(INDEX(Program!A:A,MATCH(Table31017[[#This Row],[*Program Code]],Program!B:B,0)),"")</f>
        <v/>
      </c>
      <c r="F23" s="10"/>
      <c r="G23" s="9"/>
      <c r="H23" s="11"/>
      <c r="I23" s="17"/>
      <c r="J23" s="15">
        <f>Table31017[[#This Row],[*Unit Price]]*Table31017[[#This Row],[*Quantity]]</f>
        <v>0</v>
      </c>
    </row>
    <row r="24" spans="2:11" ht="26.25" customHeight="1" x14ac:dyDescent="0.25">
      <c r="B24" s="12" t="s">
        <v>5</v>
      </c>
      <c r="C24" s="13"/>
      <c r="D24" s="12"/>
      <c r="E24" s="12"/>
      <c r="F24" s="12"/>
      <c r="G24" s="12"/>
      <c r="H24" s="12"/>
      <c r="I24" s="12"/>
      <c r="J24" s="14">
        <f>SUBTOTAL(109,Table31017[Total Expenditure])</f>
        <v>0</v>
      </c>
      <c r="K24" s="12"/>
    </row>
    <row r="26" spans="2:11" ht="26.25" customHeight="1" x14ac:dyDescent="0.25">
      <c r="B26" s="4">
        <v>222003</v>
      </c>
      <c r="C26" s="5" t="s">
        <v>4348</v>
      </c>
      <c r="D26" s="6"/>
      <c r="E26" s="6"/>
      <c r="F26" s="16"/>
      <c r="G26" s="16"/>
      <c r="H26" s="16"/>
      <c r="I26" s="16"/>
      <c r="J26" s="16"/>
      <c r="K26" s="16"/>
    </row>
    <row r="27" spans="2:11" ht="43.5" customHeight="1" x14ac:dyDescent="0.25">
      <c r="B27" s="8" t="s">
        <v>1</v>
      </c>
      <c r="C27" s="8" t="s">
        <v>4337</v>
      </c>
      <c r="D27" s="8" t="s">
        <v>2</v>
      </c>
      <c r="E27" s="8" t="s">
        <v>4343</v>
      </c>
      <c r="F27" s="8" t="s">
        <v>4349</v>
      </c>
      <c r="G27" s="8" t="s">
        <v>4344</v>
      </c>
      <c r="H27" s="8" t="s">
        <v>4451</v>
      </c>
      <c r="I27" s="8" t="s">
        <v>4346</v>
      </c>
      <c r="J27" s="8" t="s">
        <v>3</v>
      </c>
      <c r="K27" s="8" t="s">
        <v>4</v>
      </c>
    </row>
    <row r="28" spans="2:11" ht="26.25" customHeight="1" x14ac:dyDescent="0.25">
      <c r="B28" s="9"/>
      <c r="C28" s="9"/>
      <c r="D28" s="2" t="str">
        <f>_xlfn.IFNA(INDEX(Program!A:A,MATCH(Table3101718[[#This Row],[*Program Code]],Program!B:B,0)),"")</f>
        <v/>
      </c>
      <c r="F28" s="10"/>
      <c r="G28" s="9"/>
      <c r="H28" s="11"/>
      <c r="I28" s="17"/>
      <c r="J28" s="15">
        <f>Table3101718[[#This Row],[*Unit Price]]*Table3101718[[#This Row],[*Quantity]]</f>
        <v>0</v>
      </c>
    </row>
    <row r="29" spans="2:11" ht="26.25" customHeight="1" x14ac:dyDescent="0.25">
      <c r="B29" s="9"/>
      <c r="C29" s="9"/>
      <c r="D29" s="2" t="str">
        <f>_xlfn.IFNA(INDEX(Program!A:A,MATCH(Table3101718[[#This Row],[*Program Code]],Program!B:B,0)),"")</f>
        <v/>
      </c>
      <c r="F29" s="10"/>
      <c r="G29" s="9"/>
      <c r="H29" s="11"/>
      <c r="I29" s="17"/>
      <c r="J29" s="15">
        <f>Table3101718[[#This Row],[*Unit Price]]*Table3101718[[#This Row],[*Quantity]]</f>
        <v>0</v>
      </c>
    </row>
    <row r="30" spans="2:11" ht="26.25" customHeight="1" x14ac:dyDescent="0.25">
      <c r="B30" s="9"/>
      <c r="C30" s="9"/>
      <c r="D30" s="2" t="str">
        <f>_xlfn.IFNA(INDEX(Program!A:A,MATCH(Table3101718[[#This Row],[*Program Code]],Program!B:B,0)),"")</f>
        <v/>
      </c>
      <c r="F30" s="10"/>
      <c r="G30" s="9"/>
      <c r="H30" s="11"/>
      <c r="I30" s="17"/>
      <c r="J30" s="15">
        <f>Table3101718[[#This Row],[*Unit Price]]*Table3101718[[#This Row],[*Quantity]]</f>
        <v>0</v>
      </c>
    </row>
    <row r="31" spans="2:11" ht="26.25" customHeight="1" x14ac:dyDescent="0.25">
      <c r="B31" s="9"/>
      <c r="C31" s="9"/>
      <c r="D31" s="2" t="str">
        <f>_xlfn.IFNA(INDEX(Program!A:A,MATCH(Table3101718[[#This Row],[*Program Code]],Program!B:B,0)),"")</f>
        <v/>
      </c>
      <c r="F31" s="10"/>
      <c r="G31" s="9"/>
      <c r="H31" s="11"/>
      <c r="I31" s="17"/>
      <c r="J31" s="15">
        <f>Table3101718[[#This Row],[*Unit Price]]*Table3101718[[#This Row],[*Quantity]]</f>
        <v>0</v>
      </c>
    </row>
    <row r="32" spans="2:11" ht="26.25" customHeight="1" x14ac:dyDescent="0.25">
      <c r="B32" s="9"/>
      <c r="C32" s="9"/>
      <c r="D32" s="2" t="str">
        <f>_xlfn.IFNA(INDEX(Program!A:A,MATCH(Table3101718[[#This Row],[*Program Code]],Program!B:B,0)),"")</f>
        <v/>
      </c>
      <c r="F32" s="10"/>
      <c r="G32" s="9"/>
      <c r="H32" s="11"/>
      <c r="I32" s="17"/>
      <c r="J32" s="15">
        <f>Table3101718[[#This Row],[*Unit Price]]*Table3101718[[#This Row],[*Quantity]]</f>
        <v>0</v>
      </c>
    </row>
    <row r="33" spans="2:11" ht="26.25" customHeight="1" x14ac:dyDescent="0.25">
      <c r="B33" s="9"/>
      <c r="C33" s="9"/>
      <c r="D33" s="3" t="str">
        <f>_xlfn.IFNA(INDEX(Program!A:A,MATCH(Table3101718[[#This Row],[*Program Code]],Program!B:B,0)),"")</f>
        <v/>
      </c>
      <c r="F33" s="10"/>
      <c r="G33" s="9"/>
      <c r="H33" s="11"/>
      <c r="I33" s="17"/>
      <c r="J33" s="15">
        <f>Table3101718[[#This Row],[*Unit Price]]*Table3101718[[#This Row],[*Quantity]]</f>
        <v>0</v>
      </c>
    </row>
    <row r="34" spans="2:11" ht="26.25" customHeight="1" x14ac:dyDescent="0.25">
      <c r="B34" s="9"/>
      <c r="C34" s="9"/>
      <c r="D34" s="3" t="str">
        <f>_xlfn.IFNA(INDEX(Program!A:A,MATCH(Table3101718[[#This Row],[*Program Code]],Program!B:B,0)),"")</f>
        <v/>
      </c>
      <c r="F34" s="10"/>
      <c r="G34" s="9"/>
      <c r="H34" s="11"/>
      <c r="I34" s="17"/>
      <c r="J34" s="15">
        <f>Table3101718[[#This Row],[*Unit Price]]*Table3101718[[#This Row],[*Quantity]]</f>
        <v>0</v>
      </c>
    </row>
    <row r="35" spans="2:11" ht="26.25" customHeight="1" x14ac:dyDescent="0.25">
      <c r="B35" s="12" t="s">
        <v>5</v>
      </c>
      <c r="C35" s="13"/>
      <c r="D35" s="12"/>
      <c r="E35" s="12"/>
      <c r="F35" s="12"/>
      <c r="G35" s="12"/>
      <c r="H35" s="12"/>
      <c r="I35" s="12"/>
      <c r="J35" s="14">
        <f>SUBTOTAL(109,Table3101718[Total Expenditure])</f>
        <v>0</v>
      </c>
      <c r="K35" s="12"/>
    </row>
    <row r="37" spans="2:11" ht="26.25" customHeight="1" x14ac:dyDescent="0.25">
      <c r="B37" s="4">
        <v>222004</v>
      </c>
      <c r="C37" s="5" t="s">
        <v>4350</v>
      </c>
      <c r="D37" s="6"/>
      <c r="E37" s="6"/>
      <c r="F37" s="16"/>
      <c r="G37" s="16"/>
      <c r="H37" s="16"/>
      <c r="I37" s="16"/>
      <c r="J37" s="16"/>
      <c r="K37" s="16"/>
    </row>
    <row r="38" spans="2:11" ht="43.5" customHeight="1" x14ac:dyDescent="0.25">
      <c r="B38" s="8" t="s">
        <v>1</v>
      </c>
      <c r="C38" s="8" t="s">
        <v>4337</v>
      </c>
      <c r="D38" s="8" t="s">
        <v>2</v>
      </c>
      <c r="E38" s="8" t="s">
        <v>4351</v>
      </c>
      <c r="F38" s="8" t="s">
        <v>4352</v>
      </c>
      <c r="G38" s="8" t="s">
        <v>4344</v>
      </c>
      <c r="H38" s="8" t="s">
        <v>4451</v>
      </c>
      <c r="I38" s="8" t="s">
        <v>4346</v>
      </c>
      <c r="J38" s="8" t="s">
        <v>3</v>
      </c>
      <c r="K38" s="8" t="s">
        <v>4</v>
      </c>
    </row>
    <row r="39" spans="2:11" ht="26.25" customHeight="1" x14ac:dyDescent="0.25">
      <c r="B39" s="9"/>
      <c r="C39" s="9"/>
      <c r="D39" s="2" t="str">
        <f>_xlfn.IFNA(INDEX(Program!A:A,MATCH(Table310171819[[#This Row],[*Program Code]],Program!B:B,0)),"")</f>
        <v/>
      </c>
      <c r="F39" s="10"/>
      <c r="G39" s="9"/>
      <c r="H39" s="11"/>
      <c r="I39" s="17"/>
      <c r="J39" s="15">
        <f>Table310171819[[#This Row],[*Unit Price]]*Table310171819[[#This Row],[*Quantity]]</f>
        <v>0</v>
      </c>
    </row>
    <row r="40" spans="2:11" ht="26.25" customHeight="1" x14ac:dyDescent="0.25">
      <c r="B40" s="9"/>
      <c r="C40" s="9"/>
      <c r="D40" s="2" t="str">
        <f>_xlfn.IFNA(INDEX(Program!A:A,MATCH(Table310171819[[#This Row],[*Program Code]],Program!B:B,0)),"")</f>
        <v/>
      </c>
      <c r="F40" s="10"/>
      <c r="G40" s="9"/>
      <c r="H40" s="11"/>
      <c r="I40" s="17"/>
      <c r="J40" s="15">
        <f>Table310171819[[#This Row],[*Unit Price]]*Table310171819[[#This Row],[*Quantity]]</f>
        <v>0</v>
      </c>
    </row>
    <row r="41" spans="2:11" ht="26.25" customHeight="1" x14ac:dyDescent="0.25">
      <c r="B41" s="9"/>
      <c r="C41" s="9"/>
      <c r="D41" s="2" t="str">
        <f>_xlfn.IFNA(INDEX(Program!A:A,MATCH(Table310171819[[#This Row],[*Program Code]],Program!B:B,0)),"")</f>
        <v/>
      </c>
      <c r="F41" s="10"/>
      <c r="G41" s="9"/>
      <c r="H41" s="11"/>
      <c r="I41" s="17"/>
      <c r="J41" s="15">
        <f>Table310171819[[#This Row],[*Unit Price]]*Table310171819[[#This Row],[*Quantity]]</f>
        <v>0</v>
      </c>
    </row>
    <row r="42" spans="2:11" ht="26.25" customHeight="1" x14ac:dyDescent="0.25">
      <c r="B42" s="9"/>
      <c r="C42" s="9"/>
      <c r="D42" s="2" t="str">
        <f>_xlfn.IFNA(INDEX(Program!A:A,MATCH(Table310171819[[#This Row],[*Program Code]],Program!B:B,0)),"")</f>
        <v/>
      </c>
      <c r="F42" s="10"/>
      <c r="G42" s="9"/>
      <c r="H42" s="11"/>
      <c r="I42" s="17"/>
      <c r="J42" s="15">
        <f>Table310171819[[#This Row],[*Unit Price]]*Table310171819[[#This Row],[*Quantity]]</f>
        <v>0</v>
      </c>
    </row>
    <row r="43" spans="2:11" ht="26.25" customHeight="1" x14ac:dyDescent="0.25">
      <c r="B43" s="9"/>
      <c r="C43" s="9"/>
      <c r="D43" s="2" t="str">
        <f>_xlfn.IFNA(INDEX(Program!A:A,MATCH(Table310171819[[#This Row],[*Program Code]],Program!B:B,0)),"")</f>
        <v/>
      </c>
      <c r="F43" s="10"/>
      <c r="G43" s="9"/>
      <c r="H43" s="11"/>
      <c r="I43" s="17"/>
      <c r="J43" s="15">
        <f>Table310171819[[#This Row],[*Unit Price]]*Table310171819[[#This Row],[*Quantity]]</f>
        <v>0</v>
      </c>
    </row>
    <row r="44" spans="2:11" ht="26.25" customHeight="1" x14ac:dyDescent="0.25">
      <c r="B44" s="9"/>
      <c r="C44" s="9"/>
      <c r="D44" s="3" t="str">
        <f>_xlfn.IFNA(INDEX(Program!A:A,MATCH(Table310171819[[#This Row],[*Program Code]],Program!B:B,0)),"")</f>
        <v/>
      </c>
      <c r="F44" s="10"/>
      <c r="G44" s="9"/>
      <c r="H44" s="11"/>
      <c r="I44" s="17"/>
      <c r="J44" s="15">
        <f>Table310171819[[#This Row],[*Unit Price]]*Table310171819[[#This Row],[*Quantity]]</f>
        <v>0</v>
      </c>
    </row>
    <row r="45" spans="2:11" ht="26.25" customHeight="1" x14ac:dyDescent="0.25">
      <c r="B45" s="9"/>
      <c r="C45" s="9"/>
      <c r="D45" s="3" t="str">
        <f>_xlfn.IFNA(INDEX(Program!A:A,MATCH(Table310171819[[#This Row],[*Program Code]],Program!B:B,0)),"")</f>
        <v/>
      </c>
      <c r="F45" s="10"/>
      <c r="G45" s="9"/>
      <c r="H45" s="11"/>
      <c r="I45" s="17"/>
      <c r="J45" s="15">
        <f>Table310171819[[#This Row],[*Unit Price]]*Table310171819[[#This Row],[*Quantity]]</f>
        <v>0</v>
      </c>
    </row>
    <row r="46" spans="2:11" ht="26.25" customHeight="1" x14ac:dyDescent="0.25">
      <c r="B46" s="12" t="s">
        <v>5</v>
      </c>
      <c r="C46" s="13"/>
      <c r="D46" s="12"/>
      <c r="E46" s="12"/>
      <c r="F46" s="12"/>
      <c r="G46" s="12"/>
      <c r="H46" s="12"/>
      <c r="I46" s="12"/>
      <c r="J46" s="14">
        <f>SUBTOTAL(109,Table310171819[Total Expenditure])</f>
        <v>0</v>
      </c>
      <c r="K46" s="12"/>
    </row>
    <row r="48" spans="2:11" ht="26.25" customHeight="1" x14ac:dyDescent="0.25">
      <c r="B48" s="4">
        <v>222005</v>
      </c>
      <c r="C48" s="5" t="s">
        <v>4353</v>
      </c>
      <c r="D48" s="6"/>
      <c r="E48" s="6"/>
      <c r="F48" s="16"/>
      <c r="G48" s="16"/>
      <c r="H48" s="16"/>
      <c r="I48" s="16"/>
      <c r="J48" s="16"/>
      <c r="K48" s="16"/>
    </row>
    <row r="49" spans="2:11" ht="43.5" customHeight="1" x14ac:dyDescent="0.25">
      <c r="B49" s="8" t="s">
        <v>1</v>
      </c>
      <c r="C49" s="8" t="s">
        <v>4337</v>
      </c>
      <c r="D49" s="8" t="s">
        <v>2</v>
      </c>
      <c r="E49" s="8" t="s">
        <v>4343</v>
      </c>
      <c r="F49" s="8" t="s">
        <v>4436</v>
      </c>
      <c r="G49" s="8" t="s">
        <v>4344</v>
      </c>
      <c r="H49" s="8" t="s">
        <v>4451</v>
      </c>
      <c r="I49" s="8" t="s">
        <v>4346</v>
      </c>
      <c r="J49" s="8" t="s">
        <v>3</v>
      </c>
      <c r="K49" s="8" t="s">
        <v>4</v>
      </c>
    </row>
    <row r="50" spans="2:11" ht="26.25" customHeight="1" x14ac:dyDescent="0.25">
      <c r="B50" s="9"/>
      <c r="C50" s="9"/>
      <c r="D50" s="2" t="str">
        <f>_xlfn.IFNA(INDEX(Program!A:A,MATCH(Table31017181920[[#This Row],[*Program Code]],Program!B:B,0)),"")</f>
        <v/>
      </c>
      <c r="F50" s="10"/>
      <c r="G50" s="9"/>
      <c r="H50" s="11"/>
      <c r="I50" s="17"/>
      <c r="J50" s="15">
        <f>Table31017181920[[#This Row],[*Unit Price]]*Table31017181920[[#This Row],[*Quantity]]</f>
        <v>0</v>
      </c>
    </row>
    <row r="51" spans="2:11" ht="26.25" customHeight="1" x14ac:dyDescent="0.25">
      <c r="B51" s="9"/>
      <c r="C51" s="9"/>
      <c r="D51" s="2" t="str">
        <f>_xlfn.IFNA(INDEX(Program!A:A,MATCH(Table31017181920[[#This Row],[*Program Code]],Program!B:B,0)),"")</f>
        <v/>
      </c>
      <c r="F51" s="10"/>
      <c r="G51" s="9"/>
      <c r="H51" s="11"/>
      <c r="I51" s="17"/>
      <c r="J51" s="15">
        <f>Table31017181920[[#This Row],[*Unit Price]]*Table31017181920[[#This Row],[*Quantity]]</f>
        <v>0</v>
      </c>
    </row>
    <row r="52" spans="2:11" ht="26.25" customHeight="1" x14ac:dyDescent="0.25">
      <c r="B52" s="9"/>
      <c r="C52" s="9"/>
      <c r="D52" s="2" t="str">
        <f>_xlfn.IFNA(INDEX(Program!A:A,MATCH(Table31017181920[[#This Row],[*Program Code]],Program!B:B,0)),"")</f>
        <v/>
      </c>
      <c r="F52" s="10"/>
      <c r="G52" s="9"/>
      <c r="H52" s="11"/>
      <c r="I52" s="17"/>
      <c r="J52" s="15">
        <f>Table31017181920[[#This Row],[*Unit Price]]*Table31017181920[[#This Row],[*Quantity]]</f>
        <v>0</v>
      </c>
    </row>
    <row r="53" spans="2:11" ht="26.25" customHeight="1" x14ac:dyDescent="0.25">
      <c r="B53" s="9"/>
      <c r="C53" s="9"/>
      <c r="D53" s="2" t="str">
        <f>_xlfn.IFNA(INDEX(Program!A:A,MATCH(Table31017181920[[#This Row],[*Program Code]],Program!B:B,0)),"")</f>
        <v/>
      </c>
      <c r="F53" s="10"/>
      <c r="G53" s="9"/>
      <c r="H53" s="11"/>
      <c r="I53" s="17"/>
      <c r="J53" s="15">
        <f>Table31017181920[[#This Row],[*Unit Price]]*Table31017181920[[#This Row],[*Quantity]]</f>
        <v>0</v>
      </c>
    </row>
    <row r="54" spans="2:11" ht="26.25" customHeight="1" x14ac:dyDescent="0.25">
      <c r="B54" s="9"/>
      <c r="C54" s="9"/>
      <c r="D54" s="2" t="str">
        <f>_xlfn.IFNA(INDEX(Program!A:A,MATCH(Table31017181920[[#This Row],[*Program Code]],Program!B:B,0)),"")</f>
        <v/>
      </c>
      <c r="F54" s="10"/>
      <c r="G54" s="9"/>
      <c r="H54" s="11"/>
      <c r="I54" s="17"/>
      <c r="J54" s="15">
        <f>Table31017181920[[#This Row],[*Unit Price]]*Table31017181920[[#This Row],[*Quantity]]</f>
        <v>0</v>
      </c>
    </row>
    <row r="55" spans="2:11" ht="26.25" customHeight="1" x14ac:dyDescent="0.25">
      <c r="B55" s="9"/>
      <c r="C55" s="9"/>
      <c r="D55" s="3" t="str">
        <f>_xlfn.IFNA(INDEX(Program!A:A,MATCH(Table31017181920[[#This Row],[*Program Code]],Program!B:B,0)),"")</f>
        <v/>
      </c>
      <c r="F55" s="10"/>
      <c r="G55" s="9"/>
      <c r="H55" s="11"/>
      <c r="I55" s="17"/>
      <c r="J55" s="15">
        <f>Table31017181920[[#This Row],[*Unit Price]]*Table31017181920[[#This Row],[*Quantity]]</f>
        <v>0</v>
      </c>
    </row>
    <row r="56" spans="2:11" ht="26.25" customHeight="1" x14ac:dyDescent="0.25">
      <c r="B56" s="9"/>
      <c r="C56" s="9"/>
      <c r="D56" s="3" t="str">
        <f>_xlfn.IFNA(INDEX(Program!A:A,MATCH(Table31017181920[[#This Row],[*Program Code]],Program!B:B,0)),"")</f>
        <v/>
      </c>
      <c r="F56" s="10"/>
      <c r="G56" s="9"/>
      <c r="H56" s="11"/>
      <c r="I56" s="17"/>
      <c r="J56" s="15">
        <f>Table31017181920[[#This Row],[*Unit Price]]*Table31017181920[[#This Row],[*Quantity]]</f>
        <v>0</v>
      </c>
    </row>
    <row r="57" spans="2:11" ht="26.25" customHeight="1" x14ac:dyDescent="0.25">
      <c r="B57" s="12" t="s">
        <v>5</v>
      </c>
      <c r="C57" s="13"/>
      <c r="D57" s="12"/>
      <c r="E57" s="12"/>
      <c r="F57" s="12"/>
      <c r="G57" s="12"/>
      <c r="H57" s="12"/>
      <c r="I57" s="12"/>
      <c r="J57" s="14">
        <f>SUBTOTAL(109,Table31017181920[Total Expenditure])</f>
        <v>0</v>
      </c>
      <c r="K57" s="12"/>
    </row>
    <row r="59" spans="2:11" ht="26.25" customHeight="1" x14ac:dyDescent="0.25">
      <c r="B59" s="4">
        <v>222006</v>
      </c>
      <c r="C59" s="5" t="s">
        <v>4354</v>
      </c>
      <c r="D59" s="6"/>
      <c r="E59" s="6"/>
      <c r="F59" s="16"/>
      <c r="G59" s="16"/>
      <c r="H59" s="16"/>
      <c r="I59" s="16"/>
      <c r="J59" s="16"/>
      <c r="K59" s="16"/>
    </row>
    <row r="60" spans="2:11" ht="43.5" customHeight="1" x14ac:dyDescent="0.25">
      <c r="B60" s="8" t="s">
        <v>1</v>
      </c>
      <c r="C60" s="8" t="s">
        <v>4337</v>
      </c>
      <c r="D60" s="8" t="s">
        <v>2</v>
      </c>
      <c r="E60" s="8" t="s">
        <v>4343</v>
      </c>
      <c r="F60" s="8" t="s">
        <v>4436</v>
      </c>
      <c r="G60" s="8" t="s">
        <v>4344</v>
      </c>
      <c r="H60" s="8" t="s">
        <v>4451</v>
      </c>
      <c r="I60" s="8" t="s">
        <v>4346</v>
      </c>
      <c r="J60" s="8" t="s">
        <v>3</v>
      </c>
      <c r="K60" s="8" t="s">
        <v>4</v>
      </c>
    </row>
    <row r="61" spans="2:11" ht="26.25" customHeight="1" x14ac:dyDescent="0.25">
      <c r="B61" s="9"/>
      <c r="C61" s="9"/>
      <c r="D61" s="2" t="str">
        <f>_xlfn.IFNA(INDEX(Program!A:A,MATCH(Table3101718192021[[#This Row],[*Program Code]],Program!B:B,0)),"")</f>
        <v/>
      </c>
      <c r="F61" s="10"/>
      <c r="G61" s="9"/>
      <c r="H61" s="11"/>
      <c r="I61" s="17"/>
      <c r="J61" s="15">
        <f>Table3101718192021[[#This Row],[*Unit Price]]*Table3101718192021[[#This Row],[*Quantity]]</f>
        <v>0</v>
      </c>
    </row>
    <row r="62" spans="2:11" ht="26.25" customHeight="1" x14ac:dyDescent="0.25">
      <c r="B62" s="9"/>
      <c r="C62" s="9"/>
      <c r="D62" s="2" t="str">
        <f>_xlfn.IFNA(INDEX(Program!A:A,MATCH(Table3101718192021[[#This Row],[*Program Code]],Program!B:B,0)),"")</f>
        <v/>
      </c>
      <c r="F62" s="10"/>
      <c r="G62" s="9"/>
      <c r="H62" s="11"/>
      <c r="I62" s="17"/>
      <c r="J62" s="15">
        <f>Table3101718192021[[#This Row],[*Unit Price]]*Table3101718192021[[#This Row],[*Quantity]]</f>
        <v>0</v>
      </c>
    </row>
    <row r="63" spans="2:11" ht="26.25" customHeight="1" x14ac:dyDescent="0.25">
      <c r="B63" s="9"/>
      <c r="C63" s="9"/>
      <c r="D63" s="2" t="str">
        <f>_xlfn.IFNA(INDEX(Program!A:A,MATCH(Table3101718192021[[#This Row],[*Program Code]],Program!B:B,0)),"")</f>
        <v/>
      </c>
      <c r="F63" s="10"/>
      <c r="G63" s="9"/>
      <c r="H63" s="11"/>
      <c r="I63" s="17"/>
      <c r="J63" s="15">
        <f>Table3101718192021[[#This Row],[*Unit Price]]*Table3101718192021[[#This Row],[*Quantity]]</f>
        <v>0</v>
      </c>
    </row>
    <row r="64" spans="2:11" ht="26.25" customHeight="1" x14ac:dyDescent="0.25">
      <c r="B64" s="9"/>
      <c r="C64" s="9"/>
      <c r="D64" s="2" t="str">
        <f>_xlfn.IFNA(INDEX(Program!A:A,MATCH(Table3101718192021[[#This Row],[*Program Code]],Program!B:B,0)),"")</f>
        <v/>
      </c>
      <c r="F64" s="10"/>
      <c r="G64" s="9"/>
      <c r="H64" s="11"/>
      <c r="I64" s="17"/>
      <c r="J64" s="15">
        <f>Table3101718192021[[#This Row],[*Unit Price]]*Table3101718192021[[#This Row],[*Quantity]]</f>
        <v>0</v>
      </c>
    </row>
    <row r="65" spans="2:11" ht="26.25" customHeight="1" x14ac:dyDescent="0.25">
      <c r="B65" s="9"/>
      <c r="C65" s="9"/>
      <c r="D65" s="2" t="str">
        <f>_xlfn.IFNA(INDEX(Program!A:A,MATCH(Table3101718192021[[#This Row],[*Program Code]],Program!B:B,0)),"")</f>
        <v/>
      </c>
      <c r="F65" s="10"/>
      <c r="G65" s="9"/>
      <c r="H65" s="11"/>
      <c r="I65" s="17"/>
      <c r="J65" s="15">
        <f>Table3101718192021[[#This Row],[*Unit Price]]*Table3101718192021[[#This Row],[*Quantity]]</f>
        <v>0</v>
      </c>
    </row>
    <row r="66" spans="2:11" ht="26.25" customHeight="1" x14ac:dyDescent="0.25">
      <c r="B66" s="9"/>
      <c r="C66" s="9"/>
      <c r="D66" s="3" t="str">
        <f>_xlfn.IFNA(INDEX(Program!A:A,MATCH(Table3101718192021[[#This Row],[*Program Code]],Program!B:B,0)),"")</f>
        <v/>
      </c>
      <c r="F66" s="10"/>
      <c r="G66" s="9"/>
      <c r="H66" s="11"/>
      <c r="I66" s="17"/>
      <c r="J66" s="15">
        <f>Table3101718192021[[#This Row],[*Unit Price]]*Table3101718192021[[#This Row],[*Quantity]]</f>
        <v>0</v>
      </c>
    </row>
    <row r="67" spans="2:11" ht="26.25" customHeight="1" x14ac:dyDescent="0.25">
      <c r="B67" s="9"/>
      <c r="C67" s="9"/>
      <c r="D67" s="3" t="str">
        <f>_xlfn.IFNA(INDEX(Program!A:A,MATCH(Table3101718192021[[#This Row],[*Program Code]],Program!B:B,0)),"")</f>
        <v/>
      </c>
      <c r="F67" s="10"/>
      <c r="G67" s="9"/>
      <c r="H67" s="11"/>
      <c r="I67" s="17"/>
      <c r="J67" s="15">
        <f>Table3101718192021[[#This Row],[*Unit Price]]*Table3101718192021[[#This Row],[*Quantity]]</f>
        <v>0</v>
      </c>
    </row>
    <row r="68" spans="2:11" ht="26.25" customHeight="1" x14ac:dyDescent="0.25">
      <c r="B68" s="12" t="s">
        <v>5</v>
      </c>
      <c r="C68" s="13"/>
      <c r="D68" s="12"/>
      <c r="E68" s="12"/>
      <c r="F68" s="12"/>
      <c r="G68" s="12"/>
      <c r="H68" s="12"/>
      <c r="I68" s="12"/>
      <c r="J68" s="14">
        <f>SUBTOTAL(109,Table3101718192021[Total Expenditure])</f>
        <v>0</v>
      </c>
      <c r="K68" s="12"/>
    </row>
    <row r="70" spans="2:11" ht="26.25" customHeight="1" x14ac:dyDescent="0.25">
      <c r="B70" s="4">
        <v>222007</v>
      </c>
      <c r="C70" s="5" t="s">
        <v>4355</v>
      </c>
      <c r="D70" s="6"/>
      <c r="E70" s="6"/>
      <c r="F70" s="16"/>
      <c r="G70" s="16"/>
      <c r="H70" s="16"/>
      <c r="I70" s="16"/>
      <c r="J70" s="16"/>
      <c r="K70" s="16"/>
    </row>
    <row r="71" spans="2:11" ht="43.5" customHeight="1" x14ac:dyDescent="0.25">
      <c r="B71" s="8" t="s">
        <v>1</v>
      </c>
      <c r="C71" s="8" t="s">
        <v>4337</v>
      </c>
      <c r="D71" s="8" t="s">
        <v>2</v>
      </c>
      <c r="E71" s="8" t="s">
        <v>4343</v>
      </c>
      <c r="F71" s="8" t="s">
        <v>4352</v>
      </c>
      <c r="G71" s="8" t="s">
        <v>4344</v>
      </c>
      <c r="H71" s="8" t="s">
        <v>4451</v>
      </c>
      <c r="I71" s="8" t="s">
        <v>4346</v>
      </c>
      <c r="J71" s="8" t="s">
        <v>3</v>
      </c>
      <c r="K71" s="8" t="s">
        <v>4</v>
      </c>
    </row>
    <row r="72" spans="2:11" ht="26.25" customHeight="1" x14ac:dyDescent="0.25">
      <c r="B72" s="9"/>
      <c r="C72" s="9"/>
      <c r="D72" s="2" t="str">
        <f>_xlfn.IFNA(INDEX(Program!A:A,MATCH(Table310171819202122[[#This Row],[*Program Code]],Program!B:B,0)),"")</f>
        <v/>
      </c>
      <c r="F72" s="10"/>
      <c r="G72" s="9"/>
      <c r="H72" s="11"/>
      <c r="I72" s="17"/>
      <c r="J72" s="15">
        <f>Table310171819202122[[#This Row],[*Unit Price]]*Table310171819202122[[#This Row],[*Quantity]]</f>
        <v>0</v>
      </c>
    </row>
    <row r="73" spans="2:11" ht="26.25" customHeight="1" x14ac:dyDescent="0.25">
      <c r="B73" s="9"/>
      <c r="C73" s="9"/>
      <c r="D73" s="2" t="str">
        <f>_xlfn.IFNA(INDEX(Program!A:A,MATCH(Table310171819202122[[#This Row],[*Program Code]],Program!B:B,0)),"")</f>
        <v/>
      </c>
      <c r="F73" s="10"/>
      <c r="G73" s="9"/>
      <c r="H73" s="11"/>
      <c r="I73" s="17"/>
      <c r="J73" s="15">
        <f>Table310171819202122[[#This Row],[*Unit Price]]*Table310171819202122[[#This Row],[*Quantity]]</f>
        <v>0</v>
      </c>
    </row>
    <row r="74" spans="2:11" ht="26.25" customHeight="1" x14ac:dyDescent="0.25">
      <c r="B74" s="9"/>
      <c r="C74" s="9"/>
      <c r="D74" s="2" t="str">
        <f>_xlfn.IFNA(INDEX(Program!A:A,MATCH(Table310171819202122[[#This Row],[*Program Code]],Program!B:B,0)),"")</f>
        <v/>
      </c>
      <c r="F74" s="10"/>
      <c r="G74" s="9"/>
      <c r="H74" s="11"/>
      <c r="I74" s="17"/>
      <c r="J74" s="15">
        <f>Table310171819202122[[#This Row],[*Unit Price]]*Table310171819202122[[#This Row],[*Quantity]]</f>
        <v>0</v>
      </c>
    </row>
    <row r="75" spans="2:11" ht="26.25" customHeight="1" x14ac:dyDescent="0.25">
      <c r="B75" s="9"/>
      <c r="C75" s="9"/>
      <c r="D75" s="2" t="str">
        <f>_xlfn.IFNA(INDEX(Program!A:A,MATCH(Table310171819202122[[#This Row],[*Program Code]],Program!B:B,0)),"")</f>
        <v/>
      </c>
      <c r="F75" s="10"/>
      <c r="G75" s="9"/>
      <c r="H75" s="11"/>
      <c r="I75" s="17"/>
      <c r="J75" s="15">
        <f>Table310171819202122[[#This Row],[*Unit Price]]*Table310171819202122[[#This Row],[*Quantity]]</f>
        <v>0</v>
      </c>
    </row>
    <row r="76" spans="2:11" ht="26.25" customHeight="1" x14ac:dyDescent="0.25">
      <c r="B76" s="9"/>
      <c r="C76" s="9"/>
      <c r="D76" s="2" t="str">
        <f>_xlfn.IFNA(INDEX(Program!A:A,MATCH(Table310171819202122[[#This Row],[*Program Code]],Program!B:B,0)),"")</f>
        <v/>
      </c>
      <c r="F76" s="10"/>
      <c r="G76" s="9"/>
      <c r="H76" s="11"/>
      <c r="I76" s="17"/>
      <c r="J76" s="15">
        <f>Table310171819202122[[#This Row],[*Unit Price]]*Table310171819202122[[#This Row],[*Quantity]]</f>
        <v>0</v>
      </c>
    </row>
    <row r="77" spans="2:11" ht="26.25" customHeight="1" x14ac:dyDescent="0.25">
      <c r="B77" s="9"/>
      <c r="C77" s="9"/>
      <c r="D77" s="3" t="str">
        <f>_xlfn.IFNA(INDEX(Program!A:A,MATCH(Table310171819202122[[#This Row],[*Program Code]],Program!B:B,0)),"")</f>
        <v/>
      </c>
      <c r="F77" s="10"/>
      <c r="G77" s="9"/>
      <c r="H77" s="11"/>
      <c r="I77" s="17"/>
      <c r="J77" s="15">
        <f>Table310171819202122[[#This Row],[*Unit Price]]*Table310171819202122[[#This Row],[*Quantity]]</f>
        <v>0</v>
      </c>
    </row>
    <row r="78" spans="2:11" ht="26.25" customHeight="1" x14ac:dyDescent="0.25">
      <c r="B78" s="9"/>
      <c r="C78" s="9"/>
      <c r="D78" s="3" t="str">
        <f>_xlfn.IFNA(INDEX(Program!A:A,MATCH(Table310171819202122[[#This Row],[*Program Code]],Program!B:B,0)),"")</f>
        <v/>
      </c>
      <c r="F78" s="10"/>
      <c r="G78" s="9"/>
      <c r="H78" s="11"/>
      <c r="I78" s="17"/>
      <c r="J78" s="15">
        <f>Table310171819202122[[#This Row],[*Unit Price]]*Table310171819202122[[#This Row],[*Quantity]]</f>
        <v>0</v>
      </c>
    </row>
    <row r="79" spans="2:11" ht="26.25" customHeight="1" x14ac:dyDescent="0.25">
      <c r="B79" s="12" t="s">
        <v>5</v>
      </c>
      <c r="C79" s="13"/>
      <c r="D79" s="12"/>
      <c r="E79" s="12"/>
      <c r="F79" s="12"/>
      <c r="G79" s="12"/>
      <c r="H79" s="12"/>
      <c r="I79" s="12"/>
      <c r="J79" s="14">
        <f>SUBTOTAL(109,Table310171819202122[Total Expenditure])</f>
        <v>0</v>
      </c>
      <c r="K79" s="12"/>
    </row>
    <row r="81" spans="2:11" ht="26.25" customHeight="1" x14ac:dyDescent="0.25">
      <c r="B81" s="4">
        <v>222008</v>
      </c>
      <c r="C81" s="5" t="s">
        <v>4356</v>
      </c>
      <c r="D81" s="6"/>
      <c r="E81" s="6"/>
      <c r="F81" s="16"/>
      <c r="G81" s="16"/>
      <c r="H81" s="16"/>
      <c r="I81" s="16"/>
      <c r="J81" s="16"/>
      <c r="K81" s="16"/>
    </row>
    <row r="82" spans="2:11" ht="43.5" customHeight="1" x14ac:dyDescent="0.25">
      <c r="B82" s="8" t="s">
        <v>1</v>
      </c>
      <c r="C82" s="8" t="s">
        <v>4337</v>
      </c>
      <c r="D82" s="8" t="s">
        <v>2</v>
      </c>
      <c r="E82" s="8" t="s">
        <v>4343</v>
      </c>
      <c r="F82" s="8" t="s">
        <v>4436</v>
      </c>
      <c r="G82" s="8" t="s">
        <v>4344</v>
      </c>
      <c r="H82" s="8" t="s">
        <v>4451</v>
      </c>
      <c r="I82" s="8" t="s">
        <v>4346</v>
      </c>
      <c r="J82" s="8" t="s">
        <v>3</v>
      </c>
      <c r="K82" s="8" t="s">
        <v>4</v>
      </c>
    </row>
    <row r="83" spans="2:11" ht="26.25" customHeight="1" x14ac:dyDescent="0.25">
      <c r="B83" s="9"/>
      <c r="C83" s="9"/>
      <c r="D83" s="2" t="str">
        <f>_xlfn.IFNA(INDEX(Program!A:A,MATCH(Table31017181920212223[[#This Row],[*Program Code]],Program!B:B,0)),"")</f>
        <v/>
      </c>
      <c r="F83" s="10"/>
      <c r="G83" s="9"/>
      <c r="H83" s="11"/>
      <c r="I83" s="17"/>
      <c r="J83" s="15">
        <f>Table31017181920212223[[#This Row],[*Unit Price]]*Table31017181920212223[[#This Row],[*Quantity]]</f>
        <v>0</v>
      </c>
    </row>
    <row r="84" spans="2:11" ht="26.25" customHeight="1" x14ac:dyDescent="0.25">
      <c r="B84" s="9"/>
      <c r="C84" s="9"/>
      <c r="D84" s="2" t="str">
        <f>_xlfn.IFNA(INDEX(Program!A:A,MATCH(Table31017181920212223[[#This Row],[*Program Code]],Program!B:B,0)),"")</f>
        <v/>
      </c>
      <c r="F84" s="10"/>
      <c r="G84" s="9"/>
      <c r="H84" s="11"/>
      <c r="I84" s="17"/>
      <c r="J84" s="15">
        <f>Table31017181920212223[[#This Row],[*Unit Price]]*Table31017181920212223[[#This Row],[*Quantity]]</f>
        <v>0</v>
      </c>
    </row>
    <row r="85" spans="2:11" ht="26.25" customHeight="1" x14ac:dyDescent="0.25">
      <c r="B85" s="9"/>
      <c r="C85" s="9"/>
      <c r="D85" s="2" t="str">
        <f>_xlfn.IFNA(INDEX(Program!A:A,MATCH(Table31017181920212223[[#This Row],[*Program Code]],Program!B:B,0)),"")</f>
        <v/>
      </c>
      <c r="F85" s="10"/>
      <c r="G85" s="9"/>
      <c r="H85" s="11"/>
      <c r="I85" s="17"/>
      <c r="J85" s="15">
        <f>Table31017181920212223[[#This Row],[*Unit Price]]*Table31017181920212223[[#This Row],[*Quantity]]</f>
        <v>0</v>
      </c>
    </row>
    <row r="86" spans="2:11" ht="26.25" customHeight="1" x14ac:dyDescent="0.25">
      <c r="B86" s="9"/>
      <c r="C86" s="9"/>
      <c r="D86" s="2" t="str">
        <f>_xlfn.IFNA(INDEX(Program!A:A,MATCH(Table31017181920212223[[#This Row],[*Program Code]],Program!B:B,0)),"")</f>
        <v/>
      </c>
      <c r="F86" s="10"/>
      <c r="G86" s="9"/>
      <c r="H86" s="11"/>
      <c r="I86" s="17"/>
      <c r="J86" s="15">
        <f>Table31017181920212223[[#This Row],[*Unit Price]]*Table31017181920212223[[#This Row],[*Quantity]]</f>
        <v>0</v>
      </c>
    </row>
    <row r="87" spans="2:11" ht="26.25" customHeight="1" x14ac:dyDescent="0.25">
      <c r="B87" s="9"/>
      <c r="C87" s="9"/>
      <c r="D87" s="2" t="str">
        <f>_xlfn.IFNA(INDEX(Program!A:A,MATCH(Table31017181920212223[[#This Row],[*Program Code]],Program!B:B,0)),"")</f>
        <v/>
      </c>
      <c r="F87" s="10"/>
      <c r="G87" s="9"/>
      <c r="H87" s="11"/>
      <c r="I87" s="17"/>
      <c r="J87" s="15">
        <f>Table31017181920212223[[#This Row],[*Unit Price]]*Table31017181920212223[[#This Row],[*Quantity]]</f>
        <v>0</v>
      </c>
    </row>
    <row r="88" spans="2:11" ht="26.25" customHeight="1" x14ac:dyDescent="0.25">
      <c r="B88" s="9"/>
      <c r="C88" s="9"/>
      <c r="D88" s="3" t="str">
        <f>_xlfn.IFNA(INDEX(Program!A:A,MATCH(Table31017181920212223[[#This Row],[*Program Code]],Program!B:B,0)),"")</f>
        <v/>
      </c>
      <c r="F88" s="10"/>
      <c r="G88" s="9"/>
      <c r="H88" s="11"/>
      <c r="I88" s="17"/>
      <c r="J88" s="15">
        <f>Table31017181920212223[[#This Row],[*Unit Price]]*Table31017181920212223[[#This Row],[*Quantity]]</f>
        <v>0</v>
      </c>
    </row>
    <row r="89" spans="2:11" ht="26.25" customHeight="1" x14ac:dyDescent="0.25">
      <c r="B89" s="9"/>
      <c r="C89" s="9"/>
      <c r="D89" s="3" t="str">
        <f>_xlfn.IFNA(INDEX(Program!A:A,MATCH(Table31017181920212223[[#This Row],[*Program Code]],Program!B:B,0)),"")</f>
        <v/>
      </c>
      <c r="F89" s="10"/>
      <c r="G89" s="9"/>
      <c r="H89" s="11"/>
      <c r="I89" s="17"/>
      <c r="J89" s="15">
        <f>Table31017181920212223[[#This Row],[*Unit Price]]*Table31017181920212223[[#This Row],[*Quantity]]</f>
        <v>0</v>
      </c>
    </row>
    <row r="90" spans="2:11" ht="26.25" customHeight="1" x14ac:dyDescent="0.25">
      <c r="B90" s="12" t="s">
        <v>5</v>
      </c>
      <c r="C90" s="13"/>
      <c r="D90" s="12"/>
      <c r="E90" s="12"/>
      <c r="F90" s="12"/>
      <c r="G90" s="12"/>
      <c r="H90" s="12"/>
      <c r="I90" s="12"/>
      <c r="J90" s="14">
        <f>SUBTOTAL(109,Table31017181920212223[Total Expenditure])</f>
        <v>0</v>
      </c>
      <c r="K90" s="12"/>
    </row>
    <row r="92" spans="2:11" ht="26.25" customHeight="1" x14ac:dyDescent="0.25">
      <c r="B92" s="4">
        <v>222009</v>
      </c>
      <c r="C92" s="5" t="s">
        <v>4357</v>
      </c>
      <c r="D92" s="6"/>
      <c r="E92" s="6"/>
      <c r="F92" s="16"/>
      <c r="G92" s="16"/>
      <c r="H92" s="16"/>
      <c r="I92" s="16"/>
      <c r="J92" s="16"/>
      <c r="K92" s="16"/>
    </row>
    <row r="93" spans="2:11" ht="43.5" customHeight="1" x14ac:dyDescent="0.25">
      <c r="B93" s="8" t="s">
        <v>1</v>
      </c>
      <c r="C93" s="8" t="s">
        <v>4337</v>
      </c>
      <c r="D93" s="8" t="s">
        <v>2</v>
      </c>
      <c r="E93" s="8" t="s">
        <v>4343</v>
      </c>
      <c r="F93" s="8" t="s">
        <v>4436</v>
      </c>
      <c r="G93" s="8" t="s">
        <v>4344</v>
      </c>
      <c r="H93" s="8" t="s">
        <v>4451</v>
      </c>
      <c r="I93" s="8" t="s">
        <v>4346</v>
      </c>
      <c r="J93" s="8" t="s">
        <v>3</v>
      </c>
      <c r="K93" s="8" t="s">
        <v>4</v>
      </c>
    </row>
    <row r="94" spans="2:11" ht="26.25" customHeight="1" x14ac:dyDescent="0.25">
      <c r="B94" s="9"/>
      <c r="C94" s="9"/>
      <c r="D94" s="2" t="str">
        <f>_xlfn.IFNA(INDEX(Program!A:A,MATCH(Table3101718192021222324[[#This Row],[*Program Code]],Program!B:B,0)),"")</f>
        <v/>
      </c>
      <c r="F94" s="10"/>
      <c r="G94" s="9"/>
      <c r="H94" s="11"/>
      <c r="I94" s="17"/>
      <c r="J94" s="15">
        <f>Table3101718192021222324[[#This Row],[*Unit Price]]*Table3101718192021222324[[#This Row],[*Quantity]]</f>
        <v>0</v>
      </c>
    </row>
    <row r="95" spans="2:11" ht="26.25" customHeight="1" x14ac:dyDescent="0.25">
      <c r="B95" s="9"/>
      <c r="C95" s="9"/>
      <c r="D95" s="2" t="str">
        <f>_xlfn.IFNA(INDEX(Program!A:A,MATCH(Table3101718192021222324[[#This Row],[*Program Code]],Program!B:B,0)),"")</f>
        <v/>
      </c>
      <c r="F95" s="10"/>
      <c r="G95" s="9"/>
      <c r="H95" s="11"/>
      <c r="I95" s="17"/>
      <c r="J95" s="15">
        <f>Table3101718192021222324[[#This Row],[*Unit Price]]*Table3101718192021222324[[#This Row],[*Quantity]]</f>
        <v>0</v>
      </c>
    </row>
    <row r="96" spans="2:11" ht="26.25" customHeight="1" x14ac:dyDescent="0.25">
      <c r="B96" s="9"/>
      <c r="C96" s="9"/>
      <c r="D96" s="2" t="str">
        <f>_xlfn.IFNA(INDEX(Program!A:A,MATCH(Table3101718192021222324[[#This Row],[*Program Code]],Program!B:B,0)),"")</f>
        <v/>
      </c>
      <c r="F96" s="10"/>
      <c r="G96" s="9"/>
      <c r="H96" s="11"/>
      <c r="I96" s="17"/>
      <c r="J96" s="15">
        <f>Table3101718192021222324[[#This Row],[*Unit Price]]*Table3101718192021222324[[#This Row],[*Quantity]]</f>
        <v>0</v>
      </c>
    </row>
    <row r="97" spans="2:11" ht="26.25" customHeight="1" x14ac:dyDescent="0.25">
      <c r="B97" s="9"/>
      <c r="C97" s="9"/>
      <c r="D97" s="2" t="str">
        <f>_xlfn.IFNA(INDEX(Program!A:A,MATCH(Table3101718192021222324[[#This Row],[*Program Code]],Program!B:B,0)),"")</f>
        <v/>
      </c>
      <c r="F97" s="10"/>
      <c r="G97" s="9"/>
      <c r="H97" s="11"/>
      <c r="I97" s="17"/>
      <c r="J97" s="15">
        <f>Table3101718192021222324[[#This Row],[*Unit Price]]*Table3101718192021222324[[#This Row],[*Quantity]]</f>
        <v>0</v>
      </c>
    </row>
    <row r="98" spans="2:11" ht="26.25" customHeight="1" x14ac:dyDescent="0.25">
      <c r="B98" s="9"/>
      <c r="C98" s="9"/>
      <c r="D98" s="2" t="str">
        <f>_xlfn.IFNA(INDEX(Program!A:A,MATCH(Table3101718192021222324[[#This Row],[*Program Code]],Program!B:B,0)),"")</f>
        <v/>
      </c>
      <c r="F98" s="10"/>
      <c r="G98" s="9"/>
      <c r="H98" s="11"/>
      <c r="I98" s="17"/>
      <c r="J98" s="15">
        <f>Table3101718192021222324[[#This Row],[*Unit Price]]*Table3101718192021222324[[#This Row],[*Quantity]]</f>
        <v>0</v>
      </c>
    </row>
    <row r="99" spans="2:11" ht="26.25" customHeight="1" x14ac:dyDescent="0.25">
      <c r="B99" s="9"/>
      <c r="C99" s="9"/>
      <c r="D99" s="3" t="str">
        <f>_xlfn.IFNA(INDEX(Program!A:A,MATCH(Table3101718192021222324[[#This Row],[*Program Code]],Program!B:B,0)),"")</f>
        <v/>
      </c>
      <c r="F99" s="10"/>
      <c r="G99" s="9"/>
      <c r="H99" s="11"/>
      <c r="I99" s="17"/>
      <c r="J99" s="15">
        <f>Table3101718192021222324[[#This Row],[*Unit Price]]*Table3101718192021222324[[#This Row],[*Quantity]]</f>
        <v>0</v>
      </c>
    </row>
    <row r="100" spans="2:11" ht="26.25" customHeight="1" x14ac:dyDescent="0.25">
      <c r="B100" s="9"/>
      <c r="C100" s="9"/>
      <c r="D100" s="3" t="str">
        <f>_xlfn.IFNA(INDEX(Program!A:A,MATCH(Table3101718192021222324[[#This Row],[*Program Code]],Program!B:B,0)),"")</f>
        <v/>
      </c>
      <c r="F100" s="10"/>
      <c r="G100" s="9"/>
      <c r="H100" s="11"/>
      <c r="I100" s="17"/>
      <c r="J100" s="15">
        <f>Table3101718192021222324[[#This Row],[*Unit Price]]*Table3101718192021222324[[#This Row],[*Quantity]]</f>
        <v>0</v>
      </c>
    </row>
    <row r="101" spans="2:11" ht="26.25" customHeight="1" x14ac:dyDescent="0.25">
      <c r="B101" s="12" t="s">
        <v>5</v>
      </c>
      <c r="C101" s="13"/>
      <c r="D101" s="12"/>
      <c r="E101" s="12"/>
      <c r="F101" s="12"/>
      <c r="G101" s="12"/>
      <c r="H101" s="12"/>
      <c r="I101" s="12"/>
      <c r="J101" s="14">
        <f>SUBTOTAL(109,Table3101718192021222324[Total Expenditure])</f>
        <v>0</v>
      </c>
      <c r="K101" s="12"/>
    </row>
    <row r="103" spans="2:11" ht="26.25" customHeight="1" x14ac:dyDescent="0.25">
      <c r="B103" s="4">
        <v>222010</v>
      </c>
      <c r="C103" s="5" t="s">
        <v>4358</v>
      </c>
      <c r="D103" s="6"/>
      <c r="E103" s="6"/>
      <c r="F103" s="16"/>
      <c r="G103" s="16"/>
      <c r="H103" s="16"/>
      <c r="I103" s="16"/>
      <c r="J103" s="16"/>
      <c r="K103" s="16"/>
    </row>
    <row r="104" spans="2:11" ht="43.5" customHeight="1" x14ac:dyDescent="0.25">
      <c r="B104" s="8" t="s">
        <v>1</v>
      </c>
      <c r="C104" s="8" t="s">
        <v>4337</v>
      </c>
      <c r="D104" s="8" t="s">
        <v>2</v>
      </c>
      <c r="E104" s="8" t="s">
        <v>4343</v>
      </c>
      <c r="F104" s="8" t="s">
        <v>4436</v>
      </c>
      <c r="G104" s="8" t="s">
        <v>4344</v>
      </c>
      <c r="H104" s="8" t="s">
        <v>4451</v>
      </c>
      <c r="I104" s="8" t="s">
        <v>4346</v>
      </c>
      <c r="J104" s="8" t="s">
        <v>3</v>
      </c>
      <c r="K104" s="8" t="s">
        <v>4</v>
      </c>
    </row>
    <row r="105" spans="2:11" ht="26.25" customHeight="1" x14ac:dyDescent="0.25">
      <c r="B105" s="9"/>
      <c r="C105" s="9"/>
      <c r="D105" s="2" t="str">
        <f>_xlfn.IFNA(INDEX(Program!A:A,MATCH(Table310171819202122232425[[#This Row],[*Program Code]],Program!B:B,0)),"")</f>
        <v/>
      </c>
      <c r="F105" s="10"/>
      <c r="G105" s="9"/>
      <c r="H105" s="11"/>
      <c r="I105" s="17"/>
      <c r="J105" s="15">
        <f>Table310171819202122232425[[#This Row],[*Unit Price]]*Table310171819202122232425[[#This Row],[*Quantity]]</f>
        <v>0</v>
      </c>
    </row>
    <row r="106" spans="2:11" ht="26.25" customHeight="1" x14ac:dyDescent="0.25">
      <c r="B106" s="9"/>
      <c r="C106" s="9"/>
      <c r="D106" s="2" t="str">
        <f>_xlfn.IFNA(INDEX(Program!A:A,MATCH(Table310171819202122232425[[#This Row],[*Program Code]],Program!B:B,0)),"")</f>
        <v/>
      </c>
      <c r="F106" s="10"/>
      <c r="G106" s="9"/>
      <c r="H106" s="11"/>
      <c r="I106" s="17"/>
      <c r="J106" s="15">
        <f>Table310171819202122232425[[#This Row],[*Unit Price]]*Table310171819202122232425[[#This Row],[*Quantity]]</f>
        <v>0</v>
      </c>
    </row>
    <row r="107" spans="2:11" ht="26.25" customHeight="1" x14ac:dyDescent="0.25">
      <c r="B107" s="9"/>
      <c r="C107" s="9"/>
      <c r="D107" s="2" t="str">
        <f>_xlfn.IFNA(INDEX(Program!A:A,MATCH(Table310171819202122232425[[#This Row],[*Program Code]],Program!B:B,0)),"")</f>
        <v/>
      </c>
      <c r="F107" s="10"/>
      <c r="G107" s="9"/>
      <c r="H107" s="11"/>
      <c r="I107" s="17"/>
      <c r="J107" s="15">
        <f>Table310171819202122232425[[#This Row],[*Unit Price]]*Table310171819202122232425[[#This Row],[*Quantity]]</f>
        <v>0</v>
      </c>
    </row>
    <row r="108" spans="2:11" ht="26.25" customHeight="1" x14ac:dyDescent="0.25">
      <c r="B108" s="9"/>
      <c r="C108" s="9"/>
      <c r="D108" s="2" t="str">
        <f>_xlfn.IFNA(INDEX(Program!A:A,MATCH(Table310171819202122232425[[#This Row],[*Program Code]],Program!B:B,0)),"")</f>
        <v/>
      </c>
      <c r="F108" s="10"/>
      <c r="G108" s="9"/>
      <c r="H108" s="11"/>
      <c r="I108" s="17"/>
      <c r="J108" s="15">
        <f>Table310171819202122232425[[#This Row],[*Unit Price]]*Table310171819202122232425[[#This Row],[*Quantity]]</f>
        <v>0</v>
      </c>
    </row>
    <row r="109" spans="2:11" ht="26.25" customHeight="1" x14ac:dyDescent="0.25">
      <c r="B109" s="9"/>
      <c r="C109" s="9"/>
      <c r="D109" s="2" t="str">
        <f>_xlfn.IFNA(INDEX(Program!A:A,MATCH(Table310171819202122232425[[#This Row],[*Program Code]],Program!B:B,0)),"")</f>
        <v/>
      </c>
      <c r="F109" s="10"/>
      <c r="G109" s="9"/>
      <c r="H109" s="11"/>
      <c r="I109" s="17"/>
      <c r="J109" s="15">
        <f>Table310171819202122232425[[#This Row],[*Unit Price]]*Table310171819202122232425[[#This Row],[*Quantity]]</f>
        <v>0</v>
      </c>
    </row>
    <row r="110" spans="2:11" ht="26.25" customHeight="1" x14ac:dyDescent="0.25">
      <c r="B110" s="9"/>
      <c r="C110" s="9"/>
      <c r="D110" s="3" t="str">
        <f>_xlfn.IFNA(INDEX(Program!A:A,MATCH(Table310171819202122232425[[#This Row],[*Program Code]],Program!B:B,0)),"")</f>
        <v/>
      </c>
      <c r="F110" s="10"/>
      <c r="G110" s="9"/>
      <c r="H110" s="11"/>
      <c r="I110" s="17"/>
      <c r="J110" s="15">
        <f>Table310171819202122232425[[#This Row],[*Unit Price]]*Table310171819202122232425[[#This Row],[*Quantity]]</f>
        <v>0</v>
      </c>
    </row>
    <row r="111" spans="2:11" ht="26.25" customHeight="1" x14ac:dyDescent="0.25">
      <c r="B111" s="9"/>
      <c r="C111" s="9"/>
      <c r="D111" s="3" t="str">
        <f>_xlfn.IFNA(INDEX(Program!A:A,MATCH(Table310171819202122232425[[#This Row],[*Program Code]],Program!B:B,0)),"")</f>
        <v/>
      </c>
      <c r="F111" s="10"/>
      <c r="G111" s="9"/>
      <c r="H111" s="11"/>
      <c r="I111" s="17"/>
      <c r="J111" s="15">
        <f>Table310171819202122232425[[#This Row],[*Unit Price]]*Table310171819202122232425[[#This Row],[*Quantity]]</f>
        <v>0</v>
      </c>
    </row>
    <row r="112" spans="2:11" ht="26.25" customHeight="1" x14ac:dyDescent="0.25">
      <c r="B112" s="12" t="s">
        <v>5</v>
      </c>
      <c r="C112" s="13"/>
      <c r="D112" s="12"/>
      <c r="E112" s="12"/>
      <c r="F112" s="12"/>
      <c r="G112" s="12"/>
      <c r="H112" s="12"/>
      <c r="I112" s="12"/>
      <c r="J112" s="14">
        <f>SUBTOTAL(109,Table310171819202122232425[Total Expenditure])</f>
        <v>0</v>
      </c>
      <c r="K112" s="12"/>
    </row>
    <row r="114" spans="2:11" ht="26.25" customHeight="1" x14ac:dyDescent="0.25">
      <c r="B114" s="4">
        <v>222011</v>
      </c>
      <c r="C114" s="5" t="s">
        <v>4359</v>
      </c>
      <c r="D114" s="6"/>
      <c r="E114" s="6"/>
      <c r="F114" s="16"/>
      <c r="G114" s="16"/>
      <c r="H114" s="16"/>
      <c r="I114" s="16"/>
      <c r="J114" s="16"/>
      <c r="K114" s="16"/>
    </row>
    <row r="115" spans="2:11" ht="43.5" customHeight="1" x14ac:dyDescent="0.25">
      <c r="B115" s="8" t="s">
        <v>1</v>
      </c>
      <c r="C115" s="8" t="s">
        <v>4337</v>
      </c>
      <c r="D115" s="8" t="s">
        <v>2</v>
      </c>
      <c r="E115" s="8" t="s">
        <v>4343</v>
      </c>
      <c r="F115" s="8" t="s">
        <v>4436</v>
      </c>
      <c r="G115" s="8" t="s">
        <v>4344</v>
      </c>
      <c r="H115" s="8" t="s">
        <v>4451</v>
      </c>
      <c r="I115" s="8" t="s">
        <v>4346</v>
      </c>
      <c r="J115" s="8" t="s">
        <v>3</v>
      </c>
      <c r="K115" s="8" t="s">
        <v>4</v>
      </c>
    </row>
    <row r="116" spans="2:11" ht="26.25" customHeight="1" x14ac:dyDescent="0.25">
      <c r="B116" s="9"/>
      <c r="C116" s="9"/>
      <c r="D116" s="2" t="str">
        <f>_xlfn.IFNA(INDEX(Program!A:A,MATCH(Table31017181920212223242526[[#This Row],[*Program Code]],Program!B:B,0)),"")</f>
        <v/>
      </c>
      <c r="F116" s="10"/>
      <c r="G116" s="9"/>
      <c r="H116" s="11"/>
      <c r="I116" s="17"/>
      <c r="J116" s="15">
        <f>Table31017181920212223242526[[#This Row],[*Unit Price]]*Table31017181920212223242526[[#This Row],[*Quantity]]</f>
        <v>0</v>
      </c>
    </row>
    <row r="117" spans="2:11" ht="26.25" customHeight="1" x14ac:dyDescent="0.25">
      <c r="B117" s="9"/>
      <c r="C117" s="9"/>
      <c r="D117" s="2" t="str">
        <f>_xlfn.IFNA(INDEX(Program!A:A,MATCH(Table31017181920212223242526[[#This Row],[*Program Code]],Program!B:B,0)),"")</f>
        <v/>
      </c>
      <c r="F117" s="10"/>
      <c r="G117" s="9"/>
      <c r="H117" s="11"/>
      <c r="I117" s="17"/>
      <c r="J117" s="15">
        <f>Table31017181920212223242526[[#This Row],[*Unit Price]]*Table31017181920212223242526[[#This Row],[*Quantity]]</f>
        <v>0</v>
      </c>
    </row>
    <row r="118" spans="2:11" ht="26.25" customHeight="1" x14ac:dyDescent="0.25">
      <c r="B118" s="9"/>
      <c r="C118" s="9"/>
      <c r="D118" s="2" t="str">
        <f>_xlfn.IFNA(INDEX(Program!A:A,MATCH(Table31017181920212223242526[[#This Row],[*Program Code]],Program!B:B,0)),"")</f>
        <v/>
      </c>
      <c r="F118" s="10"/>
      <c r="G118" s="9"/>
      <c r="H118" s="11"/>
      <c r="I118" s="17"/>
      <c r="J118" s="15">
        <f>Table31017181920212223242526[[#This Row],[*Unit Price]]*Table31017181920212223242526[[#This Row],[*Quantity]]</f>
        <v>0</v>
      </c>
    </row>
    <row r="119" spans="2:11" ht="26.25" customHeight="1" x14ac:dyDescent="0.25">
      <c r="B119" s="9"/>
      <c r="C119" s="9"/>
      <c r="D119" s="2" t="str">
        <f>_xlfn.IFNA(INDEX(Program!A:A,MATCH(Table31017181920212223242526[[#This Row],[*Program Code]],Program!B:B,0)),"")</f>
        <v/>
      </c>
      <c r="F119" s="10"/>
      <c r="G119" s="9"/>
      <c r="H119" s="11"/>
      <c r="I119" s="17"/>
      <c r="J119" s="15">
        <f>Table31017181920212223242526[[#This Row],[*Unit Price]]*Table31017181920212223242526[[#This Row],[*Quantity]]</f>
        <v>0</v>
      </c>
    </row>
    <row r="120" spans="2:11" ht="26.25" customHeight="1" x14ac:dyDescent="0.25">
      <c r="B120" s="9"/>
      <c r="C120" s="9"/>
      <c r="D120" s="2" t="str">
        <f>_xlfn.IFNA(INDEX(Program!A:A,MATCH(Table31017181920212223242526[[#This Row],[*Program Code]],Program!B:B,0)),"")</f>
        <v/>
      </c>
      <c r="F120" s="10"/>
      <c r="G120" s="9"/>
      <c r="H120" s="11"/>
      <c r="I120" s="17"/>
      <c r="J120" s="15">
        <f>Table31017181920212223242526[[#This Row],[*Unit Price]]*Table31017181920212223242526[[#This Row],[*Quantity]]</f>
        <v>0</v>
      </c>
    </row>
    <row r="121" spans="2:11" ht="26.25" customHeight="1" x14ac:dyDescent="0.25">
      <c r="B121" s="9"/>
      <c r="C121" s="9"/>
      <c r="D121" s="3" t="str">
        <f>_xlfn.IFNA(INDEX(Program!A:A,MATCH(Table31017181920212223242526[[#This Row],[*Program Code]],Program!B:B,0)),"")</f>
        <v/>
      </c>
      <c r="F121" s="10"/>
      <c r="G121" s="9"/>
      <c r="H121" s="11"/>
      <c r="I121" s="17"/>
      <c r="J121" s="15">
        <f>Table31017181920212223242526[[#This Row],[*Unit Price]]*Table31017181920212223242526[[#This Row],[*Quantity]]</f>
        <v>0</v>
      </c>
    </row>
    <row r="122" spans="2:11" ht="26.25" customHeight="1" x14ac:dyDescent="0.25">
      <c r="B122" s="9"/>
      <c r="C122" s="9"/>
      <c r="D122" s="3" t="str">
        <f>_xlfn.IFNA(INDEX(Program!A:A,MATCH(Table31017181920212223242526[[#This Row],[*Program Code]],Program!B:B,0)),"")</f>
        <v/>
      </c>
      <c r="F122" s="10"/>
      <c r="G122" s="9"/>
      <c r="H122" s="11"/>
      <c r="I122" s="17"/>
      <c r="J122" s="15">
        <f>Table31017181920212223242526[[#This Row],[*Unit Price]]*Table31017181920212223242526[[#This Row],[*Quantity]]</f>
        <v>0</v>
      </c>
    </row>
    <row r="123" spans="2:11" ht="26.25" customHeight="1" x14ac:dyDescent="0.25">
      <c r="B123" s="12" t="s">
        <v>5</v>
      </c>
      <c r="C123" s="13"/>
      <c r="D123" s="12"/>
      <c r="E123" s="12"/>
      <c r="F123" s="12"/>
      <c r="G123" s="12"/>
      <c r="H123" s="12"/>
      <c r="I123" s="12"/>
      <c r="J123" s="14">
        <f>SUBTOTAL(109,Table31017181920212223242526[Total Expenditure])</f>
        <v>0</v>
      </c>
      <c r="K123" s="12"/>
    </row>
    <row r="125" spans="2:11" ht="26.25" customHeight="1" x14ac:dyDescent="0.25">
      <c r="B125" s="4">
        <v>222999</v>
      </c>
      <c r="C125" s="5" t="s">
        <v>4360</v>
      </c>
      <c r="D125" s="6"/>
      <c r="E125" s="6"/>
      <c r="F125" s="16"/>
      <c r="G125" s="16"/>
      <c r="H125" s="16"/>
      <c r="I125" s="16"/>
      <c r="J125" s="16"/>
      <c r="K125" s="16"/>
    </row>
    <row r="126" spans="2:11" ht="43.5" customHeight="1" x14ac:dyDescent="0.25">
      <c r="B126" s="8" t="s">
        <v>1</v>
      </c>
      <c r="C126" s="8" t="s">
        <v>4337</v>
      </c>
      <c r="D126" s="8" t="s">
        <v>2</v>
      </c>
      <c r="E126" s="8" t="s">
        <v>4343</v>
      </c>
      <c r="F126" s="8" t="s">
        <v>4436</v>
      </c>
      <c r="G126" s="8" t="s">
        <v>4344</v>
      </c>
      <c r="H126" s="8" t="s">
        <v>4451</v>
      </c>
      <c r="I126" s="8" t="s">
        <v>4346</v>
      </c>
      <c r="J126" s="8" t="s">
        <v>3</v>
      </c>
      <c r="K126" s="8" t="s">
        <v>4</v>
      </c>
    </row>
    <row r="127" spans="2:11" ht="26.25" customHeight="1" x14ac:dyDescent="0.25">
      <c r="B127" s="9"/>
      <c r="C127" s="9"/>
      <c r="D127" s="2" t="str">
        <f>_xlfn.IFNA(INDEX(Program!A:A,MATCH(Table3101718192021222324252627[[#This Row],[*Program Code]],Program!B:B,0)),"")</f>
        <v/>
      </c>
      <c r="F127" s="10"/>
      <c r="G127" s="9"/>
      <c r="H127" s="11"/>
      <c r="I127" s="17"/>
      <c r="J127" s="15">
        <f>Table3101718192021222324252627[[#This Row],[*Unit Price]]*Table3101718192021222324252627[[#This Row],[*Quantity]]</f>
        <v>0</v>
      </c>
    </row>
    <row r="128" spans="2:11" ht="26.25" customHeight="1" x14ac:dyDescent="0.25">
      <c r="B128" s="9"/>
      <c r="C128" s="9"/>
      <c r="D128" s="2" t="str">
        <f>_xlfn.IFNA(INDEX(Program!A:A,MATCH(Table3101718192021222324252627[[#This Row],[*Program Code]],Program!B:B,0)),"")</f>
        <v/>
      </c>
      <c r="F128" s="10"/>
      <c r="G128" s="9"/>
      <c r="H128" s="11"/>
      <c r="I128" s="17"/>
      <c r="J128" s="15">
        <f>Table3101718192021222324252627[[#This Row],[*Unit Price]]*Table3101718192021222324252627[[#This Row],[*Quantity]]</f>
        <v>0</v>
      </c>
    </row>
    <row r="129" spans="2:11" ht="26.25" customHeight="1" x14ac:dyDescent="0.25">
      <c r="B129" s="9"/>
      <c r="C129" s="9"/>
      <c r="D129" s="2" t="str">
        <f>_xlfn.IFNA(INDEX(Program!A:A,MATCH(Table3101718192021222324252627[[#This Row],[*Program Code]],Program!B:B,0)),"")</f>
        <v/>
      </c>
      <c r="F129" s="10"/>
      <c r="G129" s="9"/>
      <c r="H129" s="11"/>
      <c r="I129" s="17"/>
      <c r="J129" s="15">
        <f>Table3101718192021222324252627[[#This Row],[*Unit Price]]*Table3101718192021222324252627[[#This Row],[*Quantity]]</f>
        <v>0</v>
      </c>
    </row>
    <row r="130" spans="2:11" ht="26.25" customHeight="1" x14ac:dyDescent="0.25">
      <c r="B130" s="9"/>
      <c r="C130" s="9"/>
      <c r="D130" s="2" t="str">
        <f>_xlfn.IFNA(INDEX(Program!A:A,MATCH(Table3101718192021222324252627[[#This Row],[*Program Code]],Program!B:B,0)),"")</f>
        <v/>
      </c>
      <c r="F130" s="10"/>
      <c r="G130" s="9"/>
      <c r="H130" s="11"/>
      <c r="I130" s="17"/>
      <c r="J130" s="15">
        <f>Table3101718192021222324252627[[#This Row],[*Unit Price]]*Table3101718192021222324252627[[#This Row],[*Quantity]]</f>
        <v>0</v>
      </c>
    </row>
    <row r="131" spans="2:11" ht="26.25" customHeight="1" x14ac:dyDescent="0.25">
      <c r="B131" s="9"/>
      <c r="C131" s="9"/>
      <c r="D131" s="2" t="str">
        <f>_xlfn.IFNA(INDEX(Program!A:A,MATCH(Table3101718192021222324252627[[#This Row],[*Program Code]],Program!B:B,0)),"")</f>
        <v/>
      </c>
      <c r="F131" s="10"/>
      <c r="G131" s="9"/>
      <c r="H131" s="11"/>
      <c r="I131" s="17"/>
      <c r="J131" s="15">
        <f>Table3101718192021222324252627[[#This Row],[*Unit Price]]*Table3101718192021222324252627[[#This Row],[*Quantity]]</f>
        <v>0</v>
      </c>
    </row>
    <row r="132" spans="2:11" ht="26.25" customHeight="1" x14ac:dyDescent="0.25">
      <c r="B132" s="9"/>
      <c r="C132" s="9"/>
      <c r="D132" s="3" t="str">
        <f>_xlfn.IFNA(INDEX(Program!A:A,MATCH(Table3101718192021222324252627[[#This Row],[*Program Code]],Program!B:B,0)),"")</f>
        <v/>
      </c>
      <c r="F132" s="10"/>
      <c r="G132" s="9"/>
      <c r="H132" s="11"/>
      <c r="I132" s="17"/>
      <c r="J132" s="15">
        <f>Table3101718192021222324252627[[#This Row],[*Unit Price]]*Table3101718192021222324252627[[#This Row],[*Quantity]]</f>
        <v>0</v>
      </c>
    </row>
    <row r="133" spans="2:11" ht="26.25" customHeight="1" x14ac:dyDescent="0.25">
      <c r="B133" s="9"/>
      <c r="C133" s="9"/>
      <c r="D133" s="3" t="str">
        <f>_xlfn.IFNA(INDEX(Program!A:A,MATCH(Table3101718192021222324252627[[#This Row],[*Program Code]],Program!B:B,0)),"")</f>
        <v/>
      </c>
      <c r="F133" s="10"/>
      <c r="G133" s="9"/>
      <c r="H133" s="11"/>
      <c r="I133" s="17"/>
      <c r="J133" s="15">
        <f>Table3101718192021222324252627[[#This Row],[*Unit Price]]*Table3101718192021222324252627[[#This Row],[*Quantity]]</f>
        <v>0</v>
      </c>
    </row>
    <row r="134" spans="2:11" ht="26.25" customHeight="1" x14ac:dyDescent="0.25">
      <c r="B134" s="12" t="s">
        <v>5</v>
      </c>
      <c r="C134" s="13"/>
      <c r="D134" s="12"/>
      <c r="E134" s="12"/>
      <c r="F134" s="12"/>
      <c r="G134" s="12"/>
      <c r="H134" s="12"/>
      <c r="I134" s="12"/>
      <c r="J134" s="14">
        <f>SUBTOTAL(109,Table3101718192021222324252627[Total Expenditure])</f>
        <v>0</v>
      </c>
      <c r="K134" s="12"/>
    </row>
  </sheetData>
  <sheetProtection formatColumns="0" insertRows="0" deleteRows="0"/>
  <pageMargins left="0.7" right="0.7" top="0.75" bottom="0.75" header="0.3" footer="0.3"/>
  <customProperties>
    <customPr name="_pios_id" r:id="rId1"/>
  </customProperties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2:K299"/>
  <sheetViews>
    <sheetView zoomScale="85" zoomScaleNormal="85" workbookViewId="0">
      <selection activeCell="J281" sqref="J281"/>
    </sheetView>
  </sheetViews>
  <sheetFormatPr defaultRowHeight="26.25" customHeight="1" x14ac:dyDescent="0.25"/>
  <cols>
    <col min="1" max="2" width="9.140625" style="7"/>
    <col min="3" max="3" width="22" style="7" customWidth="1"/>
    <col min="4" max="4" width="33.42578125" style="7" customWidth="1"/>
    <col min="5" max="5" width="37.140625" style="7" customWidth="1"/>
    <col min="6" max="6" width="13.42578125" style="7" customWidth="1"/>
    <col min="7" max="7" width="20.42578125" style="7" customWidth="1"/>
    <col min="8" max="8" width="14.5703125" style="7" customWidth="1"/>
    <col min="9" max="9" width="13.7109375" style="7" customWidth="1"/>
    <col min="10" max="10" width="18.85546875" style="7" customWidth="1"/>
    <col min="11" max="11" width="50.140625" style="7" customWidth="1"/>
    <col min="12" max="16384" width="9.140625" style="7"/>
  </cols>
  <sheetData>
    <row r="2" spans="2:11" ht="26.25" customHeight="1" x14ac:dyDescent="0.25">
      <c r="B2" s="18" t="s">
        <v>4441</v>
      </c>
    </row>
    <row r="4" spans="2:11" ht="26.25" customHeight="1" x14ac:dyDescent="0.25">
      <c r="B4" s="4">
        <v>223001</v>
      </c>
      <c r="C4" s="5" t="s">
        <v>4361</v>
      </c>
      <c r="D4" s="6"/>
      <c r="E4" s="6"/>
      <c r="F4" s="16"/>
      <c r="G4" s="16"/>
      <c r="H4" s="16"/>
      <c r="I4" s="16"/>
      <c r="J4" s="16"/>
      <c r="K4" s="16"/>
    </row>
    <row r="5" spans="2:11" ht="43.5" customHeight="1" x14ac:dyDescent="0.25">
      <c r="B5" s="8" t="s">
        <v>1</v>
      </c>
      <c r="C5" s="8" t="s">
        <v>4337</v>
      </c>
      <c r="D5" s="8" t="s">
        <v>2</v>
      </c>
      <c r="E5" s="8" t="s">
        <v>4453</v>
      </c>
      <c r="F5" s="8" t="s">
        <v>4435</v>
      </c>
      <c r="G5" s="8" t="s">
        <v>4363</v>
      </c>
      <c r="H5" s="8" t="s">
        <v>4452</v>
      </c>
      <c r="I5" s="8" t="s">
        <v>4362</v>
      </c>
      <c r="J5" s="8" t="s">
        <v>3</v>
      </c>
      <c r="K5" s="8" t="s">
        <v>4</v>
      </c>
    </row>
    <row r="6" spans="2:11" ht="26.25" customHeight="1" x14ac:dyDescent="0.25">
      <c r="B6" s="9"/>
      <c r="C6" s="9"/>
      <c r="D6" s="2" t="str">
        <f>_xlfn.IFNA(INDEX(Program!A:A,MATCH(Table31028[[#This Row],[*Program Code]],Program!B:B,0)),"")</f>
        <v/>
      </c>
      <c r="F6" s="10"/>
      <c r="G6" s="9"/>
      <c r="H6" s="11"/>
      <c r="I6" s="17"/>
      <c r="J6" s="15">
        <f>Table31028[[#This Row],[*Monthy Charge]]*12</f>
        <v>0</v>
      </c>
    </row>
    <row r="7" spans="2:11" ht="26.25" customHeight="1" x14ac:dyDescent="0.25">
      <c r="B7" s="9"/>
      <c r="C7" s="9"/>
      <c r="D7" s="2" t="str">
        <f>_xlfn.IFNA(INDEX(Program!A:A,MATCH(Table31028[[#This Row],[*Program Code]],Program!B:B,0)),"")</f>
        <v/>
      </c>
      <c r="F7" s="10"/>
      <c r="G7" s="9"/>
      <c r="H7" s="11"/>
      <c r="I7" s="17"/>
      <c r="J7" s="15">
        <f>Table31028[[#This Row],[*Monthy Charge]]*12</f>
        <v>0</v>
      </c>
    </row>
    <row r="8" spans="2:11" ht="26.25" customHeight="1" x14ac:dyDescent="0.25">
      <c r="B8" s="9"/>
      <c r="C8" s="9"/>
      <c r="D8" s="2" t="str">
        <f>_xlfn.IFNA(INDEX(Program!A:A,MATCH(Table31028[[#This Row],[*Program Code]],Program!B:B,0)),"")</f>
        <v/>
      </c>
      <c r="F8" s="10"/>
      <c r="G8" s="9"/>
      <c r="H8" s="11"/>
      <c r="I8" s="17"/>
      <c r="J8" s="15">
        <f>Table31028[[#This Row],[*Monthy Charge]]*12</f>
        <v>0</v>
      </c>
    </row>
    <row r="9" spans="2:11" ht="26.25" customHeight="1" x14ac:dyDescent="0.25">
      <c r="B9" s="9"/>
      <c r="C9" s="9"/>
      <c r="D9" s="2" t="str">
        <f>_xlfn.IFNA(INDEX(Program!A:A,MATCH(Table31028[[#This Row],[*Program Code]],Program!B:B,0)),"")</f>
        <v/>
      </c>
      <c r="F9" s="10"/>
      <c r="G9" s="9"/>
      <c r="H9" s="11"/>
      <c r="I9" s="17"/>
      <c r="J9" s="15">
        <f>Table31028[[#This Row],[*Monthy Charge]]*12</f>
        <v>0</v>
      </c>
    </row>
    <row r="10" spans="2:11" ht="26.25" customHeight="1" x14ac:dyDescent="0.25">
      <c r="B10" s="9"/>
      <c r="C10" s="9"/>
      <c r="D10" s="2" t="str">
        <f>_xlfn.IFNA(INDEX(Program!A:A,MATCH(Table31028[[#This Row],[*Program Code]],Program!B:B,0)),"")</f>
        <v/>
      </c>
      <c r="F10" s="10"/>
      <c r="G10" s="9"/>
      <c r="H10" s="11"/>
      <c r="I10" s="17"/>
      <c r="J10" s="15">
        <f>Table31028[[#This Row],[*Monthy Charge]]*12</f>
        <v>0</v>
      </c>
    </row>
    <row r="11" spans="2:11" ht="26.25" customHeight="1" x14ac:dyDescent="0.25">
      <c r="B11" s="9"/>
      <c r="C11" s="9"/>
      <c r="D11" s="3" t="str">
        <f>_xlfn.IFNA(INDEX(Program!A:A,MATCH(Table31028[[#This Row],[*Program Code]],Program!B:B,0)),"")</f>
        <v/>
      </c>
      <c r="F11" s="10"/>
      <c r="G11" s="9"/>
      <c r="H11" s="11"/>
      <c r="I11" s="17"/>
      <c r="J11" s="15">
        <f>Table31028[[#This Row],[*Monthy Charge]]*12</f>
        <v>0</v>
      </c>
    </row>
    <row r="12" spans="2:11" ht="26.25" customHeight="1" x14ac:dyDescent="0.25">
      <c r="B12" s="9"/>
      <c r="C12" s="9"/>
      <c r="D12" s="3" t="str">
        <f>_xlfn.IFNA(INDEX(Program!A:A,MATCH(Table31028[[#This Row],[*Program Code]],Program!B:B,0)),"")</f>
        <v/>
      </c>
      <c r="F12" s="10"/>
      <c r="G12" s="9"/>
      <c r="H12" s="11"/>
      <c r="I12" s="17"/>
      <c r="J12" s="15">
        <f>Table31028[[#This Row],[*Monthy Charge]]*12</f>
        <v>0</v>
      </c>
    </row>
    <row r="13" spans="2:11" ht="26.25" customHeight="1" x14ac:dyDescent="0.25">
      <c r="B13" s="12" t="s">
        <v>5</v>
      </c>
      <c r="C13" s="13"/>
      <c r="D13" s="12"/>
      <c r="E13" s="12"/>
      <c r="F13" s="12"/>
      <c r="G13" s="12"/>
      <c r="H13" s="12"/>
      <c r="I13" s="12"/>
      <c r="J13" s="14">
        <f>SUBTOTAL(109,Table31028[Total Expenditure])</f>
        <v>0</v>
      </c>
      <c r="K13" s="12"/>
    </row>
    <row r="15" spans="2:11" ht="26.25" customHeight="1" x14ac:dyDescent="0.25">
      <c r="B15" s="4">
        <v>223002</v>
      </c>
      <c r="C15" s="5" t="s">
        <v>4364</v>
      </c>
      <c r="D15" s="6"/>
      <c r="E15" s="6"/>
      <c r="F15" s="16"/>
      <c r="G15" s="16"/>
      <c r="H15" s="16"/>
      <c r="I15" s="16"/>
      <c r="J15" s="16"/>
      <c r="K15" s="16"/>
    </row>
    <row r="16" spans="2:11" ht="43.5" customHeight="1" x14ac:dyDescent="0.25">
      <c r="B16" s="8" t="s">
        <v>1</v>
      </c>
      <c r="C16" s="8" t="s">
        <v>4337</v>
      </c>
      <c r="D16" s="8" t="s">
        <v>2</v>
      </c>
      <c r="E16" s="8" t="s">
        <v>4453</v>
      </c>
      <c r="F16" s="8" t="s">
        <v>4435</v>
      </c>
      <c r="G16" s="8" t="s">
        <v>4363</v>
      </c>
      <c r="H16" s="8" t="s">
        <v>4452</v>
      </c>
      <c r="I16" s="8" t="s">
        <v>4362</v>
      </c>
      <c r="J16" s="8" t="s">
        <v>3</v>
      </c>
      <c r="K16" s="8" t="s">
        <v>4</v>
      </c>
    </row>
    <row r="17" spans="2:11" ht="26.25" customHeight="1" x14ac:dyDescent="0.25">
      <c r="B17" s="9"/>
      <c r="C17" s="9"/>
      <c r="D17" s="2" t="str">
        <f>_xlfn.IFNA(INDEX(Program!A:A,MATCH(Table3102840[[#This Row],[*Program Code]],Program!B:B,0)),"")</f>
        <v/>
      </c>
      <c r="F17" s="10"/>
      <c r="G17" s="9"/>
      <c r="H17" s="11"/>
      <c r="I17" s="17"/>
      <c r="J17" s="15">
        <f>Table3102840[[#This Row],[*Monthy Charge]]*12</f>
        <v>0</v>
      </c>
    </row>
    <row r="18" spans="2:11" ht="26.25" customHeight="1" x14ac:dyDescent="0.25">
      <c r="B18" s="9"/>
      <c r="C18" s="9"/>
      <c r="D18" s="2" t="str">
        <f>_xlfn.IFNA(INDEX(Program!A:A,MATCH(Table3102840[[#This Row],[*Program Code]],Program!B:B,0)),"")</f>
        <v/>
      </c>
      <c r="F18" s="10"/>
      <c r="G18" s="9"/>
      <c r="H18" s="11"/>
      <c r="I18" s="17"/>
      <c r="J18" s="15">
        <f>Table3102840[[#This Row],[*Monthy Charge]]*12</f>
        <v>0</v>
      </c>
    </row>
    <row r="19" spans="2:11" ht="26.25" customHeight="1" x14ac:dyDescent="0.25">
      <c r="B19" s="9"/>
      <c r="C19" s="9"/>
      <c r="D19" s="2" t="str">
        <f>_xlfn.IFNA(INDEX(Program!A:A,MATCH(Table3102840[[#This Row],[*Program Code]],Program!B:B,0)),"")</f>
        <v/>
      </c>
      <c r="F19" s="10"/>
      <c r="G19" s="9"/>
      <c r="H19" s="11"/>
      <c r="I19" s="17"/>
      <c r="J19" s="15">
        <f>Table3102840[[#This Row],[*Monthy Charge]]*12</f>
        <v>0</v>
      </c>
    </row>
    <row r="20" spans="2:11" ht="26.25" customHeight="1" x14ac:dyDescent="0.25">
      <c r="B20" s="9"/>
      <c r="C20" s="9"/>
      <c r="D20" s="2" t="str">
        <f>_xlfn.IFNA(INDEX(Program!A:A,MATCH(Table3102840[[#This Row],[*Program Code]],Program!B:B,0)),"")</f>
        <v/>
      </c>
      <c r="F20" s="10"/>
      <c r="G20" s="9"/>
      <c r="H20" s="11"/>
      <c r="I20" s="17"/>
      <c r="J20" s="15">
        <f>Table3102840[[#This Row],[*Monthy Charge]]*12</f>
        <v>0</v>
      </c>
    </row>
    <row r="21" spans="2:11" ht="26.25" customHeight="1" x14ac:dyDescent="0.25">
      <c r="B21" s="9"/>
      <c r="C21" s="9"/>
      <c r="D21" s="2" t="str">
        <f>_xlfn.IFNA(INDEX(Program!A:A,MATCH(Table3102840[[#This Row],[*Program Code]],Program!B:B,0)),"")</f>
        <v/>
      </c>
      <c r="F21" s="10"/>
      <c r="G21" s="9"/>
      <c r="H21" s="11"/>
      <c r="I21" s="17"/>
      <c r="J21" s="15">
        <f>Table3102840[[#This Row],[*Monthy Charge]]*12</f>
        <v>0</v>
      </c>
    </row>
    <row r="22" spans="2:11" ht="26.25" customHeight="1" x14ac:dyDescent="0.25">
      <c r="B22" s="9"/>
      <c r="C22" s="9"/>
      <c r="D22" s="3" t="str">
        <f>_xlfn.IFNA(INDEX(Program!A:A,MATCH(Table3102840[[#This Row],[*Program Code]],Program!B:B,0)),"")</f>
        <v/>
      </c>
      <c r="F22" s="10"/>
      <c r="G22" s="9"/>
      <c r="H22" s="11"/>
      <c r="I22" s="17"/>
      <c r="J22" s="15">
        <f>Table3102840[[#This Row],[*Monthy Charge]]*12</f>
        <v>0</v>
      </c>
    </row>
    <row r="23" spans="2:11" ht="26.25" customHeight="1" x14ac:dyDescent="0.25">
      <c r="B23" s="9"/>
      <c r="C23" s="9"/>
      <c r="D23" s="3" t="str">
        <f>_xlfn.IFNA(INDEX(Program!A:A,MATCH(Table3102840[[#This Row],[*Program Code]],Program!B:B,0)),"")</f>
        <v/>
      </c>
      <c r="F23" s="10"/>
      <c r="G23" s="9"/>
      <c r="H23" s="11"/>
      <c r="I23" s="17"/>
      <c r="J23" s="15">
        <f>Table3102840[[#This Row],[*Monthy Charge]]*12</f>
        <v>0</v>
      </c>
    </row>
    <row r="24" spans="2:11" ht="26.25" customHeight="1" x14ac:dyDescent="0.25">
      <c r="B24" s="12" t="s">
        <v>5</v>
      </c>
      <c r="C24" s="13"/>
      <c r="D24" s="12"/>
      <c r="E24" s="12"/>
      <c r="F24" s="12"/>
      <c r="G24" s="12"/>
      <c r="H24" s="12"/>
      <c r="I24" s="12"/>
      <c r="J24" s="14">
        <f>SUBTOTAL(109,Table3102840[Total Expenditure])</f>
        <v>0</v>
      </c>
      <c r="K24" s="12"/>
    </row>
    <row r="26" spans="2:11" ht="26.25" customHeight="1" x14ac:dyDescent="0.25">
      <c r="B26" s="4">
        <v>223003</v>
      </c>
      <c r="C26" s="5" t="s">
        <v>4365</v>
      </c>
      <c r="D26" s="6"/>
      <c r="E26" s="6"/>
      <c r="F26" s="16"/>
      <c r="G26" s="16"/>
      <c r="H26" s="16"/>
      <c r="I26" s="16"/>
      <c r="J26" s="16"/>
      <c r="K26" s="16"/>
    </row>
    <row r="27" spans="2:11" ht="43.5" customHeight="1" x14ac:dyDescent="0.25">
      <c r="B27" s="8" t="s">
        <v>1</v>
      </c>
      <c r="C27" s="8" t="s">
        <v>4337</v>
      </c>
      <c r="D27" s="8" t="s">
        <v>2</v>
      </c>
      <c r="E27" s="8" t="s">
        <v>4453</v>
      </c>
      <c r="F27" s="8" t="s">
        <v>4435</v>
      </c>
      <c r="G27" s="8" t="s">
        <v>4363</v>
      </c>
      <c r="H27" s="8" t="s">
        <v>4452</v>
      </c>
      <c r="I27" s="8" t="s">
        <v>4362</v>
      </c>
      <c r="J27" s="8" t="s">
        <v>3</v>
      </c>
      <c r="K27" s="8" t="s">
        <v>4</v>
      </c>
    </row>
    <row r="28" spans="2:11" ht="26.25" customHeight="1" x14ac:dyDescent="0.25">
      <c r="B28" s="9"/>
      <c r="C28" s="9"/>
      <c r="D28" s="2" t="str">
        <f>_xlfn.IFNA(INDEX(Program!A:A,MATCH(Table310284041[[#This Row],[*Program Code]],Program!B:B,0)),"")</f>
        <v/>
      </c>
      <c r="F28" s="10"/>
      <c r="G28" s="9"/>
      <c r="H28" s="11"/>
      <c r="I28" s="17"/>
      <c r="J28" s="15">
        <f>Table310284041[[#This Row],[*Monthy Charge]]*12</f>
        <v>0</v>
      </c>
    </row>
    <row r="29" spans="2:11" ht="26.25" customHeight="1" x14ac:dyDescent="0.25">
      <c r="B29" s="9"/>
      <c r="C29" s="9"/>
      <c r="D29" s="2" t="str">
        <f>_xlfn.IFNA(INDEX(Program!A:A,MATCH(Table310284041[[#This Row],[*Program Code]],Program!B:B,0)),"")</f>
        <v/>
      </c>
      <c r="F29" s="10"/>
      <c r="G29" s="9"/>
      <c r="H29" s="11"/>
      <c r="I29" s="17"/>
      <c r="J29" s="15">
        <f>Table310284041[[#This Row],[*Monthy Charge]]*12</f>
        <v>0</v>
      </c>
    </row>
    <row r="30" spans="2:11" ht="26.25" customHeight="1" x14ac:dyDescent="0.25">
      <c r="B30" s="9"/>
      <c r="C30" s="9"/>
      <c r="D30" s="2" t="str">
        <f>_xlfn.IFNA(INDEX(Program!A:A,MATCH(Table310284041[[#This Row],[*Program Code]],Program!B:B,0)),"")</f>
        <v/>
      </c>
      <c r="F30" s="10"/>
      <c r="G30" s="9"/>
      <c r="H30" s="11"/>
      <c r="I30" s="17"/>
      <c r="J30" s="15">
        <f>Table310284041[[#This Row],[*Monthy Charge]]*12</f>
        <v>0</v>
      </c>
    </row>
    <row r="31" spans="2:11" ht="26.25" customHeight="1" x14ac:dyDescent="0.25">
      <c r="B31" s="9"/>
      <c r="C31" s="9"/>
      <c r="D31" s="2" t="str">
        <f>_xlfn.IFNA(INDEX(Program!A:A,MATCH(Table310284041[[#This Row],[*Program Code]],Program!B:B,0)),"")</f>
        <v/>
      </c>
      <c r="F31" s="10"/>
      <c r="G31" s="9"/>
      <c r="H31" s="11"/>
      <c r="I31" s="17"/>
      <c r="J31" s="15">
        <f>Table310284041[[#This Row],[*Monthy Charge]]*12</f>
        <v>0</v>
      </c>
    </row>
    <row r="32" spans="2:11" ht="26.25" customHeight="1" x14ac:dyDescent="0.25">
      <c r="B32" s="9"/>
      <c r="C32" s="9"/>
      <c r="D32" s="2" t="str">
        <f>_xlfn.IFNA(INDEX(Program!A:A,MATCH(Table310284041[[#This Row],[*Program Code]],Program!B:B,0)),"")</f>
        <v/>
      </c>
      <c r="F32" s="10"/>
      <c r="G32" s="9"/>
      <c r="H32" s="11"/>
      <c r="I32" s="17"/>
      <c r="J32" s="15">
        <f>Table310284041[[#This Row],[*Monthy Charge]]*12</f>
        <v>0</v>
      </c>
    </row>
    <row r="33" spans="2:11" ht="26.25" customHeight="1" x14ac:dyDescent="0.25">
      <c r="B33" s="9"/>
      <c r="C33" s="9"/>
      <c r="D33" s="3" t="str">
        <f>_xlfn.IFNA(INDEX(Program!A:A,MATCH(Table310284041[[#This Row],[*Program Code]],Program!B:B,0)),"")</f>
        <v/>
      </c>
      <c r="F33" s="10"/>
      <c r="G33" s="9"/>
      <c r="H33" s="11"/>
      <c r="I33" s="17"/>
      <c r="J33" s="15">
        <f>Table310284041[[#This Row],[*Monthy Charge]]*12</f>
        <v>0</v>
      </c>
    </row>
    <row r="34" spans="2:11" ht="26.25" customHeight="1" x14ac:dyDescent="0.25">
      <c r="B34" s="9"/>
      <c r="C34" s="9"/>
      <c r="D34" s="3" t="str">
        <f>_xlfn.IFNA(INDEX(Program!A:A,MATCH(Table310284041[[#This Row],[*Program Code]],Program!B:B,0)),"")</f>
        <v/>
      </c>
      <c r="F34" s="10"/>
      <c r="G34" s="9"/>
      <c r="H34" s="11"/>
      <c r="I34" s="17"/>
      <c r="J34" s="15">
        <f>Table310284041[[#This Row],[*Monthy Charge]]*12</f>
        <v>0</v>
      </c>
    </row>
    <row r="35" spans="2:11" ht="26.25" customHeight="1" x14ac:dyDescent="0.25">
      <c r="B35" s="12" t="s">
        <v>5</v>
      </c>
      <c r="C35" s="13"/>
      <c r="D35" s="12"/>
      <c r="E35" s="12"/>
      <c r="F35" s="12"/>
      <c r="G35" s="12"/>
      <c r="H35" s="12"/>
      <c r="I35" s="12"/>
      <c r="J35" s="14">
        <f>SUBTOTAL(109,Table310284041[Total Expenditure])</f>
        <v>0</v>
      </c>
      <c r="K35" s="12"/>
    </row>
    <row r="37" spans="2:11" ht="26.25" customHeight="1" x14ac:dyDescent="0.25">
      <c r="B37" s="4">
        <v>223004</v>
      </c>
      <c r="C37" s="5" t="s">
        <v>4366</v>
      </c>
      <c r="D37" s="6"/>
      <c r="E37" s="6"/>
      <c r="F37" s="16"/>
      <c r="G37" s="16"/>
      <c r="H37" s="16"/>
      <c r="I37" s="16"/>
      <c r="J37" s="16"/>
      <c r="K37" s="16"/>
    </row>
    <row r="38" spans="2:11" ht="43.5" customHeight="1" x14ac:dyDescent="0.25">
      <c r="B38" s="8" t="s">
        <v>1</v>
      </c>
      <c r="C38" s="8" t="s">
        <v>4337</v>
      </c>
      <c r="D38" s="8" t="s">
        <v>2</v>
      </c>
      <c r="E38" s="8" t="s">
        <v>4453</v>
      </c>
      <c r="F38" s="8" t="s">
        <v>4435</v>
      </c>
      <c r="G38" s="8" t="s">
        <v>4363</v>
      </c>
      <c r="H38" s="8" t="s">
        <v>4452</v>
      </c>
      <c r="I38" s="8" t="s">
        <v>4362</v>
      </c>
      <c r="J38" s="8" t="s">
        <v>3</v>
      </c>
      <c r="K38" s="8" t="s">
        <v>4</v>
      </c>
    </row>
    <row r="39" spans="2:11" ht="26.25" customHeight="1" x14ac:dyDescent="0.25">
      <c r="B39" s="9"/>
      <c r="C39" s="9"/>
      <c r="D39" s="2" t="str">
        <f>_xlfn.IFNA(INDEX(Program!A:A,MATCH(Table31028404142[[#This Row],[*Program Code]],Program!B:B,0)),"")</f>
        <v/>
      </c>
      <c r="F39" s="10"/>
      <c r="G39" s="9"/>
      <c r="H39" s="11"/>
      <c r="I39" s="17"/>
      <c r="J39" s="15">
        <f>Table31028404142[[#This Row],[*Monthy Charge]]*12</f>
        <v>0</v>
      </c>
    </row>
    <row r="40" spans="2:11" ht="26.25" customHeight="1" x14ac:dyDescent="0.25">
      <c r="B40" s="9"/>
      <c r="C40" s="9"/>
      <c r="D40" s="2" t="str">
        <f>_xlfn.IFNA(INDEX(Program!A:A,MATCH(Table31028404142[[#This Row],[*Program Code]],Program!B:B,0)),"")</f>
        <v/>
      </c>
      <c r="F40" s="10"/>
      <c r="G40" s="9"/>
      <c r="H40" s="11"/>
      <c r="I40" s="17"/>
      <c r="J40" s="15">
        <f>Table31028404142[[#This Row],[*Monthy Charge]]*12</f>
        <v>0</v>
      </c>
    </row>
    <row r="41" spans="2:11" ht="26.25" customHeight="1" x14ac:dyDescent="0.25">
      <c r="B41" s="9"/>
      <c r="C41" s="9"/>
      <c r="D41" s="2" t="str">
        <f>_xlfn.IFNA(INDEX(Program!A:A,MATCH(Table31028404142[[#This Row],[*Program Code]],Program!B:B,0)),"")</f>
        <v/>
      </c>
      <c r="F41" s="10"/>
      <c r="G41" s="9"/>
      <c r="H41" s="11"/>
      <c r="I41" s="17"/>
      <c r="J41" s="15">
        <f>Table31028404142[[#This Row],[*Monthy Charge]]*12</f>
        <v>0</v>
      </c>
    </row>
    <row r="42" spans="2:11" ht="26.25" customHeight="1" x14ac:dyDescent="0.25">
      <c r="B42" s="9"/>
      <c r="C42" s="9"/>
      <c r="D42" s="2" t="str">
        <f>_xlfn.IFNA(INDEX(Program!A:A,MATCH(Table31028404142[[#This Row],[*Program Code]],Program!B:B,0)),"")</f>
        <v/>
      </c>
      <c r="F42" s="10"/>
      <c r="G42" s="9"/>
      <c r="H42" s="11"/>
      <c r="I42" s="17"/>
      <c r="J42" s="15">
        <f>Table31028404142[[#This Row],[*Monthy Charge]]*12</f>
        <v>0</v>
      </c>
    </row>
    <row r="43" spans="2:11" ht="26.25" customHeight="1" x14ac:dyDescent="0.25">
      <c r="B43" s="9"/>
      <c r="C43" s="9"/>
      <c r="D43" s="2" t="str">
        <f>_xlfn.IFNA(INDEX(Program!A:A,MATCH(Table31028404142[[#This Row],[*Program Code]],Program!B:B,0)),"")</f>
        <v/>
      </c>
      <c r="F43" s="10"/>
      <c r="G43" s="9"/>
      <c r="H43" s="11"/>
      <c r="I43" s="17"/>
      <c r="J43" s="15">
        <f>Table31028404142[[#This Row],[*Monthy Charge]]*12</f>
        <v>0</v>
      </c>
    </row>
    <row r="44" spans="2:11" ht="26.25" customHeight="1" x14ac:dyDescent="0.25">
      <c r="B44" s="9"/>
      <c r="C44" s="9"/>
      <c r="D44" s="3" t="str">
        <f>_xlfn.IFNA(INDEX(Program!A:A,MATCH(Table31028404142[[#This Row],[*Program Code]],Program!B:B,0)),"")</f>
        <v/>
      </c>
      <c r="F44" s="10"/>
      <c r="G44" s="9"/>
      <c r="H44" s="11"/>
      <c r="I44" s="17"/>
      <c r="J44" s="15">
        <f>Table31028404142[[#This Row],[*Monthy Charge]]*12</f>
        <v>0</v>
      </c>
    </row>
    <row r="45" spans="2:11" ht="26.25" customHeight="1" x14ac:dyDescent="0.25">
      <c r="B45" s="9"/>
      <c r="C45" s="9"/>
      <c r="D45" s="3" t="str">
        <f>_xlfn.IFNA(INDEX(Program!A:A,MATCH(Table31028404142[[#This Row],[*Program Code]],Program!B:B,0)),"")</f>
        <v/>
      </c>
      <c r="F45" s="10"/>
      <c r="G45" s="9"/>
      <c r="H45" s="11"/>
      <c r="I45" s="17"/>
      <c r="J45" s="15">
        <f>Table31028404142[[#This Row],[*Monthy Charge]]*12</f>
        <v>0</v>
      </c>
    </row>
    <row r="46" spans="2:11" ht="26.25" customHeight="1" x14ac:dyDescent="0.25">
      <c r="B46" s="12" t="s">
        <v>5</v>
      </c>
      <c r="C46" s="13"/>
      <c r="D46" s="12"/>
      <c r="E46" s="12"/>
      <c r="F46" s="12"/>
      <c r="G46" s="12"/>
      <c r="H46" s="12"/>
      <c r="I46" s="12"/>
      <c r="J46" s="14">
        <f>SUBTOTAL(109,Table31028404142[Total Expenditure])</f>
        <v>0</v>
      </c>
      <c r="K46" s="12"/>
    </row>
    <row r="48" spans="2:11" ht="26.25" customHeight="1" x14ac:dyDescent="0.25">
      <c r="B48" s="4">
        <v>223005</v>
      </c>
      <c r="C48" s="5" t="s">
        <v>4367</v>
      </c>
      <c r="D48" s="6"/>
      <c r="E48" s="6"/>
      <c r="F48" s="16"/>
      <c r="G48" s="16"/>
      <c r="H48" s="16"/>
      <c r="I48" s="16"/>
      <c r="J48" s="16"/>
      <c r="K48" s="16"/>
    </row>
    <row r="49" spans="2:11" ht="43.5" customHeight="1" x14ac:dyDescent="0.25">
      <c r="B49" s="8" t="s">
        <v>1</v>
      </c>
      <c r="C49" s="8" t="s">
        <v>4337</v>
      </c>
      <c r="D49" s="8" t="s">
        <v>2</v>
      </c>
      <c r="E49" s="8" t="s">
        <v>4454</v>
      </c>
      <c r="F49" s="8" t="s">
        <v>4368</v>
      </c>
      <c r="G49" s="8" t="s">
        <v>4344</v>
      </c>
      <c r="H49" s="8" t="s">
        <v>4345</v>
      </c>
      <c r="I49" s="8" t="s">
        <v>4346</v>
      </c>
      <c r="J49" s="8" t="s">
        <v>3</v>
      </c>
      <c r="K49" s="8" t="s">
        <v>4</v>
      </c>
    </row>
    <row r="50" spans="2:11" ht="26.25" customHeight="1" x14ac:dyDescent="0.25">
      <c r="B50" s="9"/>
      <c r="C50" s="9"/>
      <c r="D50" s="2" t="str">
        <f>_xlfn.IFNA(INDEX(Program!A:A,MATCH(Table3102840414243[[#This Row],[*Program Code]],Program!B:B,0)),"")</f>
        <v/>
      </c>
      <c r="F50" s="10"/>
      <c r="G50" s="9"/>
      <c r="H50" s="11"/>
      <c r="I50" s="17"/>
      <c r="J50" s="15">
        <f>Table3102840414243[[#This Row],[*Unit Price]]*Table3102840414243[[#This Row],[*Quantity]]</f>
        <v>0</v>
      </c>
    </row>
    <row r="51" spans="2:11" ht="26.25" customHeight="1" x14ac:dyDescent="0.25">
      <c r="B51" s="9"/>
      <c r="C51" s="9"/>
      <c r="D51" s="2" t="str">
        <f>_xlfn.IFNA(INDEX(Program!A:A,MATCH(Table3102840414243[[#This Row],[*Program Code]],Program!B:B,0)),"")</f>
        <v/>
      </c>
      <c r="F51" s="10"/>
      <c r="G51" s="9"/>
      <c r="H51" s="11"/>
      <c r="I51" s="17"/>
      <c r="J51" s="15">
        <f>Table3102840414243[[#This Row],[*Unit Price]]*Table3102840414243[[#This Row],[*Quantity]]</f>
        <v>0</v>
      </c>
    </row>
    <row r="52" spans="2:11" ht="26.25" customHeight="1" x14ac:dyDescent="0.25">
      <c r="B52" s="9"/>
      <c r="C52" s="9"/>
      <c r="D52" s="2" t="str">
        <f>_xlfn.IFNA(INDEX(Program!A:A,MATCH(Table3102840414243[[#This Row],[*Program Code]],Program!B:B,0)),"")</f>
        <v/>
      </c>
      <c r="F52" s="10"/>
      <c r="G52" s="9"/>
      <c r="H52" s="11"/>
      <c r="I52" s="17"/>
      <c r="J52" s="15">
        <f>Table3102840414243[[#This Row],[*Unit Price]]*Table3102840414243[[#This Row],[*Quantity]]</f>
        <v>0</v>
      </c>
    </row>
    <row r="53" spans="2:11" ht="26.25" customHeight="1" x14ac:dyDescent="0.25">
      <c r="B53" s="9"/>
      <c r="C53" s="9"/>
      <c r="D53" s="2" t="str">
        <f>_xlfn.IFNA(INDEX(Program!A:A,MATCH(Table3102840414243[[#This Row],[*Program Code]],Program!B:B,0)),"")</f>
        <v/>
      </c>
      <c r="F53" s="10"/>
      <c r="G53" s="9"/>
      <c r="H53" s="11"/>
      <c r="I53" s="17"/>
      <c r="J53" s="15">
        <f>Table3102840414243[[#This Row],[*Unit Price]]*Table3102840414243[[#This Row],[*Quantity]]</f>
        <v>0</v>
      </c>
    </row>
    <row r="54" spans="2:11" ht="26.25" customHeight="1" x14ac:dyDescent="0.25">
      <c r="B54" s="9"/>
      <c r="C54" s="9"/>
      <c r="D54" s="2" t="str">
        <f>_xlfn.IFNA(INDEX(Program!A:A,MATCH(Table3102840414243[[#This Row],[*Program Code]],Program!B:B,0)),"")</f>
        <v/>
      </c>
      <c r="F54" s="10"/>
      <c r="G54" s="9"/>
      <c r="H54" s="11"/>
      <c r="I54" s="17"/>
      <c r="J54" s="15">
        <f>Table3102840414243[[#This Row],[*Unit Price]]*Table3102840414243[[#This Row],[*Quantity]]</f>
        <v>0</v>
      </c>
    </row>
    <row r="55" spans="2:11" ht="26.25" customHeight="1" x14ac:dyDescent="0.25">
      <c r="B55" s="9"/>
      <c r="C55" s="9"/>
      <c r="D55" s="3" t="str">
        <f>_xlfn.IFNA(INDEX(Program!A:A,MATCH(Table3102840414243[[#This Row],[*Program Code]],Program!B:B,0)),"")</f>
        <v/>
      </c>
      <c r="F55" s="10"/>
      <c r="G55" s="9"/>
      <c r="H55" s="11"/>
      <c r="I55" s="17"/>
      <c r="J55" s="15">
        <f>Table3102840414243[[#This Row],[*Unit Price]]*Table3102840414243[[#This Row],[*Quantity]]</f>
        <v>0</v>
      </c>
    </row>
    <row r="56" spans="2:11" ht="26.25" customHeight="1" x14ac:dyDescent="0.25">
      <c r="B56" s="9"/>
      <c r="C56" s="9"/>
      <c r="D56" s="3" t="str">
        <f>_xlfn.IFNA(INDEX(Program!A:A,MATCH(Table3102840414243[[#This Row],[*Program Code]],Program!B:B,0)),"")</f>
        <v/>
      </c>
      <c r="F56" s="10"/>
      <c r="G56" s="9"/>
      <c r="H56" s="11"/>
      <c r="I56" s="17"/>
      <c r="J56" s="15">
        <f>Table3102840414243[[#This Row],[*Unit Price]]*Table3102840414243[[#This Row],[*Quantity]]</f>
        <v>0</v>
      </c>
    </row>
    <row r="57" spans="2:11" ht="26.25" customHeight="1" x14ac:dyDescent="0.25">
      <c r="B57" s="12" t="s">
        <v>5</v>
      </c>
      <c r="C57" s="13"/>
      <c r="D57" s="12"/>
      <c r="E57" s="12"/>
      <c r="F57" s="12"/>
      <c r="G57" s="12"/>
      <c r="H57" s="12"/>
      <c r="I57" s="12"/>
      <c r="J57" s="14">
        <f>SUBTOTAL(109,Table3102840414243[Total Expenditure])</f>
        <v>0</v>
      </c>
      <c r="K57" s="12"/>
    </row>
    <row r="59" spans="2:11" ht="26.25" customHeight="1" x14ac:dyDescent="0.25">
      <c r="B59" s="4">
        <v>223006</v>
      </c>
      <c r="C59" s="5" t="s">
        <v>4369</v>
      </c>
      <c r="D59" s="6"/>
      <c r="E59" s="6"/>
      <c r="F59" s="16"/>
      <c r="G59" s="16"/>
      <c r="H59" s="16"/>
      <c r="I59" s="16"/>
      <c r="J59" s="16"/>
      <c r="K59" s="16"/>
    </row>
    <row r="60" spans="2:11" ht="43.5" customHeight="1" x14ac:dyDescent="0.25">
      <c r="B60" s="8" t="s">
        <v>1</v>
      </c>
      <c r="C60" s="8" t="s">
        <v>4337</v>
      </c>
      <c r="D60" s="8" t="s">
        <v>2</v>
      </c>
      <c r="E60" s="8" t="s">
        <v>4453</v>
      </c>
      <c r="F60" s="8" t="s">
        <v>4370</v>
      </c>
      <c r="G60" s="8" t="s">
        <v>4344</v>
      </c>
      <c r="H60" s="8" t="s">
        <v>4451</v>
      </c>
      <c r="I60" s="8" t="s">
        <v>4346</v>
      </c>
      <c r="J60" s="8" t="s">
        <v>3</v>
      </c>
      <c r="K60" s="8" t="s">
        <v>4</v>
      </c>
    </row>
    <row r="61" spans="2:11" ht="26.25" customHeight="1" x14ac:dyDescent="0.25">
      <c r="B61" s="9"/>
      <c r="C61" s="9"/>
      <c r="D61" s="2" t="str">
        <f>_xlfn.IFNA(INDEX(Program!A:A,MATCH(Table310284041424344[[#This Row],[*Program Code]],Program!B:B,0)),"")</f>
        <v/>
      </c>
      <c r="F61" s="10"/>
      <c r="G61" s="9"/>
      <c r="H61" s="11"/>
      <c r="I61" s="17"/>
      <c r="J61" s="15">
        <f>Table310284041424344[[#This Row],[*Unit Price]]*Table310284041424344[[#This Row],[*Quantity]]</f>
        <v>0</v>
      </c>
    </row>
    <row r="62" spans="2:11" ht="26.25" customHeight="1" x14ac:dyDescent="0.25">
      <c r="B62" s="9"/>
      <c r="C62" s="9"/>
      <c r="D62" s="2" t="str">
        <f>_xlfn.IFNA(INDEX(Program!A:A,MATCH(Table310284041424344[[#This Row],[*Program Code]],Program!B:B,0)),"")</f>
        <v/>
      </c>
      <c r="F62" s="10"/>
      <c r="G62" s="9"/>
      <c r="H62" s="11"/>
      <c r="I62" s="17"/>
      <c r="J62" s="15">
        <f>Table310284041424344[[#This Row],[*Unit Price]]*Table310284041424344[[#This Row],[*Quantity]]</f>
        <v>0</v>
      </c>
    </row>
    <row r="63" spans="2:11" ht="26.25" customHeight="1" x14ac:dyDescent="0.25">
      <c r="B63" s="9"/>
      <c r="C63" s="9"/>
      <c r="D63" s="2" t="str">
        <f>_xlfn.IFNA(INDEX(Program!A:A,MATCH(Table310284041424344[[#This Row],[*Program Code]],Program!B:B,0)),"")</f>
        <v/>
      </c>
      <c r="F63" s="10"/>
      <c r="G63" s="9"/>
      <c r="H63" s="11"/>
      <c r="I63" s="17"/>
      <c r="J63" s="15">
        <f>Table310284041424344[[#This Row],[*Unit Price]]*Table310284041424344[[#This Row],[*Quantity]]</f>
        <v>0</v>
      </c>
    </row>
    <row r="64" spans="2:11" ht="26.25" customHeight="1" x14ac:dyDescent="0.25">
      <c r="B64" s="9"/>
      <c r="C64" s="9"/>
      <c r="D64" s="2" t="str">
        <f>_xlfn.IFNA(INDEX(Program!A:A,MATCH(Table310284041424344[[#This Row],[*Program Code]],Program!B:B,0)),"")</f>
        <v/>
      </c>
      <c r="F64" s="10"/>
      <c r="G64" s="9"/>
      <c r="H64" s="11"/>
      <c r="I64" s="17"/>
      <c r="J64" s="15">
        <f>Table310284041424344[[#This Row],[*Unit Price]]*Table310284041424344[[#This Row],[*Quantity]]</f>
        <v>0</v>
      </c>
    </row>
    <row r="65" spans="2:11" ht="26.25" customHeight="1" x14ac:dyDescent="0.25">
      <c r="B65" s="9"/>
      <c r="C65" s="9"/>
      <c r="D65" s="2" t="str">
        <f>_xlfn.IFNA(INDEX(Program!A:A,MATCH(Table310284041424344[[#This Row],[*Program Code]],Program!B:B,0)),"")</f>
        <v/>
      </c>
      <c r="F65" s="10"/>
      <c r="G65" s="9"/>
      <c r="H65" s="11"/>
      <c r="I65" s="17"/>
      <c r="J65" s="15">
        <f>Table310284041424344[[#This Row],[*Unit Price]]*Table310284041424344[[#This Row],[*Quantity]]</f>
        <v>0</v>
      </c>
    </row>
    <row r="66" spans="2:11" ht="26.25" customHeight="1" x14ac:dyDescent="0.25">
      <c r="B66" s="9"/>
      <c r="C66" s="9"/>
      <c r="D66" s="3" t="str">
        <f>_xlfn.IFNA(INDEX(Program!A:A,MATCH(Table310284041424344[[#This Row],[*Program Code]],Program!B:B,0)),"")</f>
        <v/>
      </c>
      <c r="F66" s="10"/>
      <c r="G66" s="9"/>
      <c r="H66" s="11"/>
      <c r="I66" s="17"/>
      <c r="J66" s="15">
        <f>Table310284041424344[[#This Row],[*Unit Price]]*Table310284041424344[[#This Row],[*Quantity]]</f>
        <v>0</v>
      </c>
    </row>
    <row r="67" spans="2:11" ht="26.25" customHeight="1" x14ac:dyDescent="0.25">
      <c r="B67" s="9"/>
      <c r="C67" s="9"/>
      <c r="D67" s="3" t="str">
        <f>_xlfn.IFNA(INDEX(Program!A:A,MATCH(Table310284041424344[[#This Row],[*Program Code]],Program!B:B,0)),"")</f>
        <v/>
      </c>
      <c r="F67" s="10"/>
      <c r="G67" s="9"/>
      <c r="H67" s="11"/>
      <c r="I67" s="17"/>
      <c r="J67" s="15">
        <f>Table310284041424344[[#This Row],[*Unit Price]]*Table310284041424344[[#This Row],[*Quantity]]</f>
        <v>0</v>
      </c>
    </row>
    <row r="68" spans="2:11" ht="26.25" customHeight="1" x14ac:dyDescent="0.25">
      <c r="B68" s="12" t="s">
        <v>5</v>
      </c>
      <c r="C68" s="13"/>
      <c r="D68" s="12"/>
      <c r="E68" s="12"/>
      <c r="F68" s="12"/>
      <c r="G68" s="12"/>
      <c r="H68" s="12"/>
      <c r="I68" s="12"/>
      <c r="J68" s="14">
        <f>SUBTOTAL(109,Table310284041424344[Total Expenditure])</f>
        <v>0</v>
      </c>
      <c r="K68" s="12"/>
    </row>
    <row r="70" spans="2:11" ht="26.25" customHeight="1" x14ac:dyDescent="0.25">
      <c r="B70" s="4">
        <v>223007</v>
      </c>
      <c r="C70" s="5" t="s">
        <v>4371</v>
      </c>
      <c r="D70" s="6"/>
      <c r="E70" s="6"/>
      <c r="F70" s="16"/>
      <c r="G70" s="16"/>
      <c r="H70" s="16"/>
      <c r="I70" s="16"/>
      <c r="J70" s="16"/>
      <c r="K70" s="16"/>
    </row>
    <row r="71" spans="2:11" ht="43.5" customHeight="1" x14ac:dyDescent="0.25">
      <c r="B71" s="8" t="s">
        <v>1</v>
      </c>
      <c r="C71" s="8" t="s">
        <v>4337</v>
      </c>
      <c r="D71" s="8" t="s">
        <v>2</v>
      </c>
      <c r="E71" s="8" t="s">
        <v>4453</v>
      </c>
      <c r="F71" s="8" t="s">
        <v>4368</v>
      </c>
      <c r="G71" s="8" t="s">
        <v>4344</v>
      </c>
      <c r="H71" s="8" t="s">
        <v>4451</v>
      </c>
      <c r="I71" s="8" t="s">
        <v>4346</v>
      </c>
      <c r="J71" s="8" t="s">
        <v>3</v>
      </c>
      <c r="K71" s="8" t="s">
        <v>4</v>
      </c>
    </row>
    <row r="72" spans="2:11" ht="26.25" customHeight="1" x14ac:dyDescent="0.25">
      <c r="B72" s="9"/>
      <c r="C72" s="9"/>
      <c r="D72" s="2" t="str">
        <f>_xlfn.IFNA(INDEX(Program!A:A,MATCH(Table31028404142434445[[#This Row],[*Program Code]],Program!B:B,0)),"")</f>
        <v/>
      </c>
      <c r="F72" s="10"/>
      <c r="G72" s="9"/>
      <c r="H72" s="11"/>
      <c r="I72" s="17"/>
      <c r="J72" s="15">
        <f>Table31028404142434445[[#This Row],[*Unit Price]]*Table31028404142434445[[#This Row],[*Quantity]]</f>
        <v>0</v>
      </c>
    </row>
    <row r="73" spans="2:11" ht="26.25" customHeight="1" x14ac:dyDescent="0.25">
      <c r="B73" s="9"/>
      <c r="C73" s="9"/>
      <c r="D73" s="2" t="str">
        <f>_xlfn.IFNA(INDEX(Program!A:A,MATCH(Table31028404142434445[[#This Row],[*Program Code]],Program!B:B,0)),"")</f>
        <v/>
      </c>
      <c r="F73" s="10"/>
      <c r="G73" s="9"/>
      <c r="H73" s="11"/>
      <c r="I73" s="17"/>
      <c r="J73" s="15">
        <f>Table31028404142434445[[#This Row],[*Unit Price]]*Table31028404142434445[[#This Row],[*Quantity]]</f>
        <v>0</v>
      </c>
    </row>
    <row r="74" spans="2:11" ht="26.25" customHeight="1" x14ac:dyDescent="0.25">
      <c r="B74" s="9"/>
      <c r="C74" s="9"/>
      <c r="D74" s="2" t="str">
        <f>_xlfn.IFNA(INDEX(Program!A:A,MATCH(Table31028404142434445[[#This Row],[*Program Code]],Program!B:B,0)),"")</f>
        <v/>
      </c>
      <c r="F74" s="10"/>
      <c r="G74" s="9"/>
      <c r="H74" s="11"/>
      <c r="I74" s="17"/>
      <c r="J74" s="15">
        <f>Table31028404142434445[[#This Row],[*Unit Price]]*Table31028404142434445[[#This Row],[*Quantity]]</f>
        <v>0</v>
      </c>
    </row>
    <row r="75" spans="2:11" ht="26.25" customHeight="1" x14ac:dyDescent="0.25">
      <c r="B75" s="9"/>
      <c r="C75" s="9"/>
      <c r="D75" s="2" t="str">
        <f>_xlfn.IFNA(INDEX(Program!A:A,MATCH(Table31028404142434445[[#This Row],[*Program Code]],Program!B:B,0)),"")</f>
        <v/>
      </c>
      <c r="F75" s="10"/>
      <c r="G75" s="9"/>
      <c r="H75" s="11"/>
      <c r="I75" s="17"/>
      <c r="J75" s="15">
        <f>Table31028404142434445[[#This Row],[*Unit Price]]*Table31028404142434445[[#This Row],[*Quantity]]</f>
        <v>0</v>
      </c>
    </row>
    <row r="76" spans="2:11" ht="26.25" customHeight="1" x14ac:dyDescent="0.25">
      <c r="B76" s="9"/>
      <c r="C76" s="9"/>
      <c r="D76" s="2" t="str">
        <f>_xlfn.IFNA(INDEX(Program!A:A,MATCH(Table31028404142434445[[#This Row],[*Program Code]],Program!B:B,0)),"")</f>
        <v/>
      </c>
      <c r="F76" s="10"/>
      <c r="G76" s="9"/>
      <c r="H76" s="11"/>
      <c r="I76" s="17"/>
      <c r="J76" s="15">
        <f>Table31028404142434445[[#This Row],[*Unit Price]]*Table31028404142434445[[#This Row],[*Quantity]]</f>
        <v>0</v>
      </c>
    </row>
    <row r="77" spans="2:11" ht="26.25" customHeight="1" x14ac:dyDescent="0.25">
      <c r="B77" s="9"/>
      <c r="C77" s="9"/>
      <c r="D77" s="3" t="str">
        <f>_xlfn.IFNA(INDEX(Program!A:A,MATCH(Table31028404142434445[[#This Row],[*Program Code]],Program!B:B,0)),"")</f>
        <v/>
      </c>
      <c r="F77" s="10"/>
      <c r="G77" s="9"/>
      <c r="H77" s="11"/>
      <c r="I77" s="17"/>
      <c r="J77" s="15">
        <f>Table31028404142434445[[#This Row],[*Unit Price]]*Table31028404142434445[[#This Row],[*Quantity]]</f>
        <v>0</v>
      </c>
    </row>
    <row r="78" spans="2:11" ht="26.25" customHeight="1" x14ac:dyDescent="0.25">
      <c r="B78" s="9"/>
      <c r="C78" s="9"/>
      <c r="D78" s="3" t="str">
        <f>_xlfn.IFNA(INDEX(Program!A:A,MATCH(Table31028404142434445[[#This Row],[*Program Code]],Program!B:B,0)),"")</f>
        <v/>
      </c>
      <c r="F78" s="10"/>
      <c r="G78" s="9"/>
      <c r="H78" s="11"/>
      <c r="I78" s="17"/>
      <c r="J78" s="15">
        <f>Table31028404142434445[[#This Row],[*Unit Price]]*Table31028404142434445[[#This Row],[*Quantity]]</f>
        <v>0</v>
      </c>
    </row>
    <row r="79" spans="2:11" ht="26.25" customHeight="1" x14ac:dyDescent="0.25">
      <c r="B79" s="12" t="s">
        <v>5</v>
      </c>
      <c r="C79" s="13"/>
      <c r="D79" s="12"/>
      <c r="E79" s="12"/>
      <c r="F79" s="12"/>
      <c r="G79" s="12"/>
      <c r="H79" s="12"/>
      <c r="I79" s="12"/>
      <c r="J79" s="14">
        <f>SUBTOTAL(109,Table31028404142434445[Total Expenditure])</f>
        <v>0</v>
      </c>
      <c r="K79" s="12"/>
    </row>
    <row r="81" spans="2:11" ht="26.25" customHeight="1" x14ac:dyDescent="0.25">
      <c r="B81" s="4">
        <v>223008</v>
      </c>
      <c r="C81" s="5" t="s">
        <v>4372</v>
      </c>
      <c r="D81" s="6"/>
      <c r="E81" s="6"/>
      <c r="F81" s="16"/>
      <c r="G81" s="16"/>
      <c r="H81" s="16"/>
      <c r="I81" s="16"/>
      <c r="J81" s="16"/>
      <c r="K81" s="16"/>
    </row>
    <row r="82" spans="2:11" ht="43.5" customHeight="1" x14ac:dyDescent="0.25">
      <c r="B82" s="8" t="s">
        <v>1</v>
      </c>
      <c r="C82" s="8" t="s">
        <v>4337</v>
      </c>
      <c r="D82" s="8" t="s">
        <v>2</v>
      </c>
      <c r="E82" s="8" t="s">
        <v>4453</v>
      </c>
      <c r="F82" s="8" t="s">
        <v>4368</v>
      </c>
      <c r="G82" s="8" t="s">
        <v>4344</v>
      </c>
      <c r="H82" s="8" t="s">
        <v>4451</v>
      </c>
      <c r="I82" s="8" t="s">
        <v>4346</v>
      </c>
      <c r="J82" s="8" t="s">
        <v>3</v>
      </c>
      <c r="K82" s="8" t="s">
        <v>4</v>
      </c>
    </row>
    <row r="83" spans="2:11" ht="26.25" customHeight="1" x14ac:dyDescent="0.25">
      <c r="B83" s="9"/>
      <c r="C83" s="9"/>
      <c r="D83" s="2" t="str">
        <f>_xlfn.IFNA(INDEX(Program!A:A,MATCH(Table3102840414243444546[[#This Row],[*Program Code]],Program!B:B,0)),"")</f>
        <v/>
      </c>
      <c r="F83" s="10"/>
      <c r="G83" s="9"/>
      <c r="H83" s="11"/>
      <c r="I83" s="17"/>
      <c r="J83" s="15">
        <f>Table3102840414243444546[[#This Row],[*Unit Price]]*Table3102840414243444546[[#This Row],[*Quantity]]</f>
        <v>0</v>
      </c>
    </row>
    <row r="84" spans="2:11" ht="26.25" customHeight="1" x14ac:dyDescent="0.25">
      <c r="B84" s="9"/>
      <c r="C84" s="9"/>
      <c r="D84" s="2" t="str">
        <f>_xlfn.IFNA(INDEX(Program!A:A,MATCH(Table3102840414243444546[[#This Row],[*Program Code]],Program!B:B,0)),"")</f>
        <v/>
      </c>
      <c r="F84" s="10"/>
      <c r="G84" s="9"/>
      <c r="H84" s="11"/>
      <c r="I84" s="17"/>
      <c r="J84" s="15">
        <f>Table3102840414243444546[[#This Row],[*Unit Price]]*Table3102840414243444546[[#This Row],[*Quantity]]</f>
        <v>0</v>
      </c>
    </row>
    <row r="85" spans="2:11" ht="26.25" customHeight="1" x14ac:dyDescent="0.25">
      <c r="B85" s="9"/>
      <c r="C85" s="9"/>
      <c r="D85" s="2" t="str">
        <f>_xlfn.IFNA(INDEX(Program!A:A,MATCH(Table3102840414243444546[[#This Row],[*Program Code]],Program!B:B,0)),"")</f>
        <v/>
      </c>
      <c r="F85" s="10"/>
      <c r="G85" s="9"/>
      <c r="H85" s="11"/>
      <c r="I85" s="17"/>
      <c r="J85" s="15">
        <f>Table3102840414243444546[[#This Row],[*Unit Price]]*Table3102840414243444546[[#This Row],[*Quantity]]</f>
        <v>0</v>
      </c>
    </row>
    <row r="86" spans="2:11" ht="26.25" customHeight="1" x14ac:dyDescent="0.25">
      <c r="B86" s="9"/>
      <c r="C86" s="9"/>
      <c r="D86" s="2" t="str">
        <f>_xlfn.IFNA(INDEX(Program!A:A,MATCH(Table3102840414243444546[[#This Row],[*Program Code]],Program!B:B,0)),"")</f>
        <v/>
      </c>
      <c r="F86" s="10"/>
      <c r="G86" s="9"/>
      <c r="H86" s="11"/>
      <c r="I86" s="17"/>
      <c r="J86" s="15">
        <f>Table3102840414243444546[[#This Row],[*Unit Price]]*Table3102840414243444546[[#This Row],[*Quantity]]</f>
        <v>0</v>
      </c>
    </row>
    <row r="87" spans="2:11" ht="26.25" customHeight="1" x14ac:dyDescent="0.25">
      <c r="B87" s="9"/>
      <c r="C87" s="9"/>
      <c r="D87" s="2" t="str">
        <f>_xlfn.IFNA(INDEX(Program!A:A,MATCH(Table3102840414243444546[[#This Row],[*Program Code]],Program!B:B,0)),"")</f>
        <v/>
      </c>
      <c r="F87" s="10"/>
      <c r="G87" s="9"/>
      <c r="H87" s="11"/>
      <c r="I87" s="17"/>
      <c r="J87" s="15">
        <f>Table3102840414243444546[[#This Row],[*Unit Price]]*Table3102840414243444546[[#This Row],[*Quantity]]</f>
        <v>0</v>
      </c>
    </row>
    <row r="88" spans="2:11" ht="26.25" customHeight="1" x14ac:dyDescent="0.25">
      <c r="B88" s="9"/>
      <c r="C88" s="9"/>
      <c r="D88" s="3" t="str">
        <f>_xlfn.IFNA(INDEX(Program!A:A,MATCH(Table3102840414243444546[[#This Row],[*Program Code]],Program!B:B,0)),"")</f>
        <v/>
      </c>
      <c r="F88" s="10"/>
      <c r="G88" s="9"/>
      <c r="H88" s="11"/>
      <c r="I88" s="17"/>
      <c r="J88" s="15">
        <f>Table3102840414243444546[[#This Row],[*Unit Price]]*Table3102840414243444546[[#This Row],[*Quantity]]</f>
        <v>0</v>
      </c>
    </row>
    <row r="89" spans="2:11" ht="26.25" customHeight="1" x14ac:dyDescent="0.25">
      <c r="B89" s="9"/>
      <c r="C89" s="9"/>
      <c r="D89" s="3" t="str">
        <f>_xlfn.IFNA(INDEX(Program!A:A,MATCH(Table3102840414243444546[[#This Row],[*Program Code]],Program!B:B,0)),"")</f>
        <v/>
      </c>
      <c r="F89" s="10"/>
      <c r="G89" s="9"/>
      <c r="H89" s="11"/>
      <c r="I89" s="17"/>
      <c r="J89" s="15">
        <f>Table3102840414243444546[[#This Row],[*Unit Price]]*Table3102840414243444546[[#This Row],[*Quantity]]</f>
        <v>0</v>
      </c>
    </row>
    <row r="90" spans="2:11" ht="26.25" customHeight="1" x14ac:dyDescent="0.25">
      <c r="B90" s="12" t="s">
        <v>5</v>
      </c>
      <c r="C90" s="13"/>
      <c r="D90" s="12"/>
      <c r="E90" s="12"/>
      <c r="F90" s="12"/>
      <c r="G90" s="12"/>
      <c r="H90" s="12"/>
      <c r="I90" s="12"/>
      <c r="J90" s="14">
        <f>SUBTOTAL(109,Table3102840414243444546[Total Expenditure])</f>
        <v>0</v>
      </c>
      <c r="K90" s="12"/>
    </row>
    <row r="92" spans="2:11" ht="26.25" customHeight="1" x14ac:dyDescent="0.25">
      <c r="B92" s="4">
        <v>223009</v>
      </c>
      <c r="C92" s="5" t="s">
        <v>4373</v>
      </c>
      <c r="D92" s="6"/>
      <c r="E92" s="6"/>
      <c r="F92" s="16"/>
      <c r="G92" s="16"/>
      <c r="H92" s="16"/>
      <c r="I92" s="16"/>
      <c r="J92" s="16"/>
      <c r="K92" s="16"/>
    </row>
    <row r="93" spans="2:11" ht="43.5" customHeight="1" x14ac:dyDescent="0.25">
      <c r="B93" s="8" t="s">
        <v>1</v>
      </c>
      <c r="C93" s="8" t="s">
        <v>4337</v>
      </c>
      <c r="D93" s="8" t="s">
        <v>2</v>
      </c>
      <c r="E93" s="8" t="s">
        <v>4453</v>
      </c>
      <c r="F93" s="8" t="s">
        <v>4370</v>
      </c>
      <c r="G93" s="8" t="s">
        <v>4344</v>
      </c>
      <c r="H93" s="8" t="s">
        <v>4451</v>
      </c>
      <c r="I93" s="8" t="s">
        <v>4346</v>
      </c>
      <c r="J93" s="8" t="s">
        <v>3</v>
      </c>
      <c r="K93" s="8" t="s">
        <v>4</v>
      </c>
    </row>
    <row r="94" spans="2:11" ht="26.25" customHeight="1" x14ac:dyDescent="0.25">
      <c r="B94" s="9"/>
      <c r="C94" s="9"/>
      <c r="D94" s="2" t="str">
        <f>_xlfn.IFNA(INDEX(Program!A:A,MATCH(Table310284041424344454647[[#This Row],[*Program Code]],Program!B:B,0)),"")</f>
        <v/>
      </c>
      <c r="F94" s="10"/>
      <c r="G94" s="9"/>
      <c r="H94" s="11"/>
      <c r="I94" s="17"/>
      <c r="J94" s="15">
        <f>Table310284041424344454647[[#This Row],[*Unit Price]]*Table310284041424344454647[[#This Row],[*Quantity]]</f>
        <v>0</v>
      </c>
    </row>
    <row r="95" spans="2:11" ht="26.25" customHeight="1" x14ac:dyDescent="0.25">
      <c r="B95" s="9"/>
      <c r="C95" s="9"/>
      <c r="D95" s="2" t="str">
        <f>_xlfn.IFNA(INDEX(Program!A:A,MATCH(Table310284041424344454647[[#This Row],[*Program Code]],Program!B:B,0)),"")</f>
        <v/>
      </c>
      <c r="F95" s="10"/>
      <c r="G95" s="9"/>
      <c r="H95" s="11"/>
      <c r="I95" s="17"/>
      <c r="J95" s="15">
        <f>Table310284041424344454647[[#This Row],[*Unit Price]]*Table310284041424344454647[[#This Row],[*Quantity]]</f>
        <v>0</v>
      </c>
    </row>
    <row r="96" spans="2:11" ht="26.25" customHeight="1" x14ac:dyDescent="0.25">
      <c r="B96" s="9"/>
      <c r="C96" s="9"/>
      <c r="D96" s="2" t="str">
        <f>_xlfn.IFNA(INDEX(Program!A:A,MATCH(Table310284041424344454647[[#This Row],[*Program Code]],Program!B:B,0)),"")</f>
        <v/>
      </c>
      <c r="F96" s="10"/>
      <c r="G96" s="9"/>
      <c r="H96" s="11"/>
      <c r="I96" s="17"/>
      <c r="J96" s="15">
        <f>Table310284041424344454647[[#This Row],[*Unit Price]]*Table310284041424344454647[[#This Row],[*Quantity]]</f>
        <v>0</v>
      </c>
    </row>
    <row r="97" spans="2:11" ht="26.25" customHeight="1" x14ac:dyDescent="0.25">
      <c r="B97" s="9"/>
      <c r="C97" s="9"/>
      <c r="D97" s="2" t="str">
        <f>_xlfn.IFNA(INDEX(Program!A:A,MATCH(Table310284041424344454647[[#This Row],[*Program Code]],Program!B:B,0)),"")</f>
        <v/>
      </c>
      <c r="F97" s="10"/>
      <c r="G97" s="9"/>
      <c r="H97" s="11"/>
      <c r="I97" s="17"/>
      <c r="J97" s="15">
        <f>Table310284041424344454647[[#This Row],[*Unit Price]]*Table310284041424344454647[[#This Row],[*Quantity]]</f>
        <v>0</v>
      </c>
    </row>
    <row r="98" spans="2:11" ht="26.25" customHeight="1" x14ac:dyDescent="0.25">
      <c r="B98" s="9"/>
      <c r="C98" s="9"/>
      <c r="D98" s="2" t="str">
        <f>_xlfn.IFNA(INDEX(Program!A:A,MATCH(Table310284041424344454647[[#This Row],[*Program Code]],Program!B:B,0)),"")</f>
        <v/>
      </c>
      <c r="F98" s="10"/>
      <c r="G98" s="9"/>
      <c r="H98" s="11"/>
      <c r="I98" s="17"/>
      <c r="J98" s="15">
        <f>Table310284041424344454647[[#This Row],[*Unit Price]]*Table310284041424344454647[[#This Row],[*Quantity]]</f>
        <v>0</v>
      </c>
    </row>
    <row r="99" spans="2:11" ht="26.25" customHeight="1" x14ac:dyDescent="0.25">
      <c r="B99" s="9"/>
      <c r="C99" s="9"/>
      <c r="D99" s="3" t="str">
        <f>_xlfn.IFNA(INDEX(Program!A:A,MATCH(Table310284041424344454647[[#This Row],[*Program Code]],Program!B:B,0)),"")</f>
        <v/>
      </c>
      <c r="F99" s="10"/>
      <c r="G99" s="9"/>
      <c r="H99" s="11"/>
      <c r="I99" s="17"/>
      <c r="J99" s="15">
        <f>Table310284041424344454647[[#This Row],[*Unit Price]]*Table310284041424344454647[[#This Row],[*Quantity]]</f>
        <v>0</v>
      </c>
    </row>
    <row r="100" spans="2:11" ht="26.25" customHeight="1" x14ac:dyDescent="0.25">
      <c r="B100" s="9"/>
      <c r="C100" s="9"/>
      <c r="D100" s="3" t="str">
        <f>_xlfn.IFNA(INDEX(Program!A:A,MATCH(Table310284041424344454647[[#This Row],[*Program Code]],Program!B:B,0)),"")</f>
        <v/>
      </c>
      <c r="F100" s="10"/>
      <c r="G100" s="9"/>
      <c r="H100" s="11"/>
      <c r="I100" s="17"/>
      <c r="J100" s="15">
        <f>Table310284041424344454647[[#This Row],[*Unit Price]]*Table310284041424344454647[[#This Row],[*Quantity]]</f>
        <v>0</v>
      </c>
    </row>
    <row r="101" spans="2:11" ht="26.25" customHeight="1" x14ac:dyDescent="0.25">
      <c r="B101" s="12" t="s">
        <v>5</v>
      </c>
      <c r="C101" s="13"/>
      <c r="D101" s="12"/>
      <c r="E101" s="12"/>
      <c r="F101" s="12"/>
      <c r="G101" s="12"/>
      <c r="H101" s="12"/>
      <c r="I101" s="12"/>
      <c r="J101" s="14">
        <f>SUBTOTAL(109,Table310284041424344454647[Total Expenditure])</f>
        <v>0</v>
      </c>
      <c r="K101" s="12"/>
    </row>
    <row r="103" spans="2:11" ht="26.25" customHeight="1" x14ac:dyDescent="0.25">
      <c r="B103" s="4">
        <v>223010</v>
      </c>
      <c r="C103" s="5" t="s">
        <v>4374</v>
      </c>
      <c r="D103" s="6"/>
      <c r="E103" s="6"/>
      <c r="F103" s="16"/>
      <c r="G103" s="16"/>
      <c r="H103" s="16"/>
      <c r="I103" s="16"/>
      <c r="J103" s="16"/>
      <c r="K103" s="16"/>
    </row>
    <row r="104" spans="2:11" ht="43.5" customHeight="1" x14ac:dyDescent="0.25">
      <c r="B104" s="8" t="s">
        <v>1</v>
      </c>
      <c r="C104" s="8" t="s">
        <v>4337</v>
      </c>
      <c r="D104" s="8" t="s">
        <v>2</v>
      </c>
      <c r="E104" s="8" t="s">
        <v>4453</v>
      </c>
      <c r="F104" s="8" t="s">
        <v>4370</v>
      </c>
      <c r="G104" s="8" t="s">
        <v>4344</v>
      </c>
      <c r="H104" s="8" t="s">
        <v>4451</v>
      </c>
      <c r="I104" s="8" t="s">
        <v>4346</v>
      </c>
      <c r="J104" s="8" t="s">
        <v>3</v>
      </c>
      <c r="K104" s="8" t="s">
        <v>4</v>
      </c>
    </row>
    <row r="105" spans="2:11" ht="26.25" customHeight="1" x14ac:dyDescent="0.25">
      <c r="B105" s="9"/>
      <c r="C105" s="9"/>
      <c r="D105" s="2" t="str">
        <f>_xlfn.IFNA(INDEX(Program!A:A,MATCH(Table31028404142434445464748[[#This Row],[*Program Code]],Program!B:B,0)),"")</f>
        <v/>
      </c>
      <c r="F105" s="10"/>
      <c r="G105" s="9"/>
      <c r="H105" s="11"/>
      <c r="I105" s="17"/>
      <c r="J105" s="15">
        <f>Table31028404142434445464748[[#This Row],[*Unit Price]]*Table31028404142434445464748[[#This Row],[*Quantity]]</f>
        <v>0</v>
      </c>
    </row>
    <row r="106" spans="2:11" ht="26.25" customHeight="1" x14ac:dyDescent="0.25">
      <c r="B106" s="9"/>
      <c r="C106" s="9"/>
      <c r="D106" s="2" t="str">
        <f>_xlfn.IFNA(INDEX(Program!A:A,MATCH(Table31028404142434445464748[[#This Row],[*Program Code]],Program!B:B,0)),"")</f>
        <v/>
      </c>
      <c r="F106" s="10"/>
      <c r="G106" s="9"/>
      <c r="H106" s="11"/>
      <c r="I106" s="17"/>
      <c r="J106" s="15">
        <f>Table31028404142434445464748[[#This Row],[*Unit Price]]*Table31028404142434445464748[[#This Row],[*Quantity]]</f>
        <v>0</v>
      </c>
    </row>
    <row r="107" spans="2:11" ht="26.25" customHeight="1" x14ac:dyDescent="0.25">
      <c r="B107" s="9"/>
      <c r="C107" s="9"/>
      <c r="D107" s="2" t="str">
        <f>_xlfn.IFNA(INDEX(Program!A:A,MATCH(Table31028404142434445464748[[#This Row],[*Program Code]],Program!B:B,0)),"")</f>
        <v/>
      </c>
      <c r="F107" s="10"/>
      <c r="G107" s="9"/>
      <c r="H107" s="11"/>
      <c r="I107" s="17"/>
      <c r="J107" s="15">
        <f>Table31028404142434445464748[[#This Row],[*Unit Price]]*Table31028404142434445464748[[#This Row],[*Quantity]]</f>
        <v>0</v>
      </c>
    </row>
    <row r="108" spans="2:11" ht="26.25" customHeight="1" x14ac:dyDescent="0.25">
      <c r="B108" s="9"/>
      <c r="C108" s="9"/>
      <c r="D108" s="2" t="str">
        <f>_xlfn.IFNA(INDEX(Program!A:A,MATCH(Table31028404142434445464748[[#This Row],[*Program Code]],Program!B:B,0)),"")</f>
        <v/>
      </c>
      <c r="F108" s="10"/>
      <c r="G108" s="9"/>
      <c r="H108" s="11"/>
      <c r="I108" s="17"/>
      <c r="J108" s="15">
        <f>Table31028404142434445464748[[#This Row],[*Unit Price]]*Table31028404142434445464748[[#This Row],[*Quantity]]</f>
        <v>0</v>
      </c>
    </row>
    <row r="109" spans="2:11" ht="26.25" customHeight="1" x14ac:dyDescent="0.25">
      <c r="B109" s="9"/>
      <c r="C109" s="9"/>
      <c r="D109" s="2" t="str">
        <f>_xlfn.IFNA(INDEX(Program!A:A,MATCH(Table31028404142434445464748[[#This Row],[*Program Code]],Program!B:B,0)),"")</f>
        <v/>
      </c>
      <c r="F109" s="10"/>
      <c r="G109" s="9"/>
      <c r="H109" s="11"/>
      <c r="I109" s="17"/>
      <c r="J109" s="15">
        <f>Table31028404142434445464748[[#This Row],[*Unit Price]]*Table31028404142434445464748[[#This Row],[*Quantity]]</f>
        <v>0</v>
      </c>
    </row>
    <row r="110" spans="2:11" ht="26.25" customHeight="1" x14ac:dyDescent="0.25">
      <c r="B110" s="9"/>
      <c r="C110" s="9"/>
      <c r="D110" s="3" t="str">
        <f>_xlfn.IFNA(INDEX(Program!A:A,MATCH(Table31028404142434445464748[[#This Row],[*Program Code]],Program!B:B,0)),"")</f>
        <v/>
      </c>
      <c r="F110" s="10"/>
      <c r="G110" s="9"/>
      <c r="H110" s="11"/>
      <c r="I110" s="17"/>
      <c r="J110" s="15">
        <f>Table31028404142434445464748[[#This Row],[*Unit Price]]*Table31028404142434445464748[[#This Row],[*Quantity]]</f>
        <v>0</v>
      </c>
    </row>
    <row r="111" spans="2:11" ht="26.25" customHeight="1" x14ac:dyDescent="0.25">
      <c r="B111" s="9"/>
      <c r="C111" s="9"/>
      <c r="D111" s="3" t="str">
        <f>_xlfn.IFNA(INDEX(Program!A:A,MATCH(Table31028404142434445464748[[#This Row],[*Program Code]],Program!B:B,0)),"")</f>
        <v/>
      </c>
      <c r="F111" s="10"/>
      <c r="G111" s="9"/>
      <c r="H111" s="11"/>
      <c r="I111" s="17"/>
      <c r="J111" s="15">
        <f>Table31028404142434445464748[[#This Row],[*Unit Price]]*Table31028404142434445464748[[#This Row],[*Quantity]]</f>
        <v>0</v>
      </c>
    </row>
    <row r="112" spans="2:11" ht="26.25" customHeight="1" x14ac:dyDescent="0.25">
      <c r="B112" s="12" t="s">
        <v>5</v>
      </c>
      <c r="C112" s="13"/>
      <c r="D112" s="12"/>
      <c r="E112" s="12"/>
      <c r="F112" s="12"/>
      <c r="G112" s="12"/>
      <c r="H112" s="12"/>
      <c r="I112" s="12"/>
      <c r="J112" s="14">
        <f>SUBTOTAL(109,Table31028404142434445464748[Total Expenditure])</f>
        <v>0</v>
      </c>
      <c r="K112" s="12"/>
    </row>
    <row r="114" spans="2:11" ht="26.25" customHeight="1" x14ac:dyDescent="0.25">
      <c r="B114" s="4">
        <v>223011</v>
      </c>
      <c r="C114" s="5" t="s">
        <v>4375</v>
      </c>
      <c r="D114" s="6"/>
      <c r="E114" s="6"/>
      <c r="F114" s="16"/>
      <c r="G114" s="16"/>
      <c r="H114" s="16"/>
      <c r="I114" s="16"/>
      <c r="J114" s="16"/>
      <c r="K114" s="16"/>
    </row>
    <row r="115" spans="2:11" ht="43.5" customHeight="1" x14ac:dyDescent="0.25">
      <c r="B115" s="8" t="s">
        <v>1</v>
      </c>
      <c r="C115" s="8" t="s">
        <v>4337</v>
      </c>
      <c r="D115" s="8" t="s">
        <v>2</v>
      </c>
      <c r="E115" s="8" t="s">
        <v>4453</v>
      </c>
      <c r="F115" s="8" t="s">
        <v>4370</v>
      </c>
      <c r="G115" s="8" t="s">
        <v>4344</v>
      </c>
      <c r="H115" s="8" t="s">
        <v>4451</v>
      </c>
      <c r="I115" s="8" t="s">
        <v>4346</v>
      </c>
      <c r="J115" s="8" t="s">
        <v>3</v>
      </c>
      <c r="K115" s="8" t="s">
        <v>4</v>
      </c>
    </row>
    <row r="116" spans="2:11" ht="26.25" customHeight="1" x14ac:dyDescent="0.25">
      <c r="B116" s="9"/>
      <c r="C116" s="9"/>
      <c r="D116" s="2" t="str">
        <f>_xlfn.IFNA(INDEX(Program!A:A,MATCH(Table3102840414243444546474849[[#This Row],[*Program Code]],Program!B:B,0)),"")</f>
        <v/>
      </c>
      <c r="F116" s="10"/>
      <c r="G116" s="9"/>
      <c r="H116" s="11"/>
      <c r="I116" s="17"/>
      <c r="J116" s="15">
        <f>Table3102840414243444546474849[[#This Row],[*Unit Price]]*Table3102840414243444546474849[[#This Row],[*Quantity]]</f>
        <v>0</v>
      </c>
    </row>
    <row r="117" spans="2:11" ht="26.25" customHeight="1" x14ac:dyDescent="0.25">
      <c r="B117" s="9"/>
      <c r="C117" s="9"/>
      <c r="D117" s="2" t="str">
        <f>_xlfn.IFNA(INDEX(Program!A:A,MATCH(Table3102840414243444546474849[[#This Row],[*Program Code]],Program!B:B,0)),"")</f>
        <v/>
      </c>
      <c r="F117" s="10"/>
      <c r="G117" s="9"/>
      <c r="H117" s="11"/>
      <c r="I117" s="17"/>
      <c r="J117" s="15">
        <f>Table3102840414243444546474849[[#This Row],[*Unit Price]]*Table3102840414243444546474849[[#This Row],[*Quantity]]</f>
        <v>0</v>
      </c>
    </row>
    <row r="118" spans="2:11" ht="26.25" customHeight="1" x14ac:dyDescent="0.25">
      <c r="B118" s="9"/>
      <c r="C118" s="9"/>
      <c r="D118" s="2" t="str">
        <f>_xlfn.IFNA(INDEX(Program!A:A,MATCH(Table3102840414243444546474849[[#This Row],[*Program Code]],Program!B:B,0)),"")</f>
        <v/>
      </c>
      <c r="F118" s="10"/>
      <c r="G118" s="9"/>
      <c r="H118" s="11"/>
      <c r="I118" s="17"/>
      <c r="J118" s="15">
        <f>Table3102840414243444546474849[[#This Row],[*Unit Price]]*Table3102840414243444546474849[[#This Row],[*Quantity]]</f>
        <v>0</v>
      </c>
    </row>
    <row r="119" spans="2:11" ht="26.25" customHeight="1" x14ac:dyDescent="0.25">
      <c r="B119" s="9"/>
      <c r="C119" s="9"/>
      <c r="D119" s="2" t="str">
        <f>_xlfn.IFNA(INDEX(Program!A:A,MATCH(Table3102840414243444546474849[[#This Row],[*Program Code]],Program!B:B,0)),"")</f>
        <v/>
      </c>
      <c r="F119" s="10"/>
      <c r="G119" s="9"/>
      <c r="H119" s="11"/>
      <c r="I119" s="17"/>
      <c r="J119" s="15">
        <f>Table3102840414243444546474849[[#This Row],[*Unit Price]]*Table3102840414243444546474849[[#This Row],[*Quantity]]</f>
        <v>0</v>
      </c>
    </row>
    <row r="120" spans="2:11" ht="26.25" customHeight="1" x14ac:dyDescent="0.25">
      <c r="B120" s="9"/>
      <c r="C120" s="9"/>
      <c r="D120" s="2" t="str">
        <f>_xlfn.IFNA(INDEX(Program!A:A,MATCH(Table3102840414243444546474849[[#This Row],[*Program Code]],Program!B:B,0)),"")</f>
        <v/>
      </c>
      <c r="F120" s="10"/>
      <c r="G120" s="9"/>
      <c r="H120" s="11"/>
      <c r="I120" s="17"/>
      <c r="J120" s="15">
        <f>Table3102840414243444546474849[[#This Row],[*Unit Price]]*Table3102840414243444546474849[[#This Row],[*Quantity]]</f>
        <v>0</v>
      </c>
    </row>
    <row r="121" spans="2:11" ht="26.25" customHeight="1" x14ac:dyDescent="0.25">
      <c r="B121" s="9"/>
      <c r="C121" s="9"/>
      <c r="D121" s="3" t="str">
        <f>_xlfn.IFNA(INDEX(Program!A:A,MATCH(Table3102840414243444546474849[[#This Row],[*Program Code]],Program!B:B,0)),"")</f>
        <v/>
      </c>
      <c r="F121" s="10"/>
      <c r="G121" s="9"/>
      <c r="H121" s="11"/>
      <c r="I121" s="17"/>
      <c r="J121" s="15">
        <f>Table3102840414243444546474849[[#This Row],[*Unit Price]]*Table3102840414243444546474849[[#This Row],[*Quantity]]</f>
        <v>0</v>
      </c>
    </row>
    <row r="122" spans="2:11" ht="26.25" customHeight="1" x14ac:dyDescent="0.25">
      <c r="B122" s="9"/>
      <c r="C122" s="9"/>
      <c r="D122" s="3" t="str">
        <f>_xlfn.IFNA(INDEX(Program!A:A,MATCH(Table3102840414243444546474849[[#This Row],[*Program Code]],Program!B:B,0)),"")</f>
        <v/>
      </c>
      <c r="F122" s="10"/>
      <c r="G122" s="9"/>
      <c r="H122" s="11"/>
      <c r="I122" s="17"/>
      <c r="J122" s="15">
        <f>Table3102840414243444546474849[[#This Row],[*Unit Price]]*Table3102840414243444546474849[[#This Row],[*Quantity]]</f>
        <v>0</v>
      </c>
    </row>
    <row r="123" spans="2:11" ht="26.25" customHeight="1" x14ac:dyDescent="0.25">
      <c r="B123" s="12" t="s">
        <v>5</v>
      </c>
      <c r="C123" s="13"/>
      <c r="D123" s="12"/>
      <c r="E123" s="12"/>
      <c r="F123" s="12"/>
      <c r="G123" s="12"/>
      <c r="H123" s="12"/>
      <c r="I123" s="12"/>
      <c r="J123" s="14">
        <f>SUBTOTAL(109,Table3102840414243444546474849[Total Expenditure])</f>
        <v>0</v>
      </c>
      <c r="K123" s="12"/>
    </row>
    <row r="125" spans="2:11" ht="26.25" customHeight="1" x14ac:dyDescent="0.25">
      <c r="B125" s="4">
        <v>223012</v>
      </c>
      <c r="C125" s="5" t="s">
        <v>4376</v>
      </c>
      <c r="D125" s="6"/>
      <c r="E125" s="6"/>
      <c r="F125" s="16"/>
      <c r="G125" s="16"/>
      <c r="H125" s="16"/>
      <c r="I125" s="16"/>
      <c r="J125" s="16"/>
      <c r="K125" s="16"/>
    </row>
    <row r="126" spans="2:11" ht="43.5" customHeight="1" x14ac:dyDescent="0.25">
      <c r="B126" s="8" t="s">
        <v>1</v>
      </c>
      <c r="C126" s="8" t="s">
        <v>4337</v>
      </c>
      <c r="D126" s="8" t="s">
        <v>2</v>
      </c>
      <c r="E126" s="8" t="s">
        <v>4453</v>
      </c>
      <c r="F126" s="8" t="s">
        <v>4370</v>
      </c>
      <c r="G126" s="8" t="s">
        <v>4344</v>
      </c>
      <c r="H126" s="8" t="s">
        <v>4451</v>
      </c>
      <c r="I126" s="8" t="s">
        <v>4346</v>
      </c>
      <c r="J126" s="8" t="s">
        <v>3</v>
      </c>
      <c r="K126" s="8" t="s">
        <v>4</v>
      </c>
    </row>
    <row r="127" spans="2:11" ht="26.25" customHeight="1" x14ac:dyDescent="0.25">
      <c r="B127" s="9"/>
      <c r="C127" s="9"/>
      <c r="D127" s="2" t="str">
        <f>_xlfn.IFNA(INDEX(Program!A:A,MATCH(Table310284041424344454647484950[[#This Row],[*Program Code]],Program!B:B,0)),"")</f>
        <v/>
      </c>
      <c r="F127" s="10"/>
      <c r="G127" s="9"/>
      <c r="H127" s="11"/>
      <c r="I127" s="17"/>
      <c r="J127" s="15">
        <f>Table310284041424344454647484950[[#This Row],[*Unit Price]]*Table310284041424344454647484950[[#This Row],[*Quantity]]</f>
        <v>0</v>
      </c>
    </row>
    <row r="128" spans="2:11" ht="26.25" customHeight="1" x14ac:dyDescent="0.25">
      <c r="B128" s="9"/>
      <c r="C128" s="9"/>
      <c r="D128" s="2" t="str">
        <f>_xlfn.IFNA(INDEX(Program!A:A,MATCH(Table310284041424344454647484950[[#This Row],[*Program Code]],Program!B:B,0)),"")</f>
        <v/>
      </c>
      <c r="F128" s="10"/>
      <c r="G128" s="9"/>
      <c r="H128" s="11"/>
      <c r="I128" s="17"/>
      <c r="J128" s="15">
        <f>Table310284041424344454647484950[[#This Row],[*Unit Price]]*Table310284041424344454647484950[[#This Row],[*Quantity]]</f>
        <v>0</v>
      </c>
    </row>
    <row r="129" spans="2:11" ht="26.25" customHeight="1" x14ac:dyDescent="0.25">
      <c r="B129" s="9"/>
      <c r="C129" s="9"/>
      <c r="D129" s="2" t="str">
        <f>_xlfn.IFNA(INDEX(Program!A:A,MATCH(Table310284041424344454647484950[[#This Row],[*Program Code]],Program!B:B,0)),"")</f>
        <v/>
      </c>
      <c r="F129" s="10"/>
      <c r="G129" s="9"/>
      <c r="H129" s="11"/>
      <c r="I129" s="17"/>
      <c r="J129" s="15">
        <f>Table310284041424344454647484950[[#This Row],[*Unit Price]]*Table310284041424344454647484950[[#This Row],[*Quantity]]</f>
        <v>0</v>
      </c>
    </row>
    <row r="130" spans="2:11" ht="26.25" customHeight="1" x14ac:dyDescent="0.25">
      <c r="B130" s="9"/>
      <c r="C130" s="9"/>
      <c r="D130" s="2" t="str">
        <f>_xlfn.IFNA(INDEX(Program!A:A,MATCH(Table310284041424344454647484950[[#This Row],[*Program Code]],Program!B:B,0)),"")</f>
        <v/>
      </c>
      <c r="F130" s="10"/>
      <c r="G130" s="9"/>
      <c r="H130" s="11"/>
      <c r="I130" s="17"/>
      <c r="J130" s="15">
        <f>Table310284041424344454647484950[[#This Row],[*Unit Price]]*Table310284041424344454647484950[[#This Row],[*Quantity]]</f>
        <v>0</v>
      </c>
    </row>
    <row r="131" spans="2:11" ht="26.25" customHeight="1" x14ac:dyDescent="0.25">
      <c r="B131" s="9"/>
      <c r="C131" s="9"/>
      <c r="D131" s="2" t="str">
        <f>_xlfn.IFNA(INDEX(Program!A:A,MATCH(Table310284041424344454647484950[[#This Row],[*Program Code]],Program!B:B,0)),"")</f>
        <v/>
      </c>
      <c r="F131" s="10"/>
      <c r="G131" s="9"/>
      <c r="H131" s="11"/>
      <c r="I131" s="17"/>
      <c r="J131" s="15">
        <f>Table310284041424344454647484950[[#This Row],[*Unit Price]]*Table310284041424344454647484950[[#This Row],[*Quantity]]</f>
        <v>0</v>
      </c>
    </row>
    <row r="132" spans="2:11" ht="26.25" customHeight="1" x14ac:dyDescent="0.25">
      <c r="B132" s="9"/>
      <c r="C132" s="9"/>
      <c r="D132" s="3" t="str">
        <f>_xlfn.IFNA(INDEX(Program!A:A,MATCH(Table310284041424344454647484950[[#This Row],[*Program Code]],Program!B:B,0)),"")</f>
        <v/>
      </c>
      <c r="F132" s="10"/>
      <c r="G132" s="9"/>
      <c r="H132" s="11"/>
      <c r="I132" s="17"/>
      <c r="J132" s="15">
        <f>Table310284041424344454647484950[[#This Row],[*Unit Price]]*Table310284041424344454647484950[[#This Row],[*Quantity]]</f>
        <v>0</v>
      </c>
    </row>
    <row r="133" spans="2:11" ht="26.25" customHeight="1" x14ac:dyDescent="0.25">
      <c r="B133" s="9"/>
      <c r="C133" s="9"/>
      <c r="D133" s="3" t="str">
        <f>_xlfn.IFNA(INDEX(Program!A:A,MATCH(Table310284041424344454647484950[[#This Row],[*Program Code]],Program!B:B,0)),"")</f>
        <v/>
      </c>
      <c r="F133" s="10"/>
      <c r="G133" s="9"/>
      <c r="H133" s="11"/>
      <c r="I133" s="17"/>
      <c r="J133" s="15">
        <f>Table310284041424344454647484950[[#This Row],[*Unit Price]]*Table310284041424344454647484950[[#This Row],[*Quantity]]</f>
        <v>0</v>
      </c>
    </row>
    <row r="134" spans="2:11" ht="26.25" customHeight="1" x14ac:dyDescent="0.25">
      <c r="B134" s="12" t="s">
        <v>5</v>
      </c>
      <c r="C134" s="13"/>
      <c r="D134" s="12"/>
      <c r="E134" s="12"/>
      <c r="F134" s="12"/>
      <c r="G134" s="12"/>
      <c r="H134" s="12"/>
      <c r="I134" s="12"/>
      <c r="J134" s="14">
        <f>SUBTOTAL(109,Table310284041424344454647484950[Total Expenditure])</f>
        <v>0</v>
      </c>
      <c r="K134" s="12"/>
    </row>
    <row r="136" spans="2:11" ht="26.25" customHeight="1" x14ac:dyDescent="0.25">
      <c r="B136" s="4">
        <v>223013</v>
      </c>
      <c r="C136" s="5" t="s">
        <v>4377</v>
      </c>
      <c r="D136" s="6"/>
      <c r="E136" s="6"/>
      <c r="F136" s="16"/>
      <c r="G136" s="16"/>
      <c r="H136" s="16"/>
      <c r="I136" s="16"/>
      <c r="J136" s="16"/>
      <c r="K136" s="16"/>
    </row>
    <row r="137" spans="2:11" ht="43.5" customHeight="1" x14ac:dyDescent="0.25">
      <c r="B137" s="8" t="s">
        <v>1</v>
      </c>
      <c r="C137" s="8" t="s">
        <v>4337</v>
      </c>
      <c r="D137" s="8" t="s">
        <v>2</v>
      </c>
      <c r="E137" s="8" t="s">
        <v>4437</v>
      </c>
      <c r="F137" s="8" t="s">
        <v>4370</v>
      </c>
      <c r="G137" s="8" t="s">
        <v>4344</v>
      </c>
      <c r="H137" s="8" t="s">
        <v>4451</v>
      </c>
      <c r="I137" s="8" t="s">
        <v>4346</v>
      </c>
      <c r="J137" s="8" t="s">
        <v>3</v>
      </c>
      <c r="K137" s="8" t="s">
        <v>4</v>
      </c>
    </row>
    <row r="138" spans="2:11" ht="26.25" customHeight="1" x14ac:dyDescent="0.25">
      <c r="B138" s="9"/>
      <c r="C138" s="9"/>
      <c r="D138" s="2" t="str">
        <f>_xlfn.IFNA(INDEX(Program!A:A,MATCH(Table31028404142434445464748495051[[#This Row],[*Program Code]],Program!B:B,0)),"")</f>
        <v/>
      </c>
      <c r="F138" s="10"/>
      <c r="G138" s="9"/>
      <c r="H138" s="11"/>
      <c r="I138" s="17"/>
      <c r="J138" s="15">
        <f>Table31028404142434445464748495051[[#This Row],[*Unit Price]]*Table31028404142434445464748495051[[#This Row],[*Quantity]]</f>
        <v>0</v>
      </c>
    </row>
    <row r="139" spans="2:11" ht="26.25" customHeight="1" x14ac:dyDescent="0.25">
      <c r="B139" s="9"/>
      <c r="C139" s="9"/>
      <c r="D139" s="2" t="str">
        <f>_xlfn.IFNA(INDEX(Program!A:A,MATCH(Table31028404142434445464748495051[[#This Row],[*Program Code]],Program!B:B,0)),"")</f>
        <v/>
      </c>
      <c r="F139" s="10"/>
      <c r="G139" s="9"/>
      <c r="H139" s="11"/>
      <c r="I139" s="17"/>
      <c r="J139" s="15">
        <f>Table31028404142434445464748495051[[#This Row],[*Unit Price]]*Table31028404142434445464748495051[[#This Row],[*Quantity]]</f>
        <v>0</v>
      </c>
    </row>
    <row r="140" spans="2:11" ht="26.25" customHeight="1" x14ac:dyDescent="0.25">
      <c r="B140" s="9"/>
      <c r="C140" s="9"/>
      <c r="D140" s="2" t="str">
        <f>_xlfn.IFNA(INDEX(Program!A:A,MATCH(Table31028404142434445464748495051[[#This Row],[*Program Code]],Program!B:B,0)),"")</f>
        <v/>
      </c>
      <c r="F140" s="10"/>
      <c r="G140" s="9"/>
      <c r="H140" s="11"/>
      <c r="I140" s="17"/>
      <c r="J140" s="15">
        <f>Table31028404142434445464748495051[[#This Row],[*Unit Price]]*Table31028404142434445464748495051[[#This Row],[*Quantity]]</f>
        <v>0</v>
      </c>
    </row>
    <row r="141" spans="2:11" ht="26.25" customHeight="1" x14ac:dyDescent="0.25">
      <c r="B141" s="9"/>
      <c r="C141" s="9"/>
      <c r="D141" s="2" t="str">
        <f>_xlfn.IFNA(INDEX(Program!A:A,MATCH(Table31028404142434445464748495051[[#This Row],[*Program Code]],Program!B:B,0)),"")</f>
        <v/>
      </c>
      <c r="F141" s="10"/>
      <c r="G141" s="9"/>
      <c r="H141" s="11"/>
      <c r="I141" s="17"/>
      <c r="J141" s="15">
        <f>Table31028404142434445464748495051[[#This Row],[*Unit Price]]*Table31028404142434445464748495051[[#This Row],[*Quantity]]</f>
        <v>0</v>
      </c>
    </row>
    <row r="142" spans="2:11" ht="26.25" customHeight="1" x14ac:dyDescent="0.25">
      <c r="B142" s="9"/>
      <c r="C142" s="9"/>
      <c r="D142" s="2" t="str">
        <f>_xlfn.IFNA(INDEX(Program!A:A,MATCH(Table31028404142434445464748495051[[#This Row],[*Program Code]],Program!B:B,0)),"")</f>
        <v/>
      </c>
      <c r="F142" s="10"/>
      <c r="G142" s="9"/>
      <c r="H142" s="11"/>
      <c r="I142" s="17"/>
      <c r="J142" s="15">
        <f>Table31028404142434445464748495051[[#This Row],[*Unit Price]]*Table31028404142434445464748495051[[#This Row],[*Quantity]]</f>
        <v>0</v>
      </c>
    </row>
    <row r="143" spans="2:11" ht="26.25" customHeight="1" x14ac:dyDescent="0.25">
      <c r="B143" s="9"/>
      <c r="C143" s="9"/>
      <c r="D143" s="3" t="str">
        <f>_xlfn.IFNA(INDEX(Program!A:A,MATCH(Table31028404142434445464748495051[[#This Row],[*Program Code]],Program!B:B,0)),"")</f>
        <v/>
      </c>
      <c r="F143" s="10"/>
      <c r="G143" s="9"/>
      <c r="H143" s="11"/>
      <c r="I143" s="17"/>
      <c r="J143" s="15">
        <f>Table31028404142434445464748495051[[#This Row],[*Unit Price]]*Table31028404142434445464748495051[[#This Row],[*Quantity]]</f>
        <v>0</v>
      </c>
    </row>
    <row r="144" spans="2:11" ht="26.25" customHeight="1" x14ac:dyDescent="0.25">
      <c r="B144" s="9"/>
      <c r="C144" s="9"/>
      <c r="D144" s="3" t="str">
        <f>_xlfn.IFNA(INDEX(Program!A:A,MATCH(Table31028404142434445464748495051[[#This Row],[*Program Code]],Program!B:B,0)),"")</f>
        <v/>
      </c>
      <c r="F144" s="10"/>
      <c r="G144" s="9"/>
      <c r="H144" s="11"/>
      <c r="I144" s="17"/>
      <c r="J144" s="15">
        <f>Table31028404142434445464748495051[[#This Row],[*Unit Price]]*Table31028404142434445464748495051[[#This Row],[*Quantity]]</f>
        <v>0</v>
      </c>
    </row>
    <row r="145" spans="2:11" ht="26.25" customHeight="1" x14ac:dyDescent="0.25">
      <c r="B145" s="12" t="s">
        <v>5</v>
      </c>
      <c r="C145" s="13"/>
      <c r="D145" s="12"/>
      <c r="E145" s="12"/>
      <c r="F145" s="12"/>
      <c r="G145" s="12"/>
      <c r="H145" s="12"/>
      <c r="I145" s="12"/>
      <c r="J145" s="14">
        <f>SUBTOTAL(109,Table31028404142434445464748495051[Total Expenditure])</f>
        <v>0</v>
      </c>
      <c r="K145" s="12"/>
    </row>
    <row r="147" spans="2:11" ht="26.25" customHeight="1" x14ac:dyDescent="0.25">
      <c r="B147" s="4">
        <v>223014</v>
      </c>
      <c r="C147" s="5" t="s">
        <v>4378</v>
      </c>
      <c r="D147" s="6"/>
      <c r="E147" s="6"/>
      <c r="F147" s="16"/>
      <c r="G147" s="16"/>
      <c r="H147" s="16"/>
      <c r="I147" s="16"/>
      <c r="J147" s="16"/>
      <c r="K147" s="16"/>
    </row>
    <row r="148" spans="2:11" ht="43.5" customHeight="1" x14ac:dyDescent="0.25">
      <c r="B148" s="8" t="s">
        <v>1</v>
      </c>
      <c r="C148" s="8" t="s">
        <v>4337</v>
      </c>
      <c r="D148" s="8" t="s">
        <v>2</v>
      </c>
      <c r="E148" s="8" t="s">
        <v>4379</v>
      </c>
      <c r="F148" s="8" t="s">
        <v>4370</v>
      </c>
      <c r="G148" s="8" t="s">
        <v>4344</v>
      </c>
      <c r="H148" s="8" t="s">
        <v>4451</v>
      </c>
      <c r="I148" s="8" t="s">
        <v>4346</v>
      </c>
      <c r="J148" s="8" t="s">
        <v>3</v>
      </c>
      <c r="K148" s="8" t="s">
        <v>4</v>
      </c>
    </row>
    <row r="149" spans="2:11" ht="26.25" customHeight="1" x14ac:dyDescent="0.25">
      <c r="B149" s="9"/>
      <c r="C149" s="9"/>
      <c r="D149" s="2" t="str">
        <f>_xlfn.IFNA(INDEX(Program!A:A,MATCH(Table3102840414243444546474849505152[[#This Row],[*Program Code]],Program!B:B,0)),"")</f>
        <v/>
      </c>
      <c r="F149" s="10"/>
      <c r="G149" s="9"/>
      <c r="H149" s="11"/>
      <c r="I149" s="17"/>
      <c r="J149" s="15">
        <f>Table3102840414243444546474849505152[[#This Row],[*Unit Price]]*Table3102840414243444546474849505152[[#This Row],[*Quantity]]</f>
        <v>0</v>
      </c>
    </row>
    <row r="150" spans="2:11" ht="26.25" customHeight="1" x14ac:dyDescent="0.25">
      <c r="B150" s="9"/>
      <c r="C150" s="9"/>
      <c r="D150" s="2" t="str">
        <f>_xlfn.IFNA(INDEX(Program!A:A,MATCH(Table3102840414243444546474849505152[[#This Row],[*Program Code]],Program!B:B,0)),"")</f>
        <v/>
      </c>
      <c r="F150" s="10"/>
      <c r="G150" s="9"/>
      <c r="H150" s="11"/>
      <c r="I150" s="17"/>
      <c r="J150" s="15">
        <f>Table3102840414243444546474849505152[[#This Row],[*Unit Price]]*Table3102840414243444546474849505152[[#This Row],[*Quantity]]</f>
        <v>0</v>
      </c>
    </row>
    <row r="151" spans="2:11" ht="26.25" customHeight="1" x14ac:dyDescent="0.25">
      <c r="B151" s="9"/>
      <c r="C151" s="9"/>
      <c r="D151" s="2" t="str">
        <f>_xlfn.IFNA(INDEX(Program!A:A,MATCH(Table3102840414243444546474849505152[[#This Row],[*Program Code]],Program!B:B,0)),"")</f>
        <v/>
      </c>
      <c r="F151" s="10"/>
      <c r="G151" s="9"/>
      <c r="H151" s="11"/>
      <c r="I151" s="17"/>
      <c r="J151" s="15">
        <f>Table3102840414243444546474849505152[[#This Row],[*Unit Price]]*Table3102840414243444546474849505152[[#This Row],[*Quantity]]</f>
        <v>0</v>
      </c>
    </row>
    <row r="152" spans="2:11" ht="26.25" customHeight="1" x14ac:dyDescent="0.25">
      <c r="B152" s="9"/>
      <c r="C152" s="9"/>
      <c r="D152" s="2" t="str">
        <f>_xlfn.IFNA(INDEX(Program!A:A,MATCH(Table3102840414243444546474849505152[[#This Row],[*Program Code]],Program!B:B,0)),"")</f>
        <v/>
      </c>
      <c r="F152" s="10"/>
      <c r="G152" s="9"/>
      <c r="H152" s="11"/>
      <c r="I152" s="17"/>
      <c r="J152" s="15">
        <f>Table3102840414243444546474849505152[[#This Row],[*Unit Price]]*Table3102840414243444546474849505152[[#This Row],[*Quantity]]</f>
        <v>0</v>
      </c>
    </row>
    <row r="153" spans="2:11" ht="26.25" customHeight="1" x14ac:dyDescent="0.25">
      <c r="B153" s="9"/>
      <c r="C153" s="9"/>
      <c r="D153" s="2" t="str">
        <f>_xlfn.IFNA(INDEX(Program!A:A,MATCH(Table3102840414243444546474849505152[[#This Row],[*Program Code]],Program!B:B,0)),"")</f>
        <v/>
      </c>
      <c r="F153" s="10"/>
      <c r="G153" s="9"/>
      <c r="H153" s="11"/>
      <c r="I153" s="17"/>
      <c r="J153" s="15">
        <f>Table3102840414243444546474849505152[[#This Row],[*Unit Price]]*Table3102840414243444546474849505152[[#This Row],[*Quantity]]</f>
        <v>0</v>
      </c>
    </row>
    <row r="154" spans="2:11" ht="26.25" customHeight="1" x14ac:dyDescent="0.25">
      <c r="B154" s="9"/>
      <c r="C154" s="9"/>
      <c r="D154" s="3" t="str">
        <f>_xlfn.IFNA(INDEX(Program!A:A,MATCH(Table3102840414243444546474849505152[[#This Row],[*Program Code]],Program!B:B,0)),"")</f>
        <v/>
      </c>
      <c r="F154" s="10"/>
      <c r="G154" s="9"/>
      <c r="H154" s="11"/>
      <c r="I154" s="17"/>
      <c r="J154" s="15">
        <f>Table3102840414243444546474849505152[[#This Row],[*Unit Price]]*Table3102840414243444546474849505152[[#This Row],[*Quantity]]</f>
        <v>0</v>
      </c>
    </row>
    <row r="155" spans="2:11" ht="26.25" customHeight="1" x14ac:dyDescent="0.25">
      <c r="B155" s="9"/>
      <c r="C155" s="9"/>
      <c r="D155" s="3" t="str">
        <f>_xlfn.IFNA(INDEX(Program!A:A,MATCH(Table3102840414243444546474849505152[[#This Row],[*Program Code]],Program!B:B,0)),"")</f>
        <v/>
      </c>
      <c r="F155" s="10"/>
      <c r="G155" s="9"/>
      <c r="H155" s="11"/>
      <c r="I155" s="17"/>
      <c r="J155" s="15">
        <f>Table3102840414243444546474849505152[[#This Row],[*Unit Price]]*Table3102840414243444546474849505152[[#This Row],[*Quantity]]</f>
        <v>0</v>
      </c>
    </row>
    <row r="156" spans="2:11" ht="26.25" customHeight="1" x14ac:dyDescent="0.25">
      <c r="B156" s="12" t="s">
        <v>5</v>
      </c>
      <c r="C156" s="13"/>
      <c r="D156" s="12"/>
      <c r="E156" s="12"/>
      <c r="F156" s="12"/>
      <c r="G156" s="12"/>
      <c r="H156" s="12"/>
      <c r="I156" s="12"/>
      <c r="J156" s="14">
        <f>SUBTOTAL(109,Table3102840414243444546474849505152[Total Expenditure])</f>
        <v>0</v>
      </c>
      <c r="K156" s="12"/>
    </row>
    <row r="158" spans="2:11" ht="26.25" customHeight="1" x14ac:dyDescent="0.25">
      <c r="B158" s="4">
        <v>223015</v>
      </c>
      <c r="C158" s="5" t="s">
        <v>4380</v>
      </c>
      <c r="D158" s="6"/>
      <c r="E158" s="6"/>
      <c r="F158" s="16"/>
      <c r="G158" s="16"/>
      <c r="H158" s="16"/>
      <c r="I158" s="16"/>
      <c r="J158" s="16"/>
      <c r="K158" s="16"/>
    </row>
    <row r="159" spans="2:11" ht="43.5" customHeight="1" x14ac:dyDescent="0.25">
      <c r="B159" s="8" t="s">
        <v>1</v>
      </c>
      <c r="C159" s="8" t="s">
        <v>4337</v>
      </c>
      <c r="D159" s="8" t="s">
        <v>2</v>
      </c>
      <c r="E159" s="8" t="s">
        <v>4381</v>
      </c>
      <c r="F159" s="8" t="s">
        <v>4370</v>
      </c>
      <c r="G159" s="8" t="s">
        <v>4344</v>
      </c>
      <c r="H159" s="8" t="s">
        <v>4451</v>
      </c>
      <c r="I159" s="8" t="s">
        <v>4346</v>
      </c>
      <c r="J159" s="8" t="s">
        <v>3</v>
      </c>
      <c r="K159" s="8" t="s">
        <v>4</v>
      </c>
    </row>
    <row r="160" spans="2:11" ht="26.25" customHeight="1" x14ac:dyDescent="0.25">
      <c r="B160" s="9"/>
      <c r="C160" s="9"/>
      <c r="D160" s="2" t="str">
        <f>_xlfn.IFNA(INDEX(Program!A:A,MATCH(Table310284041424344454647484950515253[[#This Row],[*Program Code]],Program!B:B,0)),"")</f>
        <v/>
      </c>
      <c r="F160" s="10"/>
      <c r="G160" s="9"/>
      <c r="H160" s="11"/>
      <c r="I160" s="17"/>
      <c r="J160" s="15">
        <f>Table310284041424344454647484950515253[[#This Row],[*Unit Price]]*Table310284041424344454647484950515253[[#This Row],[*Quantity]]</f>
        <v>0</v>
      </c>
    </row>
    <row r="161" spans="2:11" ht="26.25" customHeight="1" x14ac:dyDescent="0.25">
      <c r="B161" s="9"/>
      <c r="C161" s="9"/>
      <c r="D161" s="2" t="str">
        <f>_xlfn.IFNA(INDEX(Program!A:A,MATCH(Table310284041424344454647484950515253[[#This Row],[*Program Code]],Program!B:B,0)),"")</f>
        <v/>
      </c>
      <c r="F161" s="10"/>
      <c r="G161" s="9"/>
      <c r="H161" s="11"/>
      <c r="I161" s="17"/>
      <c r="J161" s="15">
        <f>Table310284041424344454647484950515253[[#This Row],[*Unit Price]]*Table310284041424344454647484950515253[[#This Row],[*Quantity]]</f>
        <v>0</v>
      </c>
    </row>
    <row r="162" spans="2:11" ht="26.25" customHeight="1" x14ac:dyDescent="0.25">
      <c r="B162" s="9"/>
      <c r="C162" s="9"/>
      <c r="D162" s="2" t="str">
        <f>_xlfn.IFNA(INDEX(Program!A:A,MATCH(Table310284041424344454647484950515253[[#This Row],[*Program Code]],Program!B:B,0)),"")</f>
        <v/>
      </c>
      <c r="F162" s="10"/>
      <c r="G162" s="9"/>
      <c r="H162" s="11"/>
      <c r="I162" s="17"/>
      <c r="J162" s="15">
        <f>Table310284041424344454647484950515253[[#This Row],[*Unit Price]]*Table310284041424344454647484950515253[[#This Row],[*Quantity]]</f>
        <v>0</v>
      </c>
    </row>
    <row r="163" spans="2:11" ht="26.25" customHeight="1" x14ac:dyDescent="0.25">
      <c r="B163" s="9"/>
      <c r="C163" s="9"/>
      <c r="D163" s="2" t="str">
        <f>_xlfn.IFNA(INDEX(Program!A:A,MATCH(Table310284041424344454647484950515253[[#This Row],[*Program Code]],Program!B:B,0)),"")</f>
        <v/>
      </c>
      <c r="F163" s="10"/>
      <c r="G163" s="9"/>
      <c r="H163" s="11"/>
      <c r="I163" s="17"/>
      <c r="J163" s="15">
        <f>Table310284041424344454647484950515253[[#This Row],[*Unit Price]]*Table310284041424344454647484950515253[[#This Row],[*Quantity]]</f>
        <v>0</v>
      </c>
    </row>
    <row r="164" spans="2:11" ht="26.25" customHeight="1" x14ac:dyDescent="0.25">
      <c r="B164" s="9"/>
      <c r="C164" s="9"/>
      <c r="D164" s="2" t="str">
        <f>_xlfn.IFNA(INDEX(Program!A:A,MATCH(Table310284041424344454647484950515253[[#This Row],[*Program Code]],Program!B:B,0)),"")</f>
        <v/>
      </c>
      <c r="F164" s="10"/>
      <c r="G164" s="9"/>
      <c r="H164" s="11"/>
      <c r="I164" s="17"/>
      <c r="J164" s="15">
        <f>Table310284041424344454647484950515253[[#This Row],[*Unit Price]]*Table310284041424344454647484950515253[[#This Row],[*Quantity]]</f>
        <v>0</v>
      </c>
    </row>
    <row r="165" spans="2:11" ht="26.25" customHeight="1" x14ac:dyDescent="0.25">
      <c r="B165" s="9"/>
      <c r="C165" s="9"/>
      <c r="D165" s="3" t="str">
        <f>_xlfn.IFNA(INDEX(Program!A:A,MATCH(Table310284041424344454647484950515253[[#This Row],[*Program Code]],Program!B:B,0)),"")</f>
        <v/>
      </c>
      <c r="F165" s="10"/>
      <c r="G165" s="9"/>
      <c r="H165" s="11"/>
      <c r="I165" s="17"/>
      <c r="J165" s="15">
        <f>Table310284041424344454647484950515253[[#This Row],[*Unit Price]]*Table310284041424344454647484950515253[[#This Row],[*Quantity]]</f>
        <v>0</v>
      </c>
    </row>
    <row r="166" spans="2:11" ht="26.25" customHeight="1" x14ac:dyDescent="0.25">
      <c r="B166" s="9"/>
      <c r="C166" s="9"/>
      <c r="D166" s="3" t="str">
        <f>_xlfn.IFNA(INDEX(Program!A:A,MATCH(Table310284041424344454647484950515253[[#This Row],[*Program Code]],Program!B:B,0)),"")</f>
        <v/>
      </c>
      <c r="F166" s="10"/>
      <c r="G166" s="9"/>
      <c r="H166" s="11"/>
      <c r="I166" s="17"/>
      <c r="J166" s="15">
        <f>Table310284041424344454647484950515253[[#This Row],[*Unit Price]]*Table310284041424344454647484950515253[[#This Row],[*Quantity]]</f>
        <v>0</v>
      </c>
    </row>
    <row r="167" spans="2:11" ht="26.25" customHeight="1" x14ac:dyDescent="0.25">
      <c r="B167" s="12" t="s">
        <v>5</v>
      </c>
      <c r="C167" s="13"/>
      <c r="D167" s="12"/>
      <c r="E167" s="12"/>
      <c r="F167" s="12"/>
      <c r="G167" s="12"/>
      <c r="H167" s="12"/>
      <c r="I167" s="12"/>
      <c r="J167" s="14">
        <f>SUBTOTAL(109,Table310284041424344454647484950515253[Total Expenditure])</f>
        <v>0</v>
      </c>
      <c r="K167" s="12"/>
    </row>
    <row r="169" spans="2:11" ht="26.25" customHeight="1" x14ac:dyDescent="0.25">
      <c r="B169" s="4">
        <v>223016</v>
      </c>
      <c r="C169" s="5" t="s">
        <v>4382</v>
      </c>
      <c r="D169" s="6"/>
      <c r="E169" s="6"/>
      <c r="F169" s="16"/>
      <c r="G169" s="16"/>
      <c r="H169" s="16"/>
      <c r="I169" s="16"/>
      <c r="J169" s="16"/>
      <c r="K169" s="16"/>
    </row>
    <row r="170" spans="2:11" ht="43.5" customHeight="1" x14ac:dyDescent="0.25">
      <c r="B170" s="8" t="s">
        <v>1</v>
      </c>
      <c r="C170" s="8" t="s">
        <v>4337</v>
      </c>
      <c r="D170" s="8" t="s">
        <v>2</v>
      </c>
      <c r="E170" s="8" t="s">
        <v>4453</v>
      </c>
      <c r="F170" s="8" t="s">
        <v>4370</v>
      </c>
      <c r="G170" s="8" t="s">
        <v>4344</v>
      </c>
      <c r="H170" s="8" t="s">
        <v>4451</v>
      </c>
      <c r="I170" s="8" t="s">
        <v>4346</v>
      </c>
      <c r="J170" s="8" t="s">
        <v>3</v>
      </c>
      <c r="K170" s="8" t="s">
        <v>4</v>
      </c>
    </row>
    <row r="171" spans="2:11" ht="26.25" customHeight="1" x14ac:dyDescent="0.25">
      <c r="B171" s="9"/>
      <c r="C171" s="9"/>
      <c r="D171" s="2" t="str">
        <f>_xlfn.IFNA(INDEX(Program!A:A,MATCH(Table31028404142434445464748495051525354[[#This Row],[*Program Code]],Program!B:B,0)),"")</f>
        <v/>
      </c>
      <c r="F171" s="10"/>
      <c r="G171" s="9"/>
      <c r="H171" s="11"/>
      <c r="I171" s="17"/>
      <c r="J171" s="15">
        <f>Table31028404142434445464748495051525354[[#This Row],[*Unit Price]]*Table31028404142434445464748495051525354[[#This Row],[*Quantity]]</f>
        <v>0</v>
      </c>
    </row>
    <row r="172" spans="2:11" ht="26.25" customHeight="1" x14ac:dyDescent="0.25">
      <c r="B172" s="9"/>
      <c r="C172" s="9"/>
      <c r="D172" s="2" t="str">
        <f>_xlfn.IFNA(INDEX(Program!A:A,MATCH(Table31028404142434445464748495051525354[[#This Row],[*Program Code]],Program!B:B,0)),"")</f>
        <v/>
      </c>
      <c r="F172" s="10"/>
      <c r="G172" s="9"/>
      <c r="H172" s="11"/>
      <c r="I172" s="17"/>
      <c r="J172" s="15">
        <f>Table31028404142434445464748495051525354[[#This Row],[*Unit Price]]*Table31028404142434445464748495051525354[[#This Row],[*Quantity]]</f>
        <v>0</v>
      </c>
    </row>
    <row r="173" spans="2:11" ht="26.25" customHeight="1" x14ac:dyDescent="0.25">
      <c r="B173" s="9"/>
      <c r="C173" s="9"/>
      <c r="D173" s="2" t="str">
        <f>_xlfn.IFNA(INDEX(Program!A:A,MATCH(Table31028404142434445464748495051525354[[#This Row],[*Program Code]],Program!B:B,0)),"")</f>
        <v/>
      </c>
      <c r="F173" s="10"/>
      <c r="G173" s="9"/>
      <c r="H173" s="11"/>
      <c r="I173" s="17"/>
      <c r="J173" s="15">
        <f>Table31028404142434445464748495051525354[[#This Row],[*Unit Price]]*Table31028404142434445464748495051525354[[#This Row],[*Quantity]]</f>
        <v>0</v>
      </c>
    </row>
    <row r="174" spans="2:11" ht="26.25" customHeight="1" x14ac:dyDescent="0.25">
      <c r="B174" s="9"/>
      <c r="C174" s="9"/>
      <c r="D174" s="2" t="str">
        <f>_xlfn.IFNA(INDEX(Program!A:A,MATCH(Table31028404142434445464748495051525354[[#This Row],[*Program Code]],Program!B:B,0)),"")</f>
        <v/>
      </c>
      <c r="F174" s="10"/>
      <c r="G174" s="9"/>
      <c r="H174" s="11"/>
      <c r="I174" s="17"/>
      <c r="J174" s="15">
        <f>Table31028404142434445464748495051525354[[#This Row],[*Unit Price]]*Table31028404142434445464748495051525354[[#This Row],[*Quantity]]</f>
        <v>0</v>
      </c>
    </row>
    <row r="175" spans="2:11" ht="26.25" customHeight="1" x14ac:dyDescent="0.25">
      <c r="B175" s="9"/>
      <c r="C175" s="9"/>
      <c r="D175" s="2" t="str">
        <f>_xlfn.IFNA(INDEX(Program!A:A,MATCH(Table31028404142434445464748495051525354[[#This Row],[*Program Code]],Program!B:B,0)),"")</f>
        <v/>
      </c>
      <c r="F175" s="10"/>
      <c r="G175" s="9"/>
      <c r="H175" s="11"/>
      <c r="I175" s="17"/>
      <c r="J175" s="15">
        <f>Table31028404142434445464748495051525354[[#This Row],[*Unit Price]]*Table31028404142434445464748495051525354[[#This Row],[*Quantity]]</f>
        <v>0</v>
      </c>
    </row>
    <row r="176" spans="2:11" ht="26.25" customHeight="1" x14ac:dyDescent="0.25">
      <c r="B176" s="9"/>
      <c r="C176" s="9"/>
      <c r="D176" s="3" t="str">
        <f>_xlfn.IFNA(INDEX(Program!A:A,MATCH(Table31028404142434445464748495051525354[[#This Row],[*Program Code]],Program!B:B,0)),"")</f>
        <v/>
      </c>
      <c r="F176" s="10"/>
      <c r="G176" s="9"/>
      <c r="H176" s="11"/>
      <c r="I176" s="17"/>
      <c r="J176" s="15">
        <f>Table31028404142434445464748495051525354[[#This Row],[*Unit Price]]*Table31028404142434445464748495051525354[[#This Row],[*Quantity]]</f>
        <v>0</v>
      </c>
    </row>
    <row r="177" spans="2:11" ht="26.25" customHeight="1" x14ac:dyDescent="0.25">
      <c r="B177" s="9"/>
      <c r="C177" s="9"/>
      <c r="D177" s="3" t="str">
        <f>_xlfn.IFNA(INDEX(Program!A:A,MATCH(Table31028404142434445464748495051525354[[#This Row],[*Program Code]],Program!B:B,0)),"")</f>
        <v/>
      </c>
      <c r="F177" s="10"/>
      <c r="G177" s="9"/>
      <c r="H177" s="11"/>
      <c r="I177" s="17"/>
      <c r="J177" s="15">
        <f>Table31028404142434445464748495051525354[[#This Row],[*Unit Price]]*Table31028404142434445464748495051525354[[#This Row],[*Quantity]]</f>
        <v>0</v>
      </c>
    </row>
    <row r="178" spans="2:11" ht="26.25" customHeight="1" x14ac:dyDescent="0.25">
      <c r="B178" s="12" t="s">
        <v>5</v>
      </c>
      <c r="C178" s="13"/>
      <c r="D178" s="12"/>
      <c r="E178" s="12"/>
      <c r="F178" s="12"/>
      <c r="G178" s="12"/>
      <c r="H178" s="12"/>
      <c r="I178" s="12"/>
      <c r="J178" s="14">
        <f>SUBTOTAL(109,Table31028404142434445464748495051525354[Total Expenditure])</f>
        <v>0</v>
      </c>
      <c r="K178" s="12"/>
    </row>
    <row r="180" spans="2:11" ht="26.25" customHeight="1" x14ac:dyDescent="0.25">
      <c r="B180" s="4">
        <v>223017</v>
      </c>
      <c r="C180" s="5" t="s">
        <v>4383</v>
      </c>
      <c r="D180" s="6"/>
      <c r="E180" s="6"/>
      <c r="F180" s="16"/>
      <c r="G180" s="16"/>
      <c r="H180" s="16"/>
      <c r="I180" s="16"/>
      <c r="J180" s="16"/>
      <c r="K180" s="16"/>
    </row>
    <row r="181" spans="2:11" ht="43.5" customHeight="1" x14ac:dyDescent="0.25">
      <c r="B181" s="8" t="s">
        <v>1</v>
      </c>
      <c r="C181" s="8" t="s">
        <v>4337</v>
      </c>
      <c r="D181" s="8" t="s">
        <v>2</v>
      </c>
      <c r="E181" s="8" t="s">
        <v>4453</v>
      </c>
      <c r="F181" s="8" t="s">
        <v>4370</v>
      </c>
      <c r="G181" s="8" t="s">
        <v>4344</v>
      </c>
      <c r="H181" s="8" t="s">
        <v>4451</v>
      </c>
      <c r="I181" s="8" t="s">
        <v>4346</v>
      </c>
      <c r="J181" s="8" t="s">
        <v>3</v>
      </c>
      <c r="K181" s="8" t="s">
        <v>4</v>
      </c>
    </row>
    <row r="182" spans="2:11" ht="26.25" customHeight="1" x14ac:dyDescent="0.25">
      <c r="B182" s="9"/>
      <c r="C182" s="9"/>
      <c r="D182" s="2" t="str">
        <f>_xlfn.IFNA(INDEX(Program!A:A,MATCH(Table3102840414243444546474849505152535455[[#This Row],[*Program Code]],Program!B:B,0)),"")</f>
        <v/>
      </c>
      <c r="F182" s="10"/>
      <c r="G182" s="9"/>
      <c r="H182" s="11"/>
      <c r="I182" s="17"/>
      <c r="J182" s="15">
        <f>Table3102840414243444546474849505152535455[[#This Row],[*Unit Price]]*Table3102840414243444546474849505152535455[[#This Row],[*Quantity]]</f>
        <v>0</v>
      </c>
    </row>
    <row r="183" spans="2:11" ht="26.25" customHeight="1" x14ac:dyDescent="0.25">
      <c r="B183" s="9"/>
      <c r="C183" s="9"/>
      <c r="D183" s="2" t="str">
        <f>_xlfn.IFNA(INDEX(Program!A:A,MATCH(Table3102840414243444546474849505152535455[[#This Row],[*Program Code]],Program!B:B,0)),"")</f>
        <v/>
      </c>
      <c r="F183" s="10"/>
      <c r="G183" s="9"/>
      <c r="H183" s="11"/>
      <c r="I183" s="17"/>
      <c r="J183" s="15">
        <f>Table3102840414243444546474849505152535455[[#This Row],[*Unit Price]]*Table3102840414243444546474849505152535455[[#This Row],[*Quantity]]</f>
        <v>0</v>
      </c>
    </row>
    <row r="184" spans="2:11" ht="26.25" customHeight="1" x14ac:dyDescent="0.25">
      <c r="B184" s="9"/>
      <c r="C184" s="9"/>
      <c r="D184" s="2" t="str">
        <f>_xlfn.IFNA(INDEX(Program!A:A,MATCH(Table3102840414243444546474849505152535455[[#This Row],[*Program Code]],Program!B:B,0)),"")</f>
        <v/>
      </c>
      <c r="F184" s="10"/>
      <c r="G184" s="9"/>
      <c r="H184" s="11"/>
      <c r="I184" s="17"/>
      <c r="J184" s="15">
        <f>Table3102840414243444546474849505152535455[[#This Row],[*Unit Price]]*Table3102840414243444546474849505152535455[[#This Row],[*Quantity]]</f>
        <v>0</v>
      </c>
    </row>
    <row r="185" spans="2:11" ht="26.25" customHeight="1" x14ac:dyDescent="0.25">
      <c r="B185" s="9"/>
      <c r="C185" s="9"/>
      <c r="D185" s="2" t="str">
        <f>_xlfn.IFNA(INDEX(Program!A:A,MATCH(Table3102840414243444546474849505152535455[[#This Row],[*Program Code]],Program!B:B,0)),"")</f>
        <v/>
      </c>
      <c r="F185" s="10"/>
      <c r="G185" s="9"/>
      <c r="H185" s="11"/>
      <c r="I185" s="17"/>
      <c r="J185" s="15">
        <f>Table3102840414243444546474849505152535455[[#This Row],[*Unit Price]]*Table3102840414243444546474849505152535455[[#This Row],[*Quantity]]</f>
        <v>0</v>
      </c>
    </row>
    <row r="186" spans="2:11" ht="26.25" customHeight="1" x14ac:dyDescent="0.25">
      <c r="B186" s="9"/>
      <c r="C186" s="9"/>
      <c r="D186" s="2" t="str">
        <f>_xlfn.IFNA(INDEX(Program!A:A,MATCH(Table3102840414243444546474849505152535455[[#This Row],[*Program Code]],Program!B:B,0)),"")</f>
        <v/>
      </c>
      <c r="F186" s="10"/>
      <c r="G186" s="9"/>
      <c r="H186" s="11"/>
      <c r="I186" s="17"/>
      <c r="J186" s="15">
        <f>Table3102840414243444546474849505152535455[[#This Row],[*Unit Price]]*Table3102840414243444546474849505152535455[[#This Row],[*Quantity]]</f>
        <v>0</v>
      </c>
    </row>
    <row r="187" spans="2:11" ht="26.25" customHeight="1" x14ac:dyDescent="0.25">
      <c r="B187" s="9"/>
      <c r="C187" s="9"/>
      <c r="D187" s="3" t="str">
        <f>_xlfn.IFNA(INDEX(Program!A:A,MATCH(Table3102840414243444546474849505152535455[[#This Row],[*Program Code]],Program!B:B,0)),"")</f>
        <v/>
      </c>
      <c r="F187" s="10"/>
      <c r="G187" s="9"/>
      <c r="H187" s="11"/>
      <c r="I187" s="17"/>
      <c r="J187" s="15">
        <f>Table3102840414243444546474849505152535455[[#This Row],[*Unit Price]]*Table3102840414243444546474849505152535455[[#This Row],[*Quantity]]</f>
        <v>0</v>
      </c>
    </row>
    <row r="188" spans="2:11" ht="26.25" customHeight="1" x14ac:dyDescent="0.25">
      <c r="B188" s="9"/>
      <c r="C188" s="9"/>
      <c r="D188" s="3" t="str">
        <f>_xlfn.IFNA(INDEX(Program!A:A,MATCH(Table3102840414243444546474849505152535455[[#This Row],[*Program Code]],Program!B:B,0)),"")</f>
        <v/>
      </c>
      <c r="F188" s="10"/>
      <c r="G188" s="9"/>
      <c r="H188" s="11"/>
      <c r="I188" s="17"/>
      <c r="J188" s="15">
        <f>Table3102840414243444546474849505152535455[[#This Row],[*Unit Price]]*Table3102840414243444546474849505152535455[[#This Row],[*Quantity]]</f>
        <v>0</v>
      </c>
    </row>
    <row r="189" spans="2:11" ht="26.25" customHeight="1" x14ac:dyDescent="0.25">
      <c r="B189" s="12" t="s">
        <v>5</v>
      </c>
      <c r="C189" s="13"/>
      <c r="D189" s="12"/>
      <c r="E189" s="12"/>
      <c r="F189" s="12"/>
      <c r="G189" s="12"/>
      <c r="H189" s="12"/>
      <c r="I189" s="12"/>
      <c r="J189" s="14">
        <f>SUBTOTAL(109,Table3102840414243444546474849505152535455[Total Expenditure])</f>
        <v>0</v>
      </c>
      <c r="K189" s="12"/>
    </row>
    <row r="191" spans="2:11" ht="26.25" customHeight="1" x14ac:dyDescent="0.25">
      <c r="B191" s="4">
        <v>223018</v>
      </c>
      <c r="C191" s="5" t="s">
        <v>4384</v>
      </c>
      <c r="D191" s="6"/>
      <c r="E191" s="6"/>
      <c r="F191" s="16"/>
      <c r="G191" s="16"/>
      <c r="H191" s="16"/>
      <c r="I191" s="16"/>
      <c r="J191" s="16"/>
      <c r="K191" s="16"/>
    </row>
    <row r="192" spans="2:11" ht="43.5" customHeight="1" x14ac:dyDescent="0.25">
      <c r="B192" s="8" t="s">
        <v>1</v>
      </c>
      <c r="C192" s="8" t="s">
        <v>4337</v>
      </c>
      <c r="D192" s="8" t="s">
        <v>2</v>
      </c>
      <c r="E192" s="8" t="s">
        <v>4453</v>
      </c>
      <c r="F192" s="8" t="s">
        <v>4370</v>
      </c>
      <c r="G192" s="8" t="s">
        <v>4344</v>
      </c>
      <c r="H192" s="8" t="s">
        <v>4451</v>
      </c>
      <c r="I192" s="8" t="s">
        <v>4346</v>
      </c>
      <c r="J192" s="8" t="s">
        <v>3</v>
      </c>
      <c r="K192" s="8" t="s">
        <v>4</v>
      </c>
    </row>
    <row r="193" spans="2:11" ht="26.25" customHeight="1" x14ac:dyDescent="0.25">
      <c r="B193" s="9"/>
      <c r="C193" s="9"/>
      <c r="D193" s="2" t="str">
        <f>_xlfn.IFNA(INDEX(Program!A:A,MATCH(Table310284041424344454647484950515253545556[[#This Row],[*Program Code]],Program!B:B,0)),"")</f>
        <v/>
      </c>
      <c r="F193" s="10"/>
      <c r="G193" s="9"/>
      <c r="H193" s="11"/>
      <c r="I193" s="17"/>
      <c r="J193" s="15">
        <f>Table310284041424344454647484950515253545556[[#This Row],[*Unit Price]]*Table310284041424344454647484950515253545556[[#This Row],[*Quantity]]</f>
        <v>0</v>
      </c>
    </row>
    <row r="194" spans="2:11" ht="26.25" customHeight="1" x14ac:dyDescent="0.25">
      <c r="B194" s="9"/>
      <c r="C194" s="9"/>
      <c r="D194" s="2" t="str">
        <f>_xlfn.IFNA(INDEX(Program!A:A,MATCH(Table310284041424344454647484950515253545556[[#This Row],[*Program Code]],Program!B:B,0)),"")</f>
        <v/>
      </c>
      <c r="F194" s="10"/>
      <c r="G194" s="9"/>
      <c r="H194" s="11"/>
      <c r="I194" s="17"/>
      <c r="J194" s="15">
        <f>Table310284041424344454647484950515253545556[[#This Row],[*Unit Price]]*Table310284041424344454647484950515253545556[[#This Row],[*Quantity]]</f>
        <v>0</v>
      </c>
    </row>
    <row r="195" spans="2:11" ht="26.25" customHeight="1" x14ac:dyDescent="0.25">
      <c r="B195" s="9"/>
      <c r="C195" s="9"/>
      <c r="D195" s="2" t="str">
        <f>_xlfn.IFNA(INDEX(Program!A:A,MATCH(Table310284041424344454647484950515253545556[[#This Row],[*Program Code]],Program!B:B,0)),"")</f>
        <v/>
      </c>
      <c r="F195" s="10"/>
      <c r="G195" s="9"/>
      <c r="H195" s="11"/>
      <c r="I195" s="17"/>
      <c r="J195" s="15">
        <f>Table310284041424344454647484950515253545556[[#This Row],[*Unit Price]]*Table310284041424344454647484950515253545556[[#This Row],[*Quantity]]</f>
        <v>0</v>
      </c>
    </row>
    <row r="196" spans="2:11" ht="26.25" customHeight="1" x14ac:dyDescent="0.25">
      <c r="B196" s="9"/>
      <c r="C196" s="9"/>
      <c r="D196" s="2" t="str">
        <f>_xlfn.IFNA(INDEX(Program!A:A,MATCH(Table310284041424344454647484950515253545556[[#This Row],[*Program Code]],Program!B:B,0)),"")</f>
        <v/>
      </c>
      <c r="F196" s="10"/>
      <c r="G196" s="9"/>
      <c r="H196" s="11"/>
      <c r="I196" s="17"/>
      <c r="J196" s="15">
        <f>Table310284041424344454647484950515253545556[[#This Row],[*Unit Price]]*Table310284041424344454647484950515253545556[[#This Row],[*Quantity]]</f>
        <v>0</v>
      </c>
    </row>
    <row r="197" spans="2:11" ht="26.25" customHeight="1" x14ac:dyDescent="0.25">
      <c r="B197" s="9"/>
      <c r="C197" s="9"/>
      <c r="D197" s="2" t="str">
        <f>_xlfn.IFNA(INDEX(Program!A:A,MATCH(Table310284041424344454647484950515253545556[[#This Row],[*Program Code]],Program!B:B,0)),"")</f>
        <v/>
      </c>
      <c r="F197" s="10"/>
      <c r="G197" s="9"/>
      <c r="H197" s="11"/>
      <c r="I197" s="17"/>
      <c r="J197" s="15">
        <f>Table310284041424344454647484950515253545556[[#This Row],[*Unit Price]]*Table310284041424344454647484950515253545556[[#This Row],[*Quantity]]</f>
        <v>0</v>
      </c>
    </row>
    <row r="198" spans="2:11" ht="26.25" customHeight="1" x14ac:dyDescent="0.25">
      <c r="B198" s="9"/>
      <c r="C198" s="9"/>
      <c r="D198" s="3" t="str">
        <f>_xlfn.IFNA(INDEX(Program!A:A,MATCH(Table310284041424344454647484950515253545556[[#This Row],[*Program Code]],Program!B:B,0)),"")</f>
        <v/>
      </c>
      <c r="F198" s="10"/>
      <c r="G198" s="9"/>
      <c r="H198" s="11"/>
      <c r="I198" s="17"/>
      <c r="J198" s="15">
        <f>Table310284041424344454647484950515253545556[[#This Row],[*Unit Price]]*Table310284041424344454647484950515253545556[[#This Row],[*Quantity]]</f>
        <v>0</v>
      </c>
    </row>
    <row r="199" spans="2:11" ht="26.25" customHeight="1" x14ac:dyDescent="0.25">
      <c r="B199" s="9"/>
      <c r="C199" s="9"/>
      <c r="D199" s="3" t="str">
        <f>_xlfn.IFNA(INDEX(Program!A:A,MATCH(Table310284041424344454647484950515253545556[[#This Row],[*Program Code]],Program!B:B,0)),"")</f>
        <v/>
      </c>
      <c r="F199" s="10"/>
      <c r="G199" s="9"/>
      <c r="H199" s="11"/>
      <c r="I199" s="17"/>
      <c r="J199" s="15">
        <f>Table310284041424344454647484950515253545556[[#This Row],[*Unit Price]]*Table310284041424344454647484950515253545556[[#This Row],[*Quantity]]</f>
        <v>0</v>
      </c>
    </row>
    <row r="200" spans="2:11" ht="26.25" customHeight="1" x14ac:dyDescent="0.25">
      <c r="B200" s="12" t="s">
        <v>5</v>
      </c>
      <c r="C200" s="13"/>
      <c r="D200" s="12"/>
      <c r="E200" s="12"/>
      <c r="F200" s="12"/>
      <c r="G200" s="12"/>
      <c r="H200" s="12"/>
      <c r="I200" s="12"/>
      <c r="J200" s="14">
        <f>SUBTOTAL(109,Table310284041424344454647484950515253545556[Total Expenditure])</f>
        <v>0</v>
      </c>
      <c r="K200" s="12"/>
    </row>
    <row r="202" spans="2:11" ht="26.25" customHeight="1" x14ac:dyDescent="0.25">
      <c r="B202" s="4">
        <v>223019</v>
      </c>
      <c r="C202" s="5" t="s">
        <v>4385</v>
      </c>
      <c r="D202" s="6"/>
      <c r="E202" s="6"/>
      <c r="F202" s="16"/>
      <c r="G202" s="16"/>
      <c r="H202" s="16"/>
      <c r="I202" s="16"/>
      <c r="J202" s="16"/>
      <c r="K202" s="16"/>
    </row>
    <row r="203" spans="2:11" ht="43.5" customHeight="1" x14ac:dyDescent="0.25">
      <c r="B203" s="8" t="s">
        <v>1</v>
      </c>
      <c r="C203" s="8" t="s">
        <v>4337</v>
      </c>
      <c r="D203" s="8" t="s">
        <v>2</v>
      </c>
      <c r="E203" s="8" t="s">
        <v>4453</v>
      </c>
      <c r="F203" s="8" t="s">
        <v>4455</v>
      </c>
      <c r="G203" s="8" t="s">
        <v>4344</v>
      </c>
      <c r="H203" s="8" t="s">
        <v>4451</v>
      </c>
      <c r="I203" s="8" t="s">
        <v>4346</v>
      </c>
      <c r="J203" s="8" t="s">
        <v>3</v>
      </c>
      <c r="K203" s="8" t="s">
        <v>4</v>
      </c>
    </row>
    <row r="204" spans="2:11" ht="26.25" customHeight="1" x14ac:dyDescent="0.25">
      <c r="B204" s="9"/>
      <c r="C204" s="9"/>
      <c r="D204" s="2" t="str">
        <f>_xlfn.IFNA(INDEX(Program!A:A,MATCH(Table31028404142434445464748495051525354555657[[#This Row],[*Program Code]],Program!B:B,0)),"")</f>
        <v/>
      </c>
      <c r="F204" s="10"/>
      <c r="G204" s="9"/>
      <c r="H204" s="11"/>
      <c r="I204" s="17"/>
      <c r="J204" s="15">
        <f>Table31028404142434445464748495051525354555657[[#This Row],[*Unit Price]]*Table31028404142434445464748495051525354555657[[#This Row],[*Quantity]]</f>
        <v>0</v>
      </c>
    </row>
    <row r="205" spans="2:11" ht="26.25" customHeight="1" x14ac:dyDescent="0.25">
      <c r="B205" s="9"/>
      <c r="C205" s="9"/>
      <c r="D205" s="2" t="str">
        <f>_xlfn.IFNA(INDEX(Program!A:A,MATCH(Table31028404142434445464748495051525354555657[[#This Row],[*Program Code]],Program!B:B,0)),"")</f>
        <v/>
      </c>
      <c r="F205" s="10"/>
      <c r="G205" s="9"/>
      <c r="H205" s="11"/>
      <c r="I205" s="17"/>
      <c r="J205" s="15">
        <f>Table31028404142434445464748495051525354555657[[#This Row],[*Unit Price]]*Table31028404142434445464748495051525354555657[[#This Row],[*Quantity]]</f>
        <v>0</v>
      </c>
    </row>
    <row r="206" spans="2:11" ht="26.25" customHeight="1" x14ac:dyDescent="0.25">
      <c r="B206" s="9"/>
      <c r="C206" s="9"/>
      <c r="D206" s="2" t="str">
        <f>_xlfn.IFNA(INDEX(Program!A:A,MATCH(Table31028404142434445464748495051525354555657[[#This Row],[*Program Code]],Program!B:B,0)),"")</f>
        <v/>
      </c>
      <c r="F206" s="10"/>
      <c r="G206" s="9"/>
      <c r="H206" s="11"/>
      <c r="I206" s="17"/>
      <c r="J206" s="15">
        <f>Table31028404142434445464748495051525354555657[[#This Row],[*Unit Price]]*Table31028404142434445464748495051525354555657[[#This Row],[*Quantity]]</f>
        <v>0</v>
      </c>
    </row>
    <row r="207" spans="2:11" ht="26.25" customHeight="1" x14ac:dyDescent="0.25">
      <c r="B207" s="9"/>
      <c r="C207" s="9"/>
      <c r="D207" s="2" t="str">
        <f>_xlfn.IFNA(INDEX(Program!A:A,MATCH(Table31028404142434445464748495051525354555657[[#This Row],[*Program Code]],Program!B:B,0)),"")</f>
        <v/>
      </c>
      <c r="F207" s="10"/>
      <c r="G207" s="9"/>
      <c r="H207" s="11"/>
      <c r="I207" s="17"/>
      <c r="J207" s="15">
        <f>Table31028404142434445464748495051525354555657[[#This Row],[*Unit Price]]*Table31028404142434445464748495051525354555657[[#This Row],[*Quantity]]</f>
        <v>0</v>
      </c>
    </row>
    <row r="208" spans="2:11" ht="26.25" customHeight="1" x14ac:dyDescent="0.25">
      <c r="B208" s="9"/>
      <c r="C208" s="9"/>
      <c r="D208" s="2" t="str">
        <f>_xlfn.IFNA(INDEX(Program!A:A,MATCH(Table31028404142434445464748495051525354555657[[#This Row],[*Program Code]],Program!B:B,0)),"")</f>
        <v/>
      </c>
      <c r="F208" s="10"/>
      <c r="G208" s="9"/>
      <c r="H208" s="11"/>
      <c r="I208" s="17"/>
      <c r="J208" s="15">
        <f>Table31028404142434445464748495051525354555657[[#This Row],[*Unit Price]]*Table31028404142434445464748495051525354555657[[#This Row],[*Quantity]]</f>
        <v>0</v>
      </c>
    </row>
    <row r="209" spans="2:11" ht="26.25" customHeight="1" x14ac:dyDescent="0.25">
      <c r="B209" s="9"/>
      <c r="C209" s="9"/>
      <c r="D209" s="3" t="str">
        <f>_xlfn.IFNA(INDEX(Program!A:A,MATCH(Table31028404142434445464748495051525354555657[[#This Row],[*Program Code]],Program!B:B,0)),"")</f>
        <v/>
      </c>
      <c r="F209" s="10"/>
      <c r="G209" s="9"/>
      <c r="H209" s="11"/>
      <c r="I209" s="17"/>
      <c r="J209" s="15">
        <f>Table31028404142434445464748495051525354555657[[#This Row],[*Unit Price]]*Table31028404142434445464748495051525354555657[[#This Row],[*Quantity]]</f>
        <v>0</v>
      </c>
    </row>
    <row r="210" spans="2:11" ht="26.25" customHeight="1" x14ac:dyDescent="0.25">
      <c r="B210" s="9"/>
      <c r="C210" s="9"/>
      <c r="D210" s="3" t="str">
        <f>_xlfn.IFNA(INDEX(Program!A:A,MATCH(Table31028404142434445464748495051525354555657[[#This Row],[*Program Code]],Program!B:B,0)),"")</f>
        <v/>
      </c>
      <c r="F210" s="10"/>
      <c r="G210" s="9"/>
      <c r="H210" s="11"/>
      <c r="I210" s="17"/>
      <c r="J210" s="15">
        <f>Table31028404142434445464748495051525354555657[[#This Row],[*Unit Price]]*Table31028404142434445464748495051525354555657[[#This Row],[*Quantity]]</f>
        <v>0</v>
      </c>
    </row>
    <row r="211" spans="2:11" ht="26.25" customHeight="1" x14ac:dyDescent="0.25">
      <c r="B211" s="12" t="s">
        <v>5</v>
      </c>
      <c r="C211" s="13"/>
      <c r="D211" s="12"/>
      <c r="E211" s="12"/>
      <c r="F211" s="12"/>
      <c r="G211" s="12"/>
      <c r="H211" s="12"/>
      <c r="I211" s="12"/>
      <c r="J211" s="14">
        <f>SUBTOTAL(109,Table31028404142434445464748495051525354555657[Total Expenditure])</f>
        <v>0</v>
      </c>
      <c r="K211" s="12"/>
    </row>
    <row r="213" spans="2:11" ht="26.25" customHeight="1" x14ac:dyDescent="0.25">
      <c r="B213" s="4">
        <v>223020</v>
      </c>
      <c r="C213" s="5" t="s">
        <v>4386</v>
      </c>
      <c r="D213" s="6"/>
      <c r="E213" s="6"/>
      <c r="F213" s="16"/>
      <c r="G213" s="16"/>
      <c r="H213" s="16"/>
      <c r="I213" s="16"/>
      <c r="J213" s="16"/>
      <c r="K213" s="16"/>
    </row>
    <row r="214" spans="2:11" ht="43.5" customHeight="1" x14ac:dyDescent="0.25">
      <c r="B214" s="8" t="s">
        <v>1</v>
      </c>
      <c r="C214" s="8" t="s">
        <v>4337</v>
      </c>
      <c r="D214" s="8" t="s">
        <v>2</v>
      </c>
      <c r="E214" s="8" t="s">
        <v>4453</v>
      </c>
      <c r="F214" s="8" t="s">
        <v>4370</v>
      </c>
      <c r="G214" s="8" t="s">
        <v>4344</v>
      </c>
      <c r="H214" s="8" t="s">
        <v>4451</v>
      </c>
      <c r="I214" s="8" t="s">
        <v>4346</v>
      </c>
      <c r="J214" s="8" t="s">
        <v>3</v>
      </c>
      <c r="K214" s="8" t="s">
        <v>4</v>
      </c>
    </row>
    <row r="215" spans="2:11" ht="26.25" customHeight="1" x14ac:dyDescent="0.25">
      <c r="B215" s="9"/>
      <c r="C215" s="9"/>
      <c r="D215" s="2" t="str">
        <f>_xlfn.IFNA(INDEX(Program!A:A,MATCH(Table3102840414243444546474849505152535455565758[[#This Row],[*Program Code]],Program!B:B,0)),"")</f>
        <v/>
      </c>
      <c r="F215" s="10"/>
      <c r="G215" s="9"/>
      <c r="H215" s="11"/>
      <c r="I215" s="17"/>
      <c r="J215" s="15">
        <f>Table3102840414243444546474849505152535455565758[[#This Row],[*Unit Price]]*Table3102840414243444546474849505152535455565758[[#This Row],[*Quantity]]</f>
        <v>0</v>
      </c>
    </row>
    <row r="216" spans="2:11" ht="26.25" customHeight="1" x14ac:dyDescent="0.25">
      <c r="B216" s="9"/>
      <c r="C216" s="9"/>
      <c r="D216" s="2" t="str">
        <f>_xlfn.IFNA(INDEX(Program!A:A,MATCH(Table3102840414243444546474849505152535455565758[[#This Row],[*Program Code]],Program!B:B,0)),"")</f>
        <v/>
      </c>
      <c r="F216" s="10"/>
      <c r="G216" s="9"/>
      <c r="H216" s="11"/>
      <c r="I216" s="17"/>
      <c r="J216" s="15">
        <f>Table3102840414243444546474849505152535455565758[[#This Row],[*Unit Price]]*Table3102840414243444546474849505152535455565758[[#This Row],[*Quantity]]</f>
        <v>0</v>
      </c>
    </row>
    <row r="217" spans="2:11" ht="26.25" customHeight="1" x14ac:dyDescent="0.25">
      <c r="B217" s="9"/>
      <c r="C217" s="9"/>
      <c r="D217" s="2" t="str">
        <f>_xlfn.IFNA(INDEX(Program!A:A,MATCH(Table3102840414243444546474849505152535455565758[[#This Row],[*Program Code]],Program!B:B,0)),"")</f>
        <v/>
      </c>
      <c r="F217" s="10"/>
      <c r="G217" s="9"/>
      <c r="H217" s="11"/>
      <c r="I217" s="17"/>
      <c r="J217" s="15">
        <f>Table3102840414243444546474849505152535455565758[[#This Row],[*Unit Price]]*Table3102840414243444546474849505152535455565758[[#This Row],[*Quantity]]</f>
        <v>0</v>
      </c>
    </row>
    <row r="218" spans="2:11" ht="26.25" customHeight="1" x14ac:dyDescent="0.25">
      <c r="B218" s="9"/>
      <c r="C218" s="9"/>
      <c r="D218" s="2" t="str">
        <f>_xlfn.IFNA(INDEX(Program!A:A,MATCH(Table3102840414243444546474849505152535455565758[[#This Row],[*Program Code]],Program!B:B,0)),"")</f>
        <v/>
      </c>
      <c r="F218" s="10"/>
      <c r="G218" s="9"/>
      <c r="H218" s="11"/>
      <c r="I218" s="17"/>
      <c r="J218" s="15">
        <f>Table3102840414243444546474849505152535455565758[[#This Row],[*Unit Price]]*Table3102840414243444546474849505152535455565758[[#This Row],[*Quantity]]</f>
        <v>0</v>
      </c>
    </row>
    <row r="219" spans="2:11" ht="26.25" customHeight="1" x14ac:dyDescent="0.25">
      <c r="B219" s="9"/>
      <c r="C219" s="9"/>
      <c r="D219" s="2" t="str">
        <f>_xlfn.IFNA(INDEX(Program!A:A,MATCH(Table3102840414243444546474849505152535455565758[[#This Row],[*Program Code]],Program!B:B,0)),"")</f>
        <v/>
      </c>
      <c r="F219" s="10"/>
      <c r="G219" s="9"/>
      <c r="H219" s="11"/>
      <c r="I219" s="17"/>
      <c r="J219" s="15">
        <f>Table3102840414243444546474849505152535455565758[[#This Row],[*Unit Price]]*Table3102840414243444546474849505152535455565758[[#This Row],[*Quantity]]</f>
        <v>0</v>
      </c>
    </row>
    <row r="220" spans="2:11" ht="26.25" customHeight="1" x14ac:dyDescent="0.25">
      <c r="B220" s="9"/>
      <c r="C220" s="9"/>
      <c r="D220" s="3" t="str">
        <f>_xlfn.IFNA(INDEX(Program!A:A,MATCH(Table3102840414243444546474849505152535455565758[[#This Row],[*Program Code]],Program!B:B,0)),"")</f>
        <v/>
      </c>
      <c r="F220" s="10"/>
      <c r="G220" s="9"/>
      <c r="H220" s="11"/>
      <c r="I220" s="17"/>
      <c r="J220" s="15">
        <f>Table3102840414243444546474849505152535455565758[[#This Row],[*Unit Price]]*Table3102840414243444546474849505152535455565758[[#This Row],[*Quantity]]</f>
        <v>0</v>
      </c>
    </row>
    <row r="221" spans="2:11" ht="26.25" customHeight="1" x14ac:dyDescent="0.25">
      <c r="B221" s="9"/>
      <c r="C221" s="9"/>
      <c r="D221" s="3" t="str">
        <f>_xlfn.IFNA(INDEX(Program!A:A,MATCH(Table3102840414243444546474849505152535455565758[[#This Row],[*Program Code]],Program!B:B,0)),"")</f>
        <v/>
      </c>
      <c r="F221" s="10"/>
      <c r="G221" s="9"/>
      <c r="H221" s="11"/>
      <c r="I221" s="17"/>
      <c r="J221" s="15">
        <f>Table3102840414243444546474849505152535455565758[[#This Row],[*Unit Price]]*Table3102840414243444546474849505152535455565758[[#This Row],[*Quantity]]</f>
        <v>0</v>
      </c>
    </row>
    <row r="222" spans="2:11" ht="26.25" customHeight="1" x14ac:dyDescent="0.25">
      <c r="B222" s="12" t="s">
        <v>5</v>
      </c>
      <c r="C222" s="13"/>
      <c r="D222" s="12"/>
      <c r="E222" s="12"/>
      <c r="F222" s="12"/>
      <c r="G222" s="12"/>
      <c r="H222" s="12"/>
      <c r="I222" s="12"/>
      <c r="J222" s="14">
        <f>SUBTOTAL(109,Table3102840414243444546474849505152535455565758[Total Expenditure])</f>
        <v>0</v>
      </c>
      <c r="K222" s="12"/>
    </row>
    <row r="224" spans="2:11" ht="26.25" customHeight="1" x14ac:dyDescent="0.25">
      <c r="B224" s="4">
        <v>223021</v>
      </c>
      <c r="C224" s="5" t="s">
        <v>4387</v>
      </c>
      <c r="D224" s="6"/>
      <c r="E224" s="6"/>
      <c r="F224" s="16"/>
      <c r="G224" s="16"/>
      <c r="H224" s="16"/>
      <c r="I224" s="16"/>
      <c r="J224" s="16"/>
      <c r="K224" s="16"/>
    </row>
    <row r="225" spans="2:11" ht="43.5" customHeight="1" x14ac:dyDescent="0.25">
      <c r="B225" s="8" t="s">
        <v>1</v>
      </c>
      <c r="C225" s="8" t="s">
        <v>4337</v>
      </c>
      <c r="D225" s="8" t="s">
        <v>2</v>
      </c>
      <c r="E225" s="8" t="s">
        <v>4453</v>
      </c>
      <c r="F225" s="8" t="s">
        <v>4370</v>
      </c>
      <c r="G225" s="8" t="s">
        <v>4344</v>
      </c>
      <c r="H225" s="8" t="s">
        <v>4451</v>
      </c>
      <c r="I225" s="8" t="s">
        <v>4346</v>
      </c>
      <c r="J225" s="8" t="s">
        <v>3</v>
      </c>
      <c r="K225" s="8" t="s">
        <v>4</v>
      </c>
    </row>
    <row r="226" spans="2:11" ht="26.25" customHeight="1" x14ac:dyDescent="0.25">
      <c r="B226" s="9"/>
      <c r="C226" s="9"/>
      <c r="D226" s="2" t="str">
        <f>_xlfn.IFNA(INDEX(Program!A:A,MATCH(Table310284041424344454647484950515253545556575859[[#This Row],[*Program Code]],Program!B:B,0)),"")</f>
        <v/>
      </c>
      <c r="F226" s="10"/>
      <c r="G226" s="9"/>
      <c r="H226" s="11"/>
      <c r="I226" s="17"/>
      <c r="J226" s="15">
        <f>Table310284041424344454647484950515253545556575859[[#This Row],[*Unit Price]]*Table310284041424344454647484950515253545556575859[[#This Row],[*Quantity]]</f>
        <v>0</v>
      </c>
    </row>
    <row r="227" spans="2:11" ht="26.25" customHeight="1" x14ac:dyDescent="0.25">
      <c r="B227" s="9"/>
      <c r="C227" s="9"/>
      <c r="D227" s="2" t="str">
        <f>_xlfn.IFNA(INDEX(Program!A:A,MATCH(Table310284041424344454647484950515253545556575859[[#This Row],[*Program Code]],Program!B:B,0)),"")</f>
        <v/>
      </c>
      <c r="F227" s="10"/>
      <c r="G227" s="9"/>
      <c r="H227" s="11"/>
      <c r="I227" s="17"/>
      <c r="J227" s="15">
        <f>Table310284041424344454647484950515253545556575859[[#This Row],[*Unit Price]]*Table310284041424344454647484950515253545556575859[[#This Row],[*Quantity]]</f>
        <v>0</v>
      </c>
    </row>
    <row r="228" spans="2:11" ht="26.25" customHeight="1" x14ac:dyDescent="0.25">
      <c r="B228" s="9"/>
      <c r="C228" s="9"/>
      <c r="D228" s="2" t="str">
        <f>_xlfn.IFNA(INDEX(Program!A:A,MATCH(Table310284041424344454647484950515253545556575859[[#This Row],[*Program Code]],Program!B:B,0)),"")</f>
        <v/>
      </c>
      <c r="F228" s="10"/>
      <c r="G228" s="9"/>
      <c r="H228" s="11"/>
      <c r="I228" s="17"/>
      <c r="J228" s="15">
        <f>Table310284041424344454647484950515253545556575859[[#This Row],[*Unit Price]]*Table310284041424344454647484950515253545556575859[[#This Row],[*Quantity]]</f>
        <v>0</v>
      </c>
    </row>
    <row r="229" spans="2:11" ht="26.25" customHeight="1" x14ac:dyDescent="0.25">
      <c r="B229" s="9"/>
      <c r="C229" s="9"/>
      <c r="D229" s="2" t="str">
        <f>_xlfn.IFNA(INDEX(Program!A:A,MATCH(Table310284041424344454647484950515253545556575859[[#This Row],[*Program Code]],Program!B:B,0)),"")</f>
        <v/>
      </c>
      <c r="F229" s="10"/>
      <c r="G229" s="9"/>
      <c r="H229" s="11"/>
      <c r="I229" s="17"/>
      <c r="J229" s="15">
        <f>Table310284041424344454647484950515253545556575859[[#This Row],[*Unit Price]]*Table310284041424344454647484950515253545556575859[[#This Row],[*Quantity]]</f>
        <v>0</v>
      </c>
    </row>
    <row r="230" spans="2:11" ht="26.25" customHeight="1" x14ac:dyDescent="0.25">
      <c r="B230" s="9"/>
      <c r="C230" s="9"/>
      <c r="D230" s="2" t="str">
        <f>_xlfn.IFNA(INDEX(Program!A:A,MATCH(Table310284041424344454647484950515253545556575859[[#This Row],[*Program Code]],Program!B:B,0)),"")</f>
        <v/>
      </c>
      <c r="F230" s="10"/>
      <c r="G230" s="9"/>
      <c r="H230" s="11"/>
      <c r="I230" s="17"/>
      <c r="J230" s="15">
        <f>Table310284041424344454647484950515253545556575859[[#This Row],[*Unit Price]]*Table310284041424344454647484950515253545556575859[[#This Row],[*Quantity]]</f>
        <v>0</v>
      </c>
    </row>
    <row r="231" spans="2:11" ht="26.25" customHeight="1" x14ac:dyDescent="0.25">
      <c r="B231" s="9"/>
      <c r="C231" s="9"/>
      <c r="D231" s="3" t="str">
        <f>_xlfn.IFNA(INDEX(Program!A:A,MATCH(Table310284041424344454647484950515253545556575859[[#This Row],[*Program Code]],Program!B:B,0)),"")</f>
        <v/>
      </c>
      <c r="F231" s="10"/>
      <c r="G231" s="9"/>
      <c r="H231" s="11"/>
      <c r="I231" s="17"/>
      <c r="J231" s="15">
        <f>Table310284041424344454647484950515253545556575859[[#This Row],[*Unit Price]]*Table310284041424344454647484950515253545556575859[[#This Row],[*Quantity]]</f>
        <v>0</v>
      </c>
    </row>
    <row r="232" spans="2:11" ht="26.25" customHeight="1" x14ac:dyDescent="0.25">
      <c r="B232" s="9"/>
      <c r="C232" s="9"/>
      <c r="D232" s="3" t="str">
        <f>_xlfn.IFNA(INDEX(Program!A:A,MATCH(Table310284041424344454647484950515253545556575859[[#This Row],[*Program Code]],Program!B:B,0)),"")</f>
        <v/>
      </c>
      <c r="F232" s="10"/>
      <c r="G232" s="9"/>
      <c r="H232" s="11"/>
      <c r="I232" s="17"/>
      <c r="J232" s="15">
        <f>Table310284041424344454647484950515253545556575859[[#This Row],[*Unit Price]]*Table310284041424344454647484950515253545556575859[[#This Row],[*Quantity]]</f>
        <v>0</v>
      </c>
    </row>
    <row r="233" spans="2:11" ht="26.25" customHeight="1" x14ac:dyDescent="0.25">
      <c r="B233" s="12" t="s">
        <v>5</v>
      </c>
      <c r="C233" s="13"/>
      <c r="D233" s="12"/>
      <c r="E233" s="12"/>
      <c r="F233" s="12"/>
      <c r="G233" s="12"/>
      <c r="H233" s="12"/>
      <c r="I233" s="12"/>
      <c r="J233" s="14">
        <f>SUBTOTAL(109,Table310284041424344454647484950515253545556575859[Total Expenditure])</f>
        <v>0</v>
      </c>
      <c r="K233" s="12"/>
    </row>
    <row r="235" spans="2:11" ht="26.25" customHeight="1" x14ac:dyDescent="0.25">
      <c r="B235" s="4">
        <v>223022</v>
      </c>
      <c r="C235" s="5" t="s">
        <v>4388</v>
      </c>
      <c r="D235" s="6"/>
      <c r="E235" s="6"/>
      <c r="F235" s="16"/>
      <c r="G235" s="16"/>
      <c r="H235" s="16"/>
      <c r="I235" s="16"/>
      <c r="J235" s="16"/>
      <c r="K235" s="16"/>
    </row>
    <row r="236" spans="2:11" ht="43.5" customHeight="1" x14ac:dyDescent="0.25">
      <c r="B236" s="8" t="s">
        <v>1</v>
      </c>
      <c r="C236" s="8" t="s">
        <v>4337</v>
      </c>
      <c r="D236" s="8" t="s">
        <v>2</v>
      </c>
      <c r="E236" s="8" t="s">
        <v>4453</v>
      </c>
      <c r="F236" s="8" t="s">
        <v>4370</v>
      </c>
      <c r="G236" s="8" t="s">
        <v>4344</v>
      </c>
      <c r="H236" s="8" t="s">
        <v>4451</v>
      </c>
      <c r="I236" s="8" t="s">
        <v>4346</v>
      </c>
      <c r="J236" s="8" t="s">
        <v>3</v>
      </c>
      <c r="K236" s="8" t="s">
        <v>4</v>
      </c>
    </row>
    <row r="237" spans="2:11" ht="26.25" customHeight="1" x14ac:dyDescent="0.25">
      <c r="B237" s="9"/>
      <c r="C237" s="9"/>
      <c r="D237" s="2" t="str">
        <f>_xlfn.IFNA(INDEX(Program!A:A,MATCH(Table31028404142434445464748495051525354555657585960[[#This Row],[*Program Code]],Program!B:B,0)),"")</f>
        <v/>
      </c>
      <c r="F237" s="10"/>
      <c r="G237" s="9"/>
      <c r="H237" s="11"/>
      <c r="I237" s="17"/>
      <c r="J237" s="15">
        <f>Table31028404142434445464748495051525354555657585960[[#This Row],[*Unit Price]]*Table31028404142434445464748495051525354555657585960[[#This Row],[*Quantity]]</f>
        <v>0</v>
      </c>
    </row>
    <row r="238" spans="2:11" ht="26.25" customHeight="1" x14ac:dyDescent="0.25">
      <c r="B238" s="9"/>
      <c r="C238" s="9"/>
      <c r="D238" s="2" t="str">
        <f>_xlfn.IFNA(INDEX(Program!A:A,MATCH(Table31028404142434445464748495051525354555657585960[[#This Row],[*Program Code]],Program!B:B,0)),"")</f>
        <v/>
      </c>
      <c r="F238" s="10"/>
      <c r="G238" s="9"/>
      <c r="H238" s="11"/>
      <c r="I238" s="17"/>
      <c r="J238" s="15">
        <f>Table31028404142434445464748495051525354555657585960[[#This Row],[*Unit Price]]*Table31028404142434445464748495051525354555657585960[[#This Row],[*Quantity]]</f>
        <v>0</v>
      </c>
    </row>
    <row r="239" spans="2:11" ht="26.25" customHeight="1" x14ac:dyDescent="0.25">
      <c r="B239" s="9"/>
      <c r="C239" s="9"/>
      <c r="D239" s="2" t="str">
        <f>_xlfn.IFNA(INDEX(Program!A:A,MATCH(Table31028404142434445464748495051525354555657585960[[#This Row],[*Program Code]],Program!B:B,0)),"")</f>
        <v/>
      </c>
      <c r="F239" s="10"/>
      <c r="G239" s="9"/>
      <c r="H239" s="11"/>
      <c r="I239" s="17"/>
      <c r="J239" s="15">
        <f>Table31028404142434445464748495051525354555657585960[[#This Row],[*Unit Price]]*Table31028404142434445464748495051525354555657585960[[#This Row],[*Quantity]]</f>
        <v>0</v>
      </c>
    </row>
    <row r="240" spans="2:11" ht="26.25" customHeight="1" x14ac:dyDescent="0.25">
      <c r="B240" s="9"/>
      <c r="C240" s="9"/>
      <c r="D240" s="2" t="str">
        <f>_xlfn.IFNA(INDEX(Program!A:A,MATCH(Table31028404142434445464748495051525354555657585960[[#This Row],[*Program Code]],Program!B:B,0)),"")</f>
        <v/>
      </c>
      <c r="F240" s="10"/>
      <c r="G240" s="9"/>
      <c r="H240" s="11"/>
      <c r="I240" s="17"/>
      <c r="J240" s="15">
        <f>Table31028404142434445464748495051525354555657585960[[#This Row],[*Unit Price]]*Table31028404142434445464748495051525354555657585960[[#This Row],[*Quantity]]</f>
        <v>0</v>
      </c>
    </row>
    <row r="241" spans="2:11" ht="26.25" customHeight="1" x14ac:dyDescent="0.25">
      <c r="B241" s="9"/>
      <c r="C241" s="9"/>
      <c r="D241" s="2" t="str">
        <f>_xlfn.IFNA(INDEX(Program!A:A,MATCH(Table31028404142434445464748495051525354555657585960[[#This Row],[*Program Code]],Program!B:B,0)),"")</f>
        <v/>
      </c>
      <c r="F241" s="10"/>
      <c r="G241" s="9"/>
      <c r="H241" s="11"/>
      <c r="I241" s="17"/>
      <c r="J241" s="15">
        <f>Table31028404142434445464748495051525354555657585960[[#This Row],[*Unit Price]]*Table31028404142434445464748495051525354555657585960[[#This Row],[*Quantity]]</f>
        <v>0</v>
      </c>
    </row>
    <row r="242" spans="2:11" ht="26.25" customHeight="1" x14ac:dyDescent="0.25">
      <c r="B242" s="9"/>
      <c r="C242" s="9"/>
      <c r="D242" s="3" t="str">
        <f>_xlfn.IFNA(INDEX(Program!A:A,MATCH(Table31028404142434445464748495051525354555657585960[[#This Row],[*Program Code]],Program!B:B,0)),"")</f>
        <v/>
      </c>
      <c r="F242" s="10"/>
      <c r="G242" s="9"/>
      <c r="H242" s="11"/>
      <c r="I242" s="17"/>
      <c r="J242" s="15">
        <f>Table31028404142434445464748495051525354555657585960[[#This Row],[*Unit Price]]*Table31028404142434445464748495051525354555657585960[[#This Row],[*Quantity]]</f>
        <v>0</v>
      </c>
    </row>
    <row r="243" spans="2:11" ht="26.25" customHeight="1" x14ac:dyDescent="0.25">
      <c r="B243" s="9"/>
      <c r="C243" s="9"/>
      <c r="D243" s="3" t="str">
        <f>_xlfn.IFNA(INDEX(Program!A:A,MATCH(Table31028404142434445464748495051525354555657585960[[#This Row],[*Program Code]],Program!B:B,0)),"")</f>
        <v/>
      </c>
      <c r="F243" s="10"/>
      <c r="G243" s="9"/>
      <c r="H243" s="11"/>
      <c r="I243" s="17"/>
      <c r="J243" s="15">
        <f>Table31028404142434445464748495051525354555657585960[[#This Row],[*Unit Price]]*Table31028404142434445464748495051525354555657585960[[#This Row],[*Quantity]]</f>
        <v>0</v>
      </c>
    </row>
    <row r="244" spans="2:11" ht="26.25" customHeight="1" x14ac:dyDescent="0.25">
      <c r="B244" s="12" t="s">
        <v>5</v>
      </c>
      <c r="C244" s="13"/>
      <c r="D244" s="12"/>
      <c r="E244" s="12"/>
      <c r="F244" s="12"/>
      <c r="G244" s="12"/>
      <c r="H244" s="12"/>
      <c r="I244" s="12"/>
      <c r="J244" s="14">
        <f>SUBTOTAL(109,Table31028404142434445464748495051525354555657585960[Total Expenditure])</f>
        <v>0</v>
      </c>
      <c r="K244" s="12"/>
    </row>
    <row r="246" spans="2:11" ht="26.25" customHeight="1" x14ac:dyDescent="0.25">
      <c r="B246" s="4">
        <v>223023</v>
      </c>
      <c r="C246" s="5" t="s">
        <v>4389</v>
      </c>
      <c r="D246" s="6"/>
      <c r="E246" s="6"/>
      <c r="F246" s="16"/>
      <c r="G246" s="16"/>
      <c r="H246" s="16"/>
      <c r="I246" s="16"/>
      <c r="J246" s="16"/>
      <c r="K246" s="16"/>
    </row>
    <row r="247" spans="2:11" ht="43.5" customHeight="1" x14ac:dyDescent="0.25">
      <c r="B247" s="8" t="s">
        <v>1</v>
      </c>
      <c r="C247" s="8" t="s">
        <v>4337</v>
      </c>
      <c r="D247" s="8" t="s">
        <v>2</v>
      </c>
      <c r="E247" s="8" t="s">
        <v>4453</v>
      </c>
      <c r="F247" s="8" t="s">
        <v>4456</v>
      </c>
      <c r="G247" s="8" t="s">
        <v>4344</v>
      </c>
      <c r="H247" s="8" t="s">
        <v>4451</v>
      </c>
      <c r="I247" s="8" t="s">
        <v>4346</v>
      </c>
      <c r="J247" s="8" t="s">
        <v>3</v>
      </c>
      <c r="K247" s="8" t="s">
        <v>4</v>
      </c>
    </row>
    <row r="248" spans="2:11" ht="26.25" customHeight="1" x14ac:dyDescent="0.25">
      <c r="B248" s="9"/>
      <c r="C248" s="9"/>
      <c r="D248" s="2" t="str">
        <f>_xlfn.IFNA(INDEX(Program!A:A,MATCH(Table3102840414243444546474849505152535455565758596061[[#This Row],[*Program Code]],Program!B:B,0)),"")</f>
        <v/>
      </c>
      <c r="F248" s="10"/>
      <c r="G248" s="9"/>
      <c r="H248" s="11"/>
      <c r="I248" s="17"/>
      <c r="J248" s="15">
        <f>Table3102840414243444546474849505152535455565758596061[[#This Row],[*Unit Price]]*Table3102840414243444546474849505152535455565758596061[[#This Row],[*Quantity]]</f>
        <v>0</v>
      </c>
    </row>
    <row r="249" spans="2:11" ht="26.25" customHeight="1" x14ac:dyDescent="0.25">
      <c r="B249" s="9"/>
      <c r="C249" s="9"/>
      <c r="D249" s="2" t="str">
        <f>_xlfn.IFNA(INDEX(Program!A:A,MATCH(Table3102840414243444546474849505152535455565758596061[[#This Row],[*Program Code]],Program!B:B,0)),"")</f>
        <v/>
      </c>
      <c r="F249" s="10"/>
      <c r="G249" s="9"/>
      <c r="H249" s="11"/>
      <c r="I249" s="17"/>
      <c r="J249" s="15">
        <f>Table3102840414243444546474849505152535455565758596061[[#This Row],[*Unit Price]]*Table3102840414243444546474849505152535455565758596061[[#This Row],[*Quantity]]</f>
        <v>0</v>
      </c>
    </row>
    <row r="250" spans="2:11" ht="26.25" customHeight="1" x14ac:dyDescent="0.25">
      <c r="B250" s="9"/>
      <c r="C250" s="9"/>
      <c r="D250" s="2" t="str">
        <f>_xlfn.IFNA(INDEX(Program!A:A,MATCH(Table3102840414243444546474849505152535455565758596061[[#This Row],[*Program Code]],Program!B:B,0)),"")</f>
        <v/>
      </c>
      <c r="F250" s="10"/>
      <c r="G250" s="9"/>
      <c r="H250" s="11"/>
      <c r="I250" s="17"/>
      <c r="J250" s="15">
        <f>Table3102840414243444546474849505152535455565758596061[[#This Row],[*Unit Price]]*Table3102840414243444546474849505152535455565758596061[[#This Row],[*Quantity]]</f>
        <v>0</v>
      </c>
    </row>
    <row r="251" spans="2:11" ht="26.25" customHeight="1" x14ac:dyDescent="0.25">
      <c r="B251" s="9"/>
      <c r="C251" s="9"/>
      <c r="D251" s="2" t="str">
        <f>_xlfn.IFNA(INDEX(Program!A:A,MATCH(Table3102840414243444546474849505152535455565758596061[[#This Row],[*Program Code]],Program!B:B,0)),"")</f>
        <v/>
      </c>
      <c r="F251" s="10"/>
      <c r="G251" s="9"/>
      <c r="H251" s="11"/>
      <c r="I251" s="17"/>
      <c r="J251" s="15">
        <f>Table3102840414243444546474849505152535455565758596061[[#This Row],[*Unit Price]]*Table3102840414243444546474849505152535455565758596061[[#This Row],[*Quantity]]</f>
        <v>0</v>
      </c>
    </row>
    <row r="252" spans="2:11" ht="26.25" customHeight="1" x14ac:dyDescent="0.25">
      <c r="B252" s="9"/>
      <c r="C252" s="9"/>
      <c r="D252" s="2" t="str">
        <f>_xlfn.IFNA(INDEX(Program!A:A,MATCH(Table3102840414243444546474849505152535455565758596061[[#This Row],[*Program Code]],Program!B:B,0)),"")</f>
        <v/>
      </c>
      <c r="F252" s="10"/>
      <c r="G252" s="9"/>
      <c r="H252" s="11"/>
      <c r="I252" s="17"/>
      <c r="J252" s="15">
        <f>Table3102840414243444546474849505152535455565758596061[[#This Row],[*Unit Price]]*Table3102840414243444546474849505152535455565758596061[[#This Row],[*Quantity]]</f>
        <v>0</v>
      </c>
    </row>
    <row r="253" spans="2:11" ht="26.25" customHeight="1" x14ac:dyDescent="0.25">
      <c r="B253" s="9"/>
      <c r="C253" s="9"/>
      <c r="D253" s="3" t="str">
        <f>_xlfn.IFNA(INDEX(Program!A:A,MATCH(Table3102840414243444546474849505152535455565758596061[[#This Row],[*Program Code]],Program!B:B,0)),"")</f>
        <v/>
      </c>
      <c r="F253" s="10"/>
      <c r="G253" s="9"/>
      <c r="H253" s="11"/>
      <c r="I253" s="17"/>
      <c r="J253" s="15">
        <f>Table3102840414243444546474849505152535455565758596061[[#This Row],[*Unit Price]]*Table3102840414243444546474849505152535455565758596061[[#This Row],[*Quantity]]</f>
        <v>0</v>
      </c>
    </row>
    <row r="254" spans="2:11" ht="26.25" customHeight="1" x14ac:dyDescent="0.25">
      <c r="B254" s="9"/>
      <c r="C254" s="9"/>
      <c r="D254" s="3" t="str">
        <f>_xlfn.IFNA(INDEX(Program!A:A,MATCH(Table3102840414243444546474849505152535455565758596061[[#This Row],[*Program Code]],Program!B:B,0)),"")</f>
        <v/>
      </c>
      <c r="F254" s="10"/>
      <c r="G254" s="9"/>
      <c r="H254" s="11"/>
      <c r="I254" s="17"/>
      <c r="J254" s="15">
        <f>Table3102840414243444546474849505152535455565758596061[[#This Row],[*Unit Price]]*Table3102840414243444546474849505152535455565758596061[[#This Row],[*Quantity]]</f>
        <v>0</v>
      </c>
    </row>
    <row r="255" spans="2:11" ht="26.25" customHeight="1" x14ac:dyDescent="0.25">
      <c r="B255" s="12" t="s">
        <v>5</v>
      </c>
      <c r="C255" s="13"/>
      <c r="D255" s="12"/>
      <c r="E255" s="12"/>
      <c r="F255" s="12"/>
      <c r="G255" s="12"/>
      <c r="H255" s="12"/>
      <c r="I255" s="12"/>
      <c r="J255" s="14">
        <f>SUBTOTAL(109,Table3102840414243444546474849505152535455565758596061[Total Expenditure])</f>
        <v>0</v>
      </c>
      <c r="K255" s="12"/>
    </row>
    <row r="257" spans="2:11" ht="26.25" customHeight="1" x14ac:dyDescent="0.25">
      <c r="B257" s="4">
        <v>223024</v>
      </c>
      <c r="C257" s="5" t="s">
        <v>4390</v>
      </c>
      <c r="D257" s="6"/>
      <c r="E257" s="6"/>
      <c r="F257" s="16"/>
      <c r="G257" s="16"/>
      <c r="H257" s="16"/>
      <c r="I257" s="16"/>
      <c r="J257" s="16"/>
      <c r="K257" s="16"/>
    </row>
    <row r="258" spans="2:11" ht="43.5" customHeight="1" x14ac:dyDescent="0.25">
      <c r="B258" s="8" t="s">
        <v>1</v>
      </c>
      <c r="C258" s="8" t="s">
        <v>4337</v>
      </c>
      <c r="D258" s="8" t="s">
        <v>2</v>
      </c>
      <c r="E258" s="8" t="s">
        <v>4453</v>
      </c>
      <c r="F258" s="8" t="s">
        <v>4370</v>
      </c>
      <c r="G258" s="8" t="s">
        <v>4344</v>
      </c>
      <c r="H258" s="8" t="s">
        <v>4451</v>
      </c>
      <c r="I258" s="8" t="s">
        <v>4346</v>
      </c>
      <c r="J258" s="8" t="s">
        <v>3</v>
      </c>
      <c r="K258" s="8" t="s">
        <v>4</v>
      </c>
    </row>
    <row r="259" spans="2:11" ht="26.25" customHeight="1" x14ac:dyDescent="0.25">
      <c r="B259" s="9"/>
      <c r="C259" s="9"/>
      <c r="D259" s="2" t="str">
        <f>_xlfn.IFNA(INDEX(Program!A:A,MATCH(Table310284041424344454647484950515253545556575859606162[[#This Row],[*Program Code]],Program!B:B,0)),"")</f>
        <v/>
      </c>
      <c r="F259" s="10"/>
      <c r="G259" s="9"/>
      <c r="H259" s="11"/>
      <c r="I259" s="17"/>
      <c r="J259" s="15">
        <f>Table310284041424344454647484950515253545556575859606162[[#This Row],[*Unit Price]]*Table310284041424344454647484950515253545556575859606162[[#This Row],[*Quantity]]</f>
        <v>0</v>
      </c>
    </row>
    <row r="260" spans="2:11" ht="26.25" customHeight="1" x14ac:dyDescent="0.25">
      <c r="B260" s="9"/>
      <c r="C260" s="9"/>
      <c r="D260" s="2" t="str">
        <f>_xlfn.IFNA(INDEX(Program!A:A,MATCH(Table310284041424344454647484950515253545556575859606162[[#This Row],[*Program Code]],Program!B:B,0)),"")</f>
        <v/>
      </c>
      <c r="F260" s="10"/>
      <c r="G260" s="9"/>
      <c r="H260" s="11"/>
      <c r="I260" s="17"/>
      <c r="J260" s="15">
        <f>Table310284041424344454647484950515253545556575859606162[[#This Row],[*Unit Price]]*Table310284041424344454647484950515253545556575859606162[[#This Row],[*Quantity]]</f>
        <v>0</v>
      </c>
    </row>
    <row r="261" spans="2:11" ht="26.25" customHeight="1" x14ac:dyDescent="0.25">
      <c r="B261" s="9"/>
      <c r="C261" s="9"/>
      <c r="D261" s="2" t="str">
        <f>_xlfn.IFNA(INDEX(Program!A:A,MATCH(Table310284041424344454647484950515253545556575859606162[[#This Row],[*Program Code]],Program!B:B,0)),"")</f>
        <v/>
      </c>
      <c r="F261" s="10"/>
      <c r="G261" s="9"/>
      <c r="H261" s="11"/>
      <c r="I261" s="17"/>
      <c r="J261" s="15">
        <f>Table310284041424344454647484950515253545556575859606162[[#This Row],[*Unit Price]]*Table310284041424344454647484950515253545556575859606162[[#This Row],[*Quantity]]</f>
        <v>0</v>
      </c>
    </row>
    <row r="262" spans="2:11" ht="26.25" customHeight="1" x14ac:dyDescent="0.25">
      <c r="B262" s="9"/>
      <c r="C262" s="9"/>
      <c r="D262" s="2" t="str">
        <f>_xlfn.IFNA(INDEX(Program!A:A,MATCH(Table310284041424344454647484950515253545556575859606162[[#This Row],[*Program Code]],Program!B:B,0)),"")</f>
        <v/>
      </c>
      <c r="F262" s="10"/>
      <c r="G262" s="9"/>
      <c r="H262" s="11"/>
      <c r="I262" s="17"/>
      <c r="J262" s="15">
        <f>Table310284041424344454647484950515253545556575859606162[[#This Row],[*Unit Price]]*Table310284041424344454647484950515253545556575859606162[[#This Row],[*Quantity]]</f>
        <v>0</v>
      </c>
    </row>
    <row r="263" spans="2:11" ht="26.25" customHeight="1" x14ac:dyDescent="0.25">
      <c r="B263" s="9"/>
      <c r="C263" s="9"/>
      <c r="D263" s="2" t="str">
        <f>_xlfn.IFNA(INDEX(Program!A:A,MATCH(Table310284041424344454647484950515253545556575859606162[[#This Row],[*Program Code]],Program!B:B,0)),"")</f>
        <v/>
      </c>
      <c r="F263" s="10"/>
      <c r="G263" s="9"/>
      <c r="H263" s="11"/>
      <c r="I263" s="17"/>
      <c r="J263" s="15">
        <f>Table310284041424344454647484950515253545556575859606162[[#This Row],[*Unit Price]]*Table310284041424344454647484950515253545556575859606162[[#This Row],[*Quantity]]</f>
        <v>0</v>
      </c>
    </row>
    <row r="264" spans="2:11" ht="26.25" customHeight="1" x14ac:dyDescent="0.25">
      <c r="B264" s="9"/>
      <c r="C264" s="9"/>
      <c r="D264" s="3" t="str">
        <f>_xlfn.IFNA(INDEX(Program!A:A,MATCH(Table310284041424344454647484950515253545556575859606162[[#This Row],[*Program Code]],Program!B:B,0)),"")</f>
        <v/>
      </c>
      <c r="F264" s="10"/>
      <c r="G264" s="9"/>
      <c r="H264" s="11"/>
      <c r="I264" s="17"/>
      <c r="J264" s="15">
        <f>Table310284041424344454647484950515253545556575859606162[[#This Row],[*Unit Price]]*Table310284041424344454647484950515253545556575859606162[[#This Row],[*Quantity]]</f>
        <v>0</v>
      </c>
    </row>
    <row r="265" spans="2:11" ht="26.25" customHeight="1" x14ac:dyDescent="0.25">
      <c r="B265" s="9"/>
      <c r="C265" s="9"/>
      <c r="D265" s="3" t="str">
        <f>_xlfn.IFNA(INDEX(Program!A:A,MATCH(Table310284041424344454647484950515253545556575859606162[[#This Row],[*Program Code]],Program!B:B,0)),"")</f>
        <v/>
      </c>
      <c r="F265" s="10"/>
      <c r="G265" s="9"/>
      <c r="H265" s="11"/>
      <c r="I265" s="17"/>
      <c r="J265" s="15">
        <f>Table310284041424344454647484950515253545556575859606162[[#This Row],[*Unit Price]]*Table310284041424344454647484950515253545556575859606162[[#This Row],[*Quantity]]</f>
        <v>0</v>
      </c>
    </row>
    <row r="266" spans="2:11" ht="26.25" customHeight="1" x14ac:dyDescent="0.25">
      <c r="B266" s="12" t="s">
        <v>5</v>
      </c>
      <c r="C266" s="13"/>
      <c r="D266" s="12"/>
      <c r="E266" s="12"/>
      <c r="F266" s="12"/>
      <c r="G266" s="12"/>
      <c r="H266" s="12"/>
      <c r="I266" s="12"/>
      <c r="J266" s="14">
        <f>SUBTOTAL(109,Table310284041424344454647484950515253545556575859606162[Total Expenditure])</f>
        <v>0</v>
      </c>
      <c r="K266" s="12"/>
    </row>
    <row r="268" spans="2:11" ht="26.25" customHeight="1" x14ac:dyDescent="0.25">
      <c r="B268" s="4">
        <v>223025</v>
      </c>
      <c r="C268" s="5" t="s">
        <v>4391</v>
      </c>
      <c r="D268" s="6"/>
      <c r="E268" s="6"/>
      <c r="F268" s="16"/>
      <c r="G268" s="16"/>
      <c r="H268" s="16"/>
      <c r="I268" s="16"/>
      <c r="J268" s="16"/>
      <c r="K268" s="16"/>
    </row>
    <row r="269" spans="2:11" ht="43.5" customHeight="1" x14ac:dyDescent="0.25">
      <c r="B269" s="8" t="s">
        <v>1</v>
      </c>
      <c r="C269" s="8" t="s">
        <v>4337</v>
      </c>
      <c r="D269" s="8" t="s">
        <v>2</v>
      </c>
      <c r="E269" s="8" t="s">
        <v>4453</v>
      </c>
      <c r="F269" s="8" t="s">
        <v>4370</v>
      </c>
      <c r="G269" s="8" t="s">
        <v>4344</v>
      </c>
      <c r="H269" s="8" t="s">
        <v>4451</v>
      </c>
      <c r="I269" s="8" t="s">
        <v>4346</v>
      </c>
      <c r="J269" s="8" t="s">
        <v>3</v>
      </c>
      <c r="K269" s="8" t="s">
        <v>4</v>
      </c>
    </row>
    <row r="270" spans="2:11" ht="26.25" customHeight="1" x14ac:dyDescent="0.25">
      <c r="B270" s="9"/>
      <c r="C270" s="9"/>
      <c r="D270" s="2" t="str">
        <f>_xlfn.IFNA(INDEX(Program!A:A,MATCH(Table31028404142434445464748495051525354555657585960616263[[#This Row],[*Program Code]],Program!B:B,0)),"")</f>
        <v/>
      </c>
      <c r="F270" s="10"/>
      <c r="G270" s="9"/>
      <c r="H270" s="11"/>
      <c r="I270" s="17"/>
      <c r="J270" s="15">
        <f>Table31028404142434445464748495051525354555657585960616263[[#This Row],[*Unit Price]]*Table31028404142434445464748495051525354555657585960616263[[#This Row],[*Quantity]]</f>
        <v>0</v>
      </c>
    </row>
    <row r="271" spans="2:11" ht="26.25" customHeight="1" x14ac:dyDescent="0.25">
      <c r="B271" s="9"/>
      <c r="C271" s="9"/>
      <c r="D271" s="2" t="str">
        <f>_xlfn.IFNA(INDEX(Program!A:A,MATCH(Table31028404142434445464748495051525354555657585960616263[[#This Row],[*Program Code]],Program!B:B,0)),"")</f>
        <v/>
      </c>
      <c r="F271" s="10"/>
      <c r="G271" s="9"/>
      <c r="H271" s="11"/>
      <c r="I271" s="17"/>
      <c r="J271" s="15">
        <f>Table31028404142434445464748495051525354555657585960616263[[#This Row],[*Unit Price]]*Table31028404142434445464748495051525354555657585960616263[[#This Row],[*Quantity]]</f>
        <v>0</v>
      </c>
    </row>
    <row r="272" spans="2:11" ht="26.25" customHeight="1" x14ac:dyDescent="0.25">
      <c r="B272" s="9"/>
      <c r="C272" s="9"/>
      <c r="D272" s="2" t="str">
        <f>_xlfn.IFNA(INDEX(Program!A:A,MATCH(Table31028404142434445464748495051525354555657585960616263[[#This Row],[*Program Code]],Program!B:B,0)),"")</f>
        <v/>
      </c>
      <c r="F272" s="10"/>
      <c r="G272" s="9"/>
      <c r="H272" s="11"/>
      <c r="I272" s="17"/>
      <c r="J272" s="15">
        <f>Table31028404142434445464748495051525354555657585960616263[[#This Row],[*Unit Price]]*Table31028404142434445464748495051525354555657585960616263[[#This Row],[*Quantity]]</f>
        <v>0</v>
      </c>
    </row>
    <row r="273" spans="2:11" ht="26.25" customHeight="1" x14ac:dyDescent="0.25">
      <c r="B273" s="9"/>
      <c r="C273" s="9"/>
      <c r="D273" s="2" t="str">
        <f>_xlfn.IFNA(INDEX(Program!A:A,MATCH(Table31028404142434445464748495051525354555657585960616263[[#This Row],[*Program Code]],Program!B:B,0)),"")</f>
        <v/>
      </c>
      <c r="F273" s="10"/>
      <c r="G273" s="9"/>
      <c r="H273" s="11"/>
      <c r="I273" s="17"/>
      <c r="J273" s="15">
        <f>Table31028404142434445464748495051525354555657585960616263[[#This Row],[*Unit Price]]*Table31028404142434445464748495051525354555657585960616263[[#This Row],[*Quantity]]</f>
        <v>0</v>
      </c>
    </row>
    <row r="274" spans="2:11" ht="26.25" customHeight="1" x14ac:dyDescent="0.25">
      <c r="B274" s="9"/>
      <c r="C274" s="9"/>
      <c r="D274" s="2" t="str">
        <f>_xlfn.IFNA(INDEX(Program!A:A,MATCH(Table31028404142434445464748495051525354555657585960616263[[#This Row],[*Program Code]],Program!B:B,0)),"")</f>
        <v/>
      </c>
      <c r="F274" s="10"/>
      <c r="G274" s="9"/>
      <c r="H274" s="11"/>
      <c r="I274" s="17"/>
      <c r="J274" s="15">
        <f>Table31028404142434445464748495051525354555657585960616263[[#This Row],[*Unit Price]]*Table31028404142434445464748495051525354555657585960616263[[#This Row],[*Quantity]]</f>
        <v>0</v>
      </c>
    </row>
    <row r="275" spans="2:11" ht="26.25" customHeight="1" x14ac:dyDescent="0.25">
      <c r="B275" s="9"/>
      <c r="C275" s="9"/>
      <c r="D275" s="3" t="str">
        <f>_xlfn.IFNA(INDEX(Program!A:A,MATCH(Table31028404142434445464748495051525354555657585960616263[[#This Row],[*Program Code]],Program!B:B,0)),"")</f>
        <v/>
      </c>
      <c r="F275" s="10"/>
      <c r="G275" s="9"/>
      <c r="H275" s="11"/>
      <c r="I275" s="17"/>
      <c r="J275" s="15">
        <f>Table31028404142434445464748495051525354555657585960616263[[#This Row],[*Unit Price]]*Table31028404142434445464748495051525354555657585960616263[[#This Row],[*Quantity]]</f>
        <v>0</v>
      </c>
    </row>
    <row r="276" spans="2:11" ht="26.25" customHeight="1" x14ac:dyDescent="0.25">
      <c r="B276" s="9"/>
      <c r="C276" s="9"/>
      <c r="D276" s="3" t="str">
        <f>_xlfn.IFNA(INDEX(Program!A:A,MATCH(Table31028404142434445464748495051525354555657585960616263[[#This Row],[*Program Code]],Program!B:B,0)),"")</f>
        <v/>
      </c>
      <c r="F276" s="10"/>
      <c r="G276" s="9"/>
      <c r="H276" s="11"/>
      <c r="I276" s="17"/>
      <c r="J276" s="15">
        <f>Table31028404142434445464748495051525354555657585960616263[[#This Row],[*Unit Price]]*Table31028404142434445464748495051525354555657585960616263[[#This Row],[*Quantity]]</f>
        <v>0</v>
      </c>
    </row>
    <row r="277" spans="2:11" ht="26.25" customHeight="1" x14ac:dyDescent="0.25">
      <c r="B277" s="12" t="s">
        <v>5</v>
      </c>
      <c r="C277" s="13"/>
      <c r="D277" s="12"/>
      <c r="E277" s="12"/>
      <c r="F277" s="12"/>
      <c r="G277" s="12"/>
      <c r="H277" s="12"/>
      <c r="I277" s="12"/>
      <c r="J277" s="14">
        <f>SUBTOTAL(109,Table31028404142434445464748495051525354555657585960616263[Total Expenditure])</f>
        <v>0</v>
      </c>
      <c r="K277" s="12"/>
    </row>
    <row r="279" spans="2:11" ht="26.25" customHeight="1" x14ac:dyDescent="0.25">
      <c r="B279" s="4">
        <v>226026</v>
      </c>
      <c r="C279" s="5" t="s">
        <v>4469</v>
      </c>
      <c r="D279" s="6"/>
      <c r="E279" s="6"/>
      <c r="F279" s="16"/>
      <c r="G279" s="16"/>
      <c r="H279" s="16"/>
      <c r="I279" s="16"/>
      <c r="J279" s="16"/>
      <c r="K279" s="16"/>
    </row>
    <row r="280" spans="2:11" ht="43.5" customHeight="1" x14ac:dyDescent="0.25">
      <c r="B280" s="8" t="s">
        <v>1</v>
      </c>
      <c r="C280" s="8" t="s">
        <v>4337</v>
      </c>
      <c r="D280" s="8" t="s">
        <v>2</v>
      </c>
      <c r="E280" s="8" t="s">
        <v>4453</v>
      </c>
      <c r="F280" s="8" t="s">
        <v>4370</v>
      </c>
      <c r="G280" s="8" t="s">
        <v>4344</v>
      </c>
      <c r="H280" s="8" t="s">
        <v>4451</v>
      </c>
      <c r="I280" s="8" t="s">
        <v>4346</v>
      </c>
      <c r="J280" s="8" t="s">
        <v>3</v>
      </c>
      <c r="K280" s="8" t="s">
        <v>4</v>
      </c>
    </row>
    <row r="281" spans="2:11" ht="26.25" customHeight="1" x14ac:dyDescent="0.25">
      <c r="B281" s="9"/>
      <c r="C281" s="9"/>
      <c r="D281" s="2" t="str">
        <f>_xlfn.IFNA(INDEX(Program!A:A,MATCH(Table3102840414243444546474849505152535455565758596061626312[[#This Row],[*Program Code]],Program!B:B,0)),"")</f>
        <v/>
      </c>
      <c r="F281" s="10"/>
      <c r="G281" s="9"/>
      <c r="H281" s="11"/>
      <c r="I281" s="17"/>
      <c r="J281" s="15">
        <f>Table3102840414243444546474849505152535455565758596061626312[[#This Row],[*Unit Price]]*Table3102840414243444546474849505152535455565758596061626312[[#This Row],[*Quantity]]</f>
        <v>0</v>
      </c>
    </row>
    <row r="282" spans="2:11" ht="26.25" customHeight="1" x14ac:dyDescent="0.25">
      <c r="B282" s="9"/>
      <c r="C282" s="9"/>
      <c r="D282" s="2" t="str">
        <f>_xlfn.IFNA(INDEX(Program!A:A,MATCH(Table3102840414243444546474849505152535455565758596061626312[[#This Row],[*Program Code]],Program!B:B,0)),"")</f>
        <v/>
      </c>
      <c r="F282" s="10"/>
      <c r="G282" s="9"/>
      <c r="H282" s="11"/>
      <c r="I282" s="17"/>
      <c r="J282" s="15">
        <f>Table3102840414243444546474849505152535455565758596061626312[[#This Row],[*Unit Price]]*Table3102840414243444546474849505152535455565758596061626312[[#This Row],[*Quantity]]</f>
        <v>0</v>
      </c>
    </row>
    <row r="283" spans="2:11" ht="26.25" customHeight="1" x14ac:dyDescent="0.25">
      <c r="B283" s="9"/>
      <c r="C283" s="9"/>
      <c r="D283" s="2" t="str">
        <f>_xlfn.IFNA(INDEX(Program!A:A,MATCH(Table3102840414243444546474849505152535455565758596061626312[[#This Row],[*Program Code]],Program!B:B,0)),"")</f>
        <v/>
      </c>
      <c r="F283" s="10"/>
      <c r="G283" s="9"/>
      <c r="H283" s="11"/>
      <c r="I283" s="17"/>
      <c r="J283" s="15">
        <f>Table3102840414243444546474849505152535455565758596061626312[[#This Row],[*Unit Price]]*Table3102840414243444546474849505152535455565758596061626312[[#This Row],[*Quantity]]</f>
        <v>0</v>
      </c>
    </row>
    <row r="284" spans="2:11" ht="26.25" customHeight="1" x14ac:dyDescent="0.25">
      <c r="B284" s="9"/>
      <c r="C284" s="9"/>
      <c r="D284" s="2" t="str">
        <f>_xlfn.IFNA(INDEX(Program!A:A,MATCH(Table3102840414243444546474849505152535455565758596061626312[[#This Row],[*Program Code]],Program!B:B,0)),"")</f>
        <v/>
      </c>
      <c r="F284" s="10"/>
      <c r="G284" s="9"/>
      <c r="H284" s="11"/>
      <c r="I284" s="17"/>
      <c r="J284" s="15">
        <f>Table3102840414243444546474849505152535455565758596061626312[[#This Row],[*Unit Price]]*Table3102840414243444546474849505152535455565758596061626312[[#This Row],[*Quantity]]</f>
        <v>0</v>
      </c>
    </row>
    <row r="285" spans="2:11" ht="26.25" customHeight="1" x14ac:dyDescent="0.25">
      <c r="B285" s="9"/>
      <c r="C285" s="9"/>
      <c r="D285" s="2" t="str">
        <f>_xlfn.IFNA(INDEX(Program!A:A,MATCH(Table3102840414243444546474849505152535455565758596061626312[[#This Row],[*Program Code]],Program!B:B,0)),"")</f>
        <v/>
      </c>
      <c r="F285" s="10"/>
      <c r="G285" s="9"/>
      <c r="H285" s="11"/>
      <c r="I285" s="17"/>
      <c r="J285" s="15">
        <f>Table3102840414243444546474849505152535455565758596061626312[[#This Row],[*Unit Price]]*Table3102840414243444546474849505152535455565758596061626312[[#This Row],[*Quantity]]</f>
        <v>0</v>
      </c>
    </row>
    <row r="286" spans="2:11" ht="26.25" customHeight="1" x14ac:dyDescent="0.25">
      <c r="B286" s="9"/>
      <c r="C286" s="9"/>
      <c r="D286" s="3" t="str">
        <f>_xlfn.IFNA(INDEX(Program!A:A,MATCH(Table3102840414243444546474849505152535455565758596061626312[[#This Row],[*Program Code]],Program!B:B,0)),"")</f>
        <v/>
      </c>
      <c r="F286" s="10"/>
      <c r="G286" s="9"/>
      <c r="H286" s="11"/>
      <c r="I286" s="17"/>
      <c r="J286" s="15">
        <f>Table3102840414243444546474849505152535455565758596061626312[[#This Row],[*Unit Price]]*Table3102840414243444546474849505152535455565758596061626312[[#This Row],[*Quantity]]</f>
        <v>0</v>
      </c>
    </row>
    <row r="287" spans="2:11" ht="26.25" customHeight="1" x14ac:dyDescent="0.25">
      <c r="B287" s="9"/>
      <c r="C287" s="9"/>
      <c r="D287" s="3" t="str">
        <f>_xlfn.IFNA(INDEX(Program!A:A,MATCH(Table3102840414243444546474849505152535455565758596061626312[[#This Row],[*Program Code]],Program!B:B,0)),"")</f>
        <v/>
      </c>
      <c r="F287" s="10"/>
      <c r="G287" s="9"/>
      <c r="H287" s="11"/>
      <c r="I287" s="17"/>
      <c r="J287" s="15">
        <f>Table3102840414243444546474849505152535455565758596061626312[[#This Row],[*Unit Price]]*Table3102840414243444546474849505152535455565758596061626312[[#This Row],[*Quantity]]</f>
        <v>0</v>
      </c>
    </row>
    <row r="288" spans="2:11" ht="26.25" customHeight="1" x14ac:dyDescent="0.25">
      <c r="B288" s="12" t="s">
        <v>5</v>
      </c>
      <c r="C288" s="13"/>
      <c r="D288" s="12"/>
      <c r="E288" s="12"/>
      <c r="F288" s="12"/>
      <c r="G288" s="12"/>
      <c r="H288" s="12"/>
      <c r="I288" s="12"/>
      <c r="J288" s="14">
        <f>SUBTOTAL(109,Table3102840414243444546474849505152535455565758596061626312[Total Expenditure])</f>
        <v>0</v>
      </c>
      <c r="K288" s="12"/>
    </row>
    <row r="290" spans="2:11" ht="26.25" customHeight="1" x14ac:dyDescent="0.25">
      <c r="B290" s="4">
        <v>223999</v>
      </c>
      <c r="C290" s="5" t="s">
        <v>4392</v>
      </c>
      <c r="D290" s="6"/>
      <c r="E290" s="6"/>
      <c r="F290" s="16"/>
      <c r="G290" s="16"/>
      <c r="H290" s="16"/>
      <c r="I290" s="16"/>
      <c r="J290" s="16"/>
      <c r="K290" s="16"/>
    </row>
    <row r="291" spans="2:11" ht="43.5" customHeight="1" x14ac:dyDescent="0.25">
      <c r="B291" s="8" t="s">
        <v>1</v>
      </c>
      <c r="C291" s="8" t="s">
        <v>4337</v>
      </c>
      <c r="D291" s="8" t="s">
        <v>2</v>
      </c>
      <c r="E291" s="8" t="s">
        <v>4453</v>
      </c>
      <c r="F291" s="8" t="s">
        <v>4370</v>
      </c>
      <c r="G291" s="8" t="s">
        <v>4344</v>
      </c>
      <c r="H291" s="8" t="s">
        <v>4451</v>
      </c>
      <c r="I291" s="8" t="s">
        <v>4346</v>
      </c>
      <c r="J291" s="8" t="s">
        <v>3</v>
      </c>
      <c r="K291" s="8" t="s">
        <v>4</v>
      </c>
    </row>
    <row r="292" spans="2:11" ht="26.25" customHeight="1" x14ac:dyDescent="0.25">
      <c r="B292" s="9"/>
      <c r="C292" s="9"/>
      <c r="D292" s="2" t="str">
        <f>_xlfn.IFNA(INDEX(Program!A:A,MATCH(Table3102840414243444546474849505152535455565758596061626364[[#This Row],[*Program Code]],Program!B:B,0)),"")</f>
        <v/>
      </c>
      <c r="F292" s="10"/>
      <c r="G292" s="9"/>
      <c r="H292" s="11"/>
      <c r="I292" s="17"/>
      <c r="J292" s="15">
        <f>Table3102840414243444546474849505152535455565758596061626364[[#This Row],[*Unit Price]]*Table3102840414243444546474849505152535455565758596061626364[[#This Row],[*Quantity]]</f>
        <v>0</v>
      </c>
    </row>
    <row r="293" spans="2:11" ht="26.25" customHeight="1" x14ac:dyDescent="0.25">
      <c r="B293" s="9"/>
      <c r="C293" s="9"/>
      <c r="D293" s="2" t="str">
        <f>_xlfn.IFNA(INDEX(Program!A:A,MATCH(Table3102840414243444546474849505152535455565758596061626364[[#This Row],[*Program Code]],Program!B:B,0)),"")</f>
        <v/>
      </c>
      <c r="F293" s="10"/>
      <c r="G293" s="9"/>
      <c r="H293" s="11"/>
      <c r="I293" s="17"/>
      <c r="J293" s="15">
        <f>Table3102840414243444546474849505152535455565758596061626364[[#This Row],[*Unit Price]]*Table3102840414243444546474849505152535455565758596061626364[[#This Row],[*Quantity]]</f>
        <v>0</v>
      </c>
    </row>
    <row r="294" spans="2:11" ht="26.25" customHeight="1" x14ac:dyDescent="0.25">
      <c r="B294" s="9"/>
      <c r="C294" s="9"/>
      <c r="D294" s="2" t="str">
        <f>_xlfn.IFNA(INDEX(Program!A:A,MATCH(Table3102840414243444546474849505152535455565758596061626364[[#This Row],[*Program Code]],Program!B:B,0)),"")</f>
        <v/>
      </c>
      <c r="F294" s="10"/>
      <c r="G294" s="9"/>
      <c r="H294" s="11"/>
      <c r="I294" s="17"/>
      <c r="J294" s="15">
        <f>Table3102840414243444546474849505152535455565758596061626364[[#This Row],[*Unit Price]]*Table3102840414243444546474849505152535455565758596061626364[[#This Row],[*Quantity]]</f>
        <v>0</v>
      </c>
    </row>
    <row r="295" spans="2:11" ht="26.25" customHeight="1" x14ac:dyDescent="0.25">
      <c r="B295" s="9"/>
      <c r="C295" s="9"/>
      <c r="D295" s="2" t="str">
        <f>_xlfn.IFNA(INDEX(Program!A:A,MATCH(Table3102840414243444546474849505152535455565758596061626364[[#This Row],[*Program Code]],Program!B:B,0)),"")</f>
        <v/>
      </c>
      <c r="F295" s="10"/>
      <c r="G295" s="9"/>
      <c r="H295" s="11"/>
      <c r="I295" s="17"/>
      <c r="J295" s="15">
        <f>Table3102840414243444546474849505152535455565758596061626364[[#This Row],[*Unit Price]]*Table3102840414243444546474849505152535455565758596061626364[[#This Row],[*Quantity]]</f>
        <v>0</v>
      </c>
    </row>
    <row r="296" spans="2:11" ht="26.25" customHeight="1" x14ac:dyDescent="0.25">
      <c r="B296" s="9"/>
      <c r="C296" s="9"/>
      <c r="D296" s="2" t="str">
        <f>_xlfn.IFNA(INDEX(Program!A:A,MATCH(Table3102840414243444546474849505152535455565758596061626364[[#This Row],[*Program Code]],Program!B:B,0)),"")</f>
        <v/>
      </c>
      <c r="F296" s="10"/>
      <c r="G296" s="9"/>
      <c r="H296" s="11"/>
      <c r="I296" s="17"/>
      <c r="J296" s="15">
        <f>Table3102840414243444546474849505152535455565758596061626364[[#This Row],[*Unit Price]]*Table3102840414243444546474849505152535455565758596061626364[[#This Row],[*Quantity]]</f>
        <v>0</v>
      </c>
    </row>
    <row r="297" spans="2:11" ht="26.25" customHeight="1" x14ac:dyDescent="0.25">
      <c r="B297" s="9"/>
      <c r="C297" s="9"/>
      <c r="D297" s="3" t="str">
        <f>_xlfn.IFNA(INDEX(Program!A:A,MATCH(Table3102840414243444546474849505152535455565758596061626364[[#This Row],[*Program Code]],Program!B:B,0)),"")</f>
        <v/>
      </c>
      <c r="F297" s="10"/>
      <c r="G297" s="9"/>
      <c r="H297" s="11"/>
      <c r="I297" s="17"/>
      <c r="J297" s="15">
        <f>Table3102840414243444546474849505152535455565758596061626364[[#This Row],[*Unit Price]]*Table3102840414243444546474849505152535455565758596061626364[[#This Row],[*Quantity]]</f>
        <v>0</v>
      </c>
    </row>
    <row r="298" spans="2:11" ht="26.25" customHeight="1" x14ac:dyDescent="0.25">
      <c r="B298" s="9"/>
      <c r="C298" s="9"/>
      <c r="D298" s="3" t="str">
        <f>_xlfn.IFNA(INDEX(Program!A:A,MATCH(Table3102840414243444546474849505152535455565758596061626364[[#This Row],[*Program Code]],Program!B:B,0)),"")</f>
        <v/>
      </c>
      <c r="F298" s="10"/>
      <c r="G298" s="9"/>
      <c r="H298" s="11"/>
      <c r="I298" s="17"/>
      <c r="J298" s="15">
        <f>Table3102840414243444546474849505152535455565758596061626364[[#This Row],[*Unit Price]]*Table3102840414243444546474849505152535455565758596061626364[[#This Row],[*Quantity]]</f>
        <v>0</v>
      </c>
    </row>
    <row r="299" spans="2:11" ht="26.25" customHeight="1" x14ac:dyDescent="0.25">
      <c r="B299" s="12" t="s">
        <v>5</v>
      </c>
      <c r="C299" s="13"/>
      <c r="D299" s="12"/>
      <c r="E299" s="12"/>
      <c r="F299" s="12"/>
      <c r="G299" s="12"/>
      <c r="H299" s="12"/>
      <c r="I299" s="12"/>
      <c r="J299" s="14">
        <f>SUBTOTAL(109,Table3102840414243444546474849505152535455565758596061626364[Total Expenditure])</f>
        <v>0</v>
      </c>
      <c r="K299" s="12"/>
    </row>
  </sheetData>
  <sheetProtection formatColumns="0" insertRows="0" deleteRows="0"/>
  <pageMargins left="0.7" right="0.7" top="0.75" bottom="0.75" header="0.3" footer="0.3"/>
  <customProperties>
    <customPr name="_pios_id" r:id="rId1"/>
  </customProperties>
  <tableParts count="27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B2:K57"/>
  <sheetViews>
    <sheetView zoomScale="85" zoomScaleNormal="85" workbookViewId="0">
      <selection activeCell="D53" sqref="D53"/>
    </sheetView>
  </sheetViews>
  <sheetFormatPr defaultRowHeight="26.25" customHeight="1" x14ac:dyDescent="0.25"/>
  <cols>
    <col min="1" max="2" width="9.140625" style="7"/>
    <col min="3" max="3" width="22" style="7" customWidth="1"/>
    <col min="4" max="4" width="33.42578125" style="7" customWidth="1"/>
    <col min="5" max="5" width="37.140625" style="7" customWidth="1"/>
    <col min="6" max="6" width="13.42578125" style="7" customWidth="1"/>
    <col min="7" max="7" width="20.42578125" style="7" customWidth="1"/>
    <col min="8" max="8" width="14.5703125" style="7" customWidth="1"/>
    <col min="9" max="9" width="13.7109375" style="7" customWidth="1"/>
    <col min="10" max="10" width="18.85546875" style="7" customWidth="1"/>
    <col min="11" max="11" width="50.140625" style="7" customWidth="1"/>
    <col min="12" max="16384" width="9.140625" style="7"/>
  </cols>
  <sheetData>
    <row r="2" spans="2:11" ht="26.25" customHeight="1" x14ac:dyDescent="0.25">
      <c r="B2" s="18" t="s">
        <v>4442</v>
      </c>
    </row>
    <row r="4" spans="2:11" ht="26.25" customHeight="1" x14ac:dyDescent="0.25">
      <c r="B4" s="4">
        <v>224001</v>
      </c>
      <c r="C4" s="5" t="s">
        <v>4393</v>
      </c>
      <c r="D4" s="6"/>
      <c r="E4" s="6"/>
      <c r="F4" s="16"/>
      <c r="G4" s="16"/>
      <c r="H4" s="16"/>
      <c r="I4" s="16"/>
      <c r="J4" s="16"/>
      <c r="K4" s="16"/>
    </row>
    <row r="5" spans="2:11" ht="43.5" customHeight="1" x14ac:dyDescent="0.25">
      <c r="B5" s="8" t="s">
        <v>1</v>
      </c>
      <c r="C5" s="8" t="s">
        <v>4337</v>
      </c>
      <c r="D5" s="8" t="s">
        <v>2</v>
      </c>
      <c r="E5" s="8" t="s">
        <v>4343</v>
      </c>
      <c r="F5" s="8" t="s">
        <v>4370</v>
      </c>
      <c r="G5" s="8" t="s">
        <v>4344</v>
      </c>
      <c r="H5" s="8" t="s">
        <v>4451</v>
      </c>
      <c r="I5" s="8" t="s">
        <v>4346</v>
      </c>
      <c r="J5" s="8" t="s">
        <v>3</v>
      </c>
      <c r="K5" s="8" t="s">
        <v>4</v>
      </c>
    </row>
    <row r="6" spans="2:11" ht="26.25" customHeight="1" x14ac:dyDescent="0.25">
      <c r="B6" s="9"/>
      <c r="C6" s="9"/>
      <c r="D6" s="2" t="str">
        <f>_xlfn.IFNA(INDEX(Program!A:A,MATCH(Table3102865[[#This Row],[*Program Code]],Program!B:B,0)),"")</f>
        <v/>
      </c>
      <c r="F6" s="10"/>
      <c r="G6" s="9"/>
      <c r="H6" s="11"/>
      <c r="I6" s="17"/>
      <c r="J6" s="15">
        <f>Table3102865[[#This Row],[*Unit Price]]*Table3102865[[#This Row],[*Quantity]]</f>
        <v>0</v>
      </c>
    </row>
    <row r="7" spans="2:11" ht="26.25" customHeight="1" x14ac:dyDescent="0.25">
      <c r="B7" s="9"/>
      <c r="C7" s="9"/>
      <c r="D7" s="2" t="str">
        <f>_xlfn.IFNA(INDEX(Program!A:A,MATCH(Table3102865[[#This Row],[*Program Code]],Program!B:B,0)),"")</f>
        <v/>
      </c>
      <c r="F7" s="10"/>
      <c r="G7" s="9"/>
      <c r="H7" s="11"/>
      <c r="I7" s="17"/>
      <c r="J7" s="15">
        <f>Table3102865[[#This Row],[*Unit Price]]*Table3102865[[#This Row],[*Quantity]]</f>
        <v>0</v>
      </c>
    </row>
    <row r="8" spans="2:11" ht="26.25" customHeight="1" x14ac:dyDescent="0.25">
      <c r="B8" s="9"/>
      <c r="C8" s="9"/>
      <c r="D8" s="2" t="str">
        <f>_xlfn.IFNA(INDEX(Program!A:A,MATCH(Table3102865[[#This Row],[*Program Code]],Program!B:B,0)),"")</f>
        <v/>
      </c>
      <c r="F8" s="10"/>
      <c r="G8" s="9"/>
      <c r="H8" s="11"/>
      <c r="I8" s="17"/>
      <c r="J8" s="15">
        <f>Table3102865[[#This Row],[*Unit Price]]*Table3102865[[#This Row],[*Quantity]]</f>
        <v>0</v>
      </c>
    </row>
    <row r="9" spans="2:11" ht="26.25" customHeight="1" x14ac:dyDescent="0.25">
      <c r="B9" s="9"/>
      <c r="C9" s="9"/>
      <c r="D9" s="2" t="str">
        <f>_xlfn.IFNA(INDEX(Program!A:A,MATCH(Table3102865[[#This Row],[*Program Code]],Program!B:B,0)),"")</f>
        <v/>
      </c>
      <c r="F9" s="10"/>
      <c r="G9" s="9"/>
      <c r="H9" s="11"/>
      <c r="I9" s="17"/>
      <c r="J9" s="15">
        <f>Table3102865[[#This Row],[*Unit Price]]*Table3102865[[#This Row],[*Quantity]]</f>
        <v>0</v>
      </c>
    </row>
    <row r="10" spans="2:11" ht="26.25" customHeight="1" x14ac:dyDescent="0.25">
      <c r="B10" s="9"/>
      <c r="C10" s="9"/>
      <c r="D10" s="2" t="str">
        <f>_xlfn.IFNA(INDEX(Program!A:A,MATCH(Table3102865[[#This Row],[*Program Code]],Program!B:B,0)),"")</f>
        <v/>
      </c>
      <c r="F10" s="10"/>
      <c r="G10" s="9"/>
      <c r="H10" s="11"/>
      <c r="I10" s="17"/>
      <c r="J10" s="15">
        <f>Table3102865[[#This Row],[*Unit Price]]*Table3102865[[#This Row],[*Quantity]]</f>
        <v>0</v>
      </c>
    </row>
    <row r="11" spans="2:11" ht="26.25" customHeight="1" x14ac:dyDescent="0.25">
      <c r="B11" s="9"/>
      <c r="C11" s="9"/>
      <c r="D11" s="3" t="str">
        <f>_xlfn.IFNA(INDEX(Program!A:A,MATCH(Table3102865[[#This Row],[*Program Code]],Program!B:B,0)),"")</f>
        <v/>
      </c>
      <c r="F11" s="10"/>
      <c r="G11" s="9"/>
      <c r="H11" s="11"/>
      <c r="I11" s="17"/>
      <c r="J11" s="15">
        <f>Table3102865[[#This Row],[*Unit Price]]*Table3102865[[#This Row],[*Quantity]]</f>
        <v>0</v>
      </c>
    </row>
    <row r="12" spans="2:11" ht="26.25" customHeight="1" x14ac:dyDescent="0.25">
      <c r="B12" s="9"/>
      <c r="C12" s="9"/>
      <c r="D12" s="3" t="str">
        <f>_xlfn.IFNA(INDEX(Program!A:A,MATCH(Table3102865[[#This Row],[*Program Code]],Program!B:B,0)),"")</f>
        <v/>
      </c>
      <c r="F12" s="10"/>
      <c r="G12" s="9"/>
      <c r="H12" s="11"/>
      <c r="I12" s="17"/>
      <c r="J12" s="15">
        <f>Table3102865[[#This Row],[*Unit Price]]*Table3102865[[#This Row],[*Quantity]]</f>
        <v>0</v>
      </c>
    </row>
    <row r="13" spans="2:11" ht="26.25" customHeight="1" x14ac:dyDescent="0.25">
      <c r="B13" s="12" t="s">
        <v>5</v>
      </c>
      <c r="C13" s="13"/>
      <c r="D13" s="12"/>
      <c r="E13" s="12"/>
      <c r="F13" s="12"/>
      <c r="G13" s="12"/>
      <c r="H13" s="12"/>
      <c r="I13" s="12"/>
      <c r="J13" s="14">
        <f>SUBTOTAL(109,Table3102865[Total Expenditure])</f>
        <v>0</v>
      </c>
      <c r="K13" s="12"/>
    </row>
    <row r="15" spans="2:11" ht="26.25" customHeight="1" x14ac:dyDescent="0.25">
      <c r="B15" s="4">
        <v>224011</v>
      </c>
      <c r="C15" s="5" t="s">
        <v>4394</v>
      </c>
      <c r="D15" s="6"/>
      <c r="E15" s="6"/>
      <c r="F15" s="16"/>
      <c r="G15" s="16"/>
      <c r="H15" s="16"/>
      <c r="I15" s="16"/>
      <c r="J15" s="16"/>
      <c r="K15" s="16"/>
    </row>
    <row r="16" spans="2:11" ht="43.5" customHeight="1" x14ac:dyDescent="0.25">
      <c r="B16" s="8" t="s">
        <v>1</v>
      </c>
      <c r="C16" s="8" t="s">
        <v>4337</v>
      </c>
      <c r="D16" s="8" t="s">
        <v>2</v>
      </c>
      <c r="E16" s="8" t="s">
        <v>4343</v>
      </c>
      <c r="F16" s="8" t="s">
        <v>4370</v>
      </c>
      <c r="G16" s="8" t="s">
        <v>4344</v>
      </c>
      <c r="H16" s="8" t="s">
        <v>4451</v>
      </c>
      <c r="I16" s="8" t="s">
        <v>4346</v>
      </c>
      <c r="J16" s="8" t="s">
        <v>3</v>
      </c>
      <c r="K16" s="8" t="s">
        <v>4</v>
      </c>
    </row>
    <row r="17" spans="2:11" ht="26.25" customHeight="1" x14ac:dyDescent="0.25">
      <c r="B17" s="9"/>
      <c r="C17" s="9"/>
      <c r="D17" s="2" t="str">
        <f>_xlfn.IFNA(INDEX(Program!A:A,MATCH(Table310286591[[#This Row],[*Program Code]],Program!B:B,0)),"")</f>
        <v/>
      </c>
      <c r="F17" s="10"/>
      <c r="G17" s="9"/>
      <c r="H17" s="11"/>
      <c r="I17" s="17"/>
      <c r="J17" s="15">
        <f>Table310286591[[#This Row],[*Unit Price]]*Table310286591[[#This Row],[*Quantity]]</f>
        <v>0</v>
      </c>
    </row>
    <row r="18" spans="2:11" ht="26.25" customHeight="1" x14ac:dyDescent="0.25">
      <c r="B18" s="9"/>
      <c r="C18" s="9"/>
      <c r="D18" s="2" t="str">
        <f>_xlfn.IFNA(INDEX(Program!A:A,MATCH(Table310286591[[#This Row],[*Program Code]],Program!B:B,0)),"")</f>
        <v/>
      </c>
      <c r="F18" s="10"/>
      <c r="G18" s="9"/>
      <c r="H18" s="11"/>
      <c r="I18" s="17"/>
      <c r="J18" s="15">
        <f>Table310286591[[#This Row],[*Unit Price]]*Table310286591[[#This Row],[*Quantity]]</f>
        <v>0</v>
      </c>
    </row>
    <row r="19" spans="2:11" ht="26.25" customHeight="1" x14ac:dyDescent="0.25">
      <c r="B19" s="9"/>
      <c r="C19" s="9"/>
      <c r="D19" s="2" t="str">
        <f>_xlfn.IFNA(INDEX(Program!A:A,MATCH(Table310286591[[#This Row],[*Program Code]],Program!B:B,0)),"")</f>
        <v/>
      </c>
      <c r="F19" s="10"/>
      <c r="G19" s="9"/>
      <c r="H19" s="11"/>
      <c r="I19" s="17"/>
      <c r="J19" s="15">
        <f>Table310286591[[#This Row],[*Unit Price]]*Table310286591[[#This Row],[*Quantity]]</f>
        <v>0</v>
      </c>
    </row>
    <row r="20" spans="2:11" ht="26.25" customHeight="1" x14ac:dyDescent="0.25">
      <c r="B20" s="9"/>
      <c r="C20" s="9"/>
      <c r="D20" s="2" t="str">
        <f>_xlfn.IFNA(INDEX(Program!A:A,MATCH(Table310286591[[#This Row],[*Program Code]],Program!B:B,0)),"")</f>
        <v/>
      </c>
      <c r="F20" s="10"/>
      <c r="G20" s="9"/>
      <c r="H20" s="11"/>
      <c r="I20" s="17"/>
      <c r="J20" s="15">
        <f>Table310286591[[#This Row],[*Unit Price]]*Table310286591[[#This Row],[*Quantity]]</f>
        <v>0</v>
      </c>
    </row>
    <row r="21" spans="2:11" ht="26.25" customHeight="1" x14ac:dyDescent="0.25">
      <c r="B21" s="9"/>
      <c r="C21" s="9"/>
      <c r="D21" s="2" t="str">
        <f>_xlfn.IFNA(INDEX(Program!A:A,MATCH(Table310286591[[#This Row],[*Program Code]],Program!B:B,0)),"")</f>
        <v/>
      </c>
      <c r="F21" s="10"/>
      <c r="G21" s="9"/>
      <c r="H21" s="11"/>
      <c r="I21" s="17"/>
      <c r="J21" s="15">
        <f>Table310286591[[#This Row],[*Unit Price]]*Table310286591[[#This Row],[*Quantity]]</f>
        <v>0</v>
      </c>
    </row>
    <row r="22" spans="2:11" ht="26.25" customHeight="1" x14ac:dyDescent="0.25">
      <c r="B22" s="9"/>
      <c r="C22" s="9"/>
      <c r="D22" s="3" t="str">
        <f>_xlfn.IFNA(INDEX(Program!A:A,MATCH(Table310286591[[#This Row],[*Program Code]],Program!B:B,0)),"")</f>
        <v/>
      </c>
      <c r="F22" s="10"/>
      <c r="G22" s="9"/>
      <c r="H22" s="11"/>
      <c r="I22" s="17"/>
      <c r="J22" s="15">
        <f>Table310286591[[#This Row],[*Unit Price]]*Table310286591[[#This Row],[*Quantity]]</f>
        <v>0</v>
      </c>
    </row>
    <row r="23" spans="2:11" ht="26.25" customHeight="1" x14ac:dyDescent="0.25">
      <c r="B23" s="9"/>
      <c r="C23" s="9"/>
      <c r="D23" s="3" t="str">
        <f>_xlfn.IFNA(INDEX(Program!A:A,MATCH(Table310286591[[#This Row],[*Program Code]],Program!B:B,0)),"")</f>
        <v/>
      </c>
      <c r="F23" s="10"/>
      <c r="G23" s="9"/>
      <c r="H23" s="11"/>
      <c r="I23" s="17"/>
      <c r="J23" s="15">
        <f>Table310286591[[#This Row],[*Unit Price]]*Table310286591[[#This Row],[*Quantity]]</f>
        <v>0</v>
      </c>
    </row>
    <row r="24" spans="2:11" ht="26.25" customHeight="1" x14ac:dyDescent="0.25">
      <c r="B24" s="12" t="s">
        <v>5</v>
      </c>
      <c r="C24" s="13"/>
      <c r="D24" s="12"/>
      <c r="E24" s="12"/>
      <c r="F24" s="12"/>
      <c r="G24" s="12"/>
      <c r="H24" s="12"/>
      <c r="I24" s="12"/>
      <c r="J24" s="14">
        <f>SUBTOTAL(109,Table310286591[Total Expenditure])</f>
        <v>0</v>
      </c>
      <c r="K24" s="12"/>
    </row>
    <row r="26" spans="2:11" ht="26.25" customHeight="1" x14ac:dyDescent="0.25">
      <c r="B26" s="4">
        <v>224021</v>
      </c>
      <c r="C26" s="5" t="s">
        <v>4395</v>
      </c>
      <c r="D26" s="6"/>
      <c r="E26" s="6"/>
      <c r="F26" s="16"/>
      <c r="G26" s="16"/>
      <c r="H26" s="16"/>
      <c r="I26" s="16"/>
      <c r="J26" s="16"/>
      <c r="K26" s="16"/>
    </row>
    <row r="27" spans="2:11" ht="43.5" customHeight="1" x14ac:dyDescent="0.25">
      <c r="B27" s="8" t="s">
        <v>1</v>
      </c>
      <c r="C27" s="8" t="s">
        <v>4337</v>
      </c>
      <c r="D27" s="8" t="s">
        <v>2</v>
      </c>
      <c r="E27" s="8" t="s">
        <v>4351</v>
      </c>
      <c r="F27" s="8" t="s">
        <v>4457</v>
      </c>
      <c r="G27" s="8" t="s">
        <v>4344</v>
      </c>
      <c r="H27" s="8" t="s">
        <v>4451</v>
      </c>
      <c r="I27" s="8" t="s">
        <v>4346</v>
      </c>
      <c r="J27" s="8" t="s">
        <v>3</v>
      </c>
      <c r="K27" s="8" t="s">
        <v>4</v>
      </c>
    </row>
    <row r="28" spans="2:11" ht="26.25" customHeight="1" x14ac:dyDescent="0.25">
      <c r="B28" s="9"/>
      <c r="C28" s="9"/>
      <c r="D28" s="2" t="str">
        <f>_xlfn.IFNA(INDEX(Program!A:A,MATCH(Table31028659192[[#This Row],[*Program Code]],Program!B:B,0)),"")</f>
        <v/>
      </c>
      <c r="F28" s="10"/>
      <c r="G28" s="9"/>
      <c r="H28" s="11"/>
      <c r="I28" s="17"/>
      <c r="J28" s="15">
        <f>Table31028659192[[#This Row],[*Unit Price]]*Table31028659192[[#This Row],[*Quantity]]</f>
        <v>0</v>
      </c>
    </row>
    <row r="29" spans="2:11" ht="26.25" customHeight="1" x14ac:dyDescent="0.25">
      <c r="B29" s="9"/>
      <c r="C29" s="9"/>
      <c r="D29" s="2" t="str">
        <f>_xlfn.IFNA(INDEX(Program!A:A,MATCH(Table31028659192[[#This Row],[*Program Code]],Program!B:B,0)),"")</f>
        <v/>
      </c>
      <c r="F29" s="10"/>
      <c r="G29" s="9"/>
      <c r="H29" s="11"/>
      <c r="I29" s="17"/>
      <c r="J29" s="15">
        <f>Table31028659192[[#This Row],[*Unit Price]]*Table31028659192[[#This Row],[*Quantity]]</f>
        <v>0</v>
      </c>
    </row>
    <row r="30" spans="2:11" ht="26.25" customHeight="1" x14ac:dyDescent="0.25">
      <c r="B30" s="9"/>
      <c r="C30" s="9"/>
      <c r="D30" s="2" t="str">
        <f>_xlfn.IFNA(INDEX(Program!A:A,MATCH(Table31028659192[[#This Row],[*Program Code]],Program!B:B,0)),"")</f>
        <v/>
      </c>
      <c r="F30" s="10"/>
      <c r="G30" s="9"/>
      <c r="H30" s="11"/>
      <c r="I30" s="17"/>
      <c r="J30" s="15">
        <f>Table31028659192[[#This Row],[*Unit Price]]*Table31028659192[[#This Row],[*Quantity]]</f>
        <v>0</v>
      </c>
    </row>
    <row r="31" spans="2:11" ht="26.25" customHeight="1" x14ac:dyDescent="0.25">
      <c r="B31" s="9"/>
      <c r="C31" s="9"/>
      <c r="D31" s="2" t="str">
        <f>_xlfn.IFNA(INDEX(Program!A:A,MATCH(Table31028659192[[#This Row],[*Program Code]],Program!B:B,0)),"")</f>
        <v/>
      </c>
      <c r="F31" s="10"/>
      <c r="G31" s="9"/>
      <c r="H31" s="11"/>
      <c r="I31" s="17"/>
      <c r="J31" s="15">
        <f>Table31028659192[[#This Row],[*Unit Price]]*Table31028659192[[#This Row],[*Quantity]]</f>
        <v>0</v>
      </c>
    </row>
    <row r="32" spans="2:11" ht="26.25" customHeight="1" x14ac:dyDescent="0.25">
      <c r="B32" s="9"/>
      <c r="C32" s="9"/>
      <c r="D32" s="2" t="str">
        <f>_xlfn.IFNA(INDEX(Program!A:A,MATCH(Table31028659192[[#This Row],[*Program Code]],Program!B:B,0)),"")</f>
        <v/>
      </c>
      <c r="F32" s="10"/>
      <c r="G32" s="9"/>
      <c r="H32" s="11"/>
      <c r="I32" s="17"/>
      <c r="J32" s="15">
        <f>Table31028659192[[#This Row],[*Unit Price]]*Table31028659192[[#This Row],[*Quantity]]</f>
        <v>0</v>
      </c>
    </row>
    <row r="33" spans="2:11" ht="26.25" customHeight="1" x14ac:dyDescent="0.25">
      <c r="B33" s="9"/>
      <c r="C33" s="9"/>
      <c r="D33" s="3" t="str">
        <f>_xlfn.IFNA(INDEX(Program!A:A,MATCH(Table31028659192[[#This Row],[*Program Code]],Program!B:B,0)),"")</f>
        <v/>
      </c>
      <c r="F33" s="10"/>
      <c r="G33" s="9"/>
      <c r="H33" s="11"/>
      <c r="I33" s="17"/>
      <c r="J33" s="15">
        <f>Table31028659192[[#This Row],[*Unit Price]]*Table31028659192[[#This Row],[*Quantity]]</f>
        <v>0</v>
      </c>
    </row>
    <row r="34" spans="2:11" ht="26.25" customHeight="1" x14ac:dyDescent="0.25">
      <c r="B34" s="9"/>
      <c r="C34" s="9"/>
      <c r="D34" s="3" t="str">
        <f>_xlfn.IFNA(INDEX(Program!A:A,MATCH(Table31028659192[[#This Row],[*Program Code]],Program!B:B,0)),"")</f>
        <v/>
      </c>
      <c r="F34" s="10"/>
      <c r="G34" s="9"/>
      <c r="H34" s="11"/>
      <c r="I34" s="17"/>
      <c r="J34" s="15">
        <f>Table31028659192[[#This Row],[*Unit Price]]*Table31028659192[[#This Row],[*Quantity]]</f>
        <v>0</v>
      </c>
    </row>
    <row r="35" spans="2:11" ht="26.25" customHeight="1" x14ac:dyDescent="0.25">
      <c r="B35" s="12" t="s">
        <v>5</v>
      </c>
      <c r="C35" s="13"/>
      <c r="D35" s="12"/>
      <c r="E35" s="12"/>
      <c r="F35" s="12"/>
      <c r="G35" s="12"/>
      <c r="H35" s="12"/>
      <c r="I35" s="12"/>
      <c r="J35" s="14">
        <f>SUBTOTAL(109,Table31028659192[Total Expenditure])</f>
        <v>0</v>
      </c>
      <c r="K35" s="12"/>
    </row>
    <row r="37" spans="2:11" ht="26.25" customHeight="1" x14ac:dyDescent="0.25">
      <c r="B37" s="4">
        <v>224022</v>
      </c>
      <c r="C37" s="5" t="s">
        <v>4396</v>
      </c>
      <c r="D37" s="6"/>
      <c r="E37" s="6"/>
      <c r="F37" s="16"/>
      <c r="G37" s="16"/>
      <c r="H37" s="16"/>
      <c r="I37" s="16"/>
      <c r="J37" s="16"/>
      <c r="K37" s="16"/>
    </row>
    <row r="38" spans="2:11" ht="43.5" customHeight="1" x14ac:dyDescent="0.25">
      <c r="B38" s="8" t="s">
        <v>1</v>
      </c>
      <c r="C38" s="8" t="s">
        <v>4337</v>
      </c>
      <c r="D38" s="8" t="s">
        <v>2</v>
      </c>
      <c r="E38" s="8" t="s">
        <v>4343</v>
      </c>
      <c r="F38" s="8" t="s">
        <v>4457</v>
      </c>
      <c r="G38" s="8" t="s">
        <v>4344</v>
      </c>
      <c r="H38" s="8" t="s">
        <v>4451</v>
      </c>
      <c r="I38" s="8" t="s">
        <v>4346</v>
      </c>
      <c r="J38" s="8" t="s">
        <v>3</v>
      </c>
      <c r="K38" s="8" t="s">
        <v>4</v>
      </c>
    </row>
    <row r="39" spans="2:11" ht="26.25" customHeight="1" x14ac:dyDescent="0.25">
      <c r="B39" s="9"/>
      <c r="C39" s="9"/>
      <c r="D39" s="2" t="str">
        <f>_xlfn.IFNA(INDEX(Program!A:A,MATCH(Table3102865919293[[#This Row],[*Program Code]],Program!B:B,0)),"")</f>
        <v/>
      </c>
      <c r="F39" s="10"/>
      <c r="G39" s="9"/>
      <c r="H39" s="11"/>
      <c r="I39" s="17"/>
      <c r="J39" s="15">
        <f>Table3102865919293[[#This Row],[*Unit Price]]*Table3102865919293[[#This Row],[*Quantity]]</f>
        <v>0</v>
      </c>
    </row>
    <row r="40" spans="2:11" ht="26.25" customHeight="1" x14ac:dyDescent="0.25">
      <c r="B40" s="9"/>
      <c r="C40" s="9"/>
      <c r="D40" s="2" t="str">
        <f>_xlfn.IFNA(INDEX(Program!A:A,MATCH(Table3102865919293[[#This Row],[*Program Code]],Program!B:B,0)),"")</f>
        <v/>
      </c>
      <c r="F40" s="10"/>
      <c r="G40" s="9"/>
      <c r="H40" s="11"/>
      <c r="I40" s="17"/>
      <c r="J40" s="15">
        <f>Table3102865919293[[#This Row],[*Unit Price]]*Table3102865919293[[#This Row],[*Quantity]]</f>
        <v>0</v>
      </c>
    </row>
    <row r="41" spans="2:11" ht="26.25" customHeight="1" x14ac:dyDescent="0.25">
      <c r="B41" s="9"/>
      <c r="C41" s="9"/>
      <c r="D41" s="2" t="str">
        <f>_xlfn.IFNA(INDEX(Program!A:A,MATCH(Table3102865919293[[#This Row],[*Program Code]],Program!B:B,0)),"")</f>
        <v/>
      </c>
      <c r="F41" s="10"/>
      <c r="G41" s="9"/>
      <c r="H41" s="11"/>
      <c r="I41" s="17"/>
      <c r="J41" s="15">
        <f>Table3102865919293[[#This Row],[*Unit Price]]*Table3102865919293[[#This Row],[*Quantity]]</f>
        <v>0</v>
      </c>
    </row>
    <row r="42" spans="2:11" ht="26.25" customHeight="1" x14ac:dyDescent="0.25">
      <c r="B42" s="9"/>
      <c r="C42" s="9"/>
      <c r="D42" s="2" t="str">
        <f>_xlfn.IFNA(INDEX(Program!A:A,MATCH(Table3102865919293[[#This Row],[*Program Code]],Program!B:B,0)),"")</f>
        <v/>
      </c>
      <c r="F42" s="10"/>
      <c r="G42" s="9"/>
      <c r="H42" s="11"/>
      <c r="I42" s="17"/>
      <c r="J42" s="15">
        <f>Table3102865919293[[#This Row],[*Unit Price]]*Table3102865919293[[#This Row],[*Quantity]]</f>
        <v>0</v>
      </c>
    </row>
    <row r="43" spans="2:11" ht="26.25" customHeight="1" x14ac:dyDescent="0.25">
      <c r="B43" s="9"/>
      <c r="C43" s="9"/>
      <c r="D43" s="2" t="str">
        <f>_xlfn.IFNA(INDEX(Program!A:A,MATCH(Table3102865919293[[#This Row],[*Program Code]],Program!B:B,0)),"")</f>
        <v/>
      </c>
      <c r="F43" s="10"/>
      <c r="G43" s="9"/>
      <c r="H43" s="11"/>
      <c r="I43" s="17"/>
      <c r="J43" s="15">
        <f>Table3102865919293[[#This Row],[*Unit Price]]*Table3102865919293[[#This Row],[*Quantity]]</f>
        <v>0</v>
      </c>
    </row>
    <row r="44" spans="2:11" ht="26.25" customHeight="1" x14ac:dyDescent="0.25">
      <c r="B44" s="9"/>
      <c r="C44" s="9"/>
      <c r="D44" s="3" t="str">
        <f>_xlfn.IFNA(INDEX(Program!A:A,MATCH(Table3102865919293[[#This Row],[*Program Code]],Program!B:B,0)),"")</f>
        <v/>
      </c>
      <c r="F44" s="10"/>
      <c r="G44" s="9"/>
      <c r="H44" s="11"/>
      <c r="I44" s="17"/>
      <c r="J44" s="15">
        <f>Table3102865919293[[#This Row],[*Unit Price]]*Table3102865919293[[#This Row],[*Quantity]]</f>
        <v>0</v>
      </c>
    </row>
    <row r="45" spans="2:11" ht="26.25" customHeight="1" x14ac:dyDescent="0.25">
      <c r="B45" s="9"/>
      <c r="C45" s="9"/>
      <c r="D45" s="3" t="str">
        <f>_xlfn.IFNA(INDEX(Program!A:A,MATCH(Table3102865919293[[#This Row],[*Program Code]],Program!B:B,0)),"")</f>
        <v/>
      </c>
      <c r="F45" s="10"/>
      <c r="G45" s="9"/>
      <c r="H45" s="11"/>
      <c r="I45" s="17"/>
      <c r="J45" s="15">
        <f>Table3102865919293[[#This Row],[*Unit Price]]*Table3102865919293[[#This Row],[*Quantity]]</f>
        <v>0</v>
      </c>
    </row>
    <row r="46" spans="2:11" ht="26.25" customHeight="1" x14ac:dyDescent="0.25">
      <c r="B46" s="12" t="s">
        <v>5</v>
      </c>
      <c r="C46" s="13"/>
      <c r="D46" s="12"/>
      <c r="E46" s="12"/>
      <c r="F46" s="12"/>
      <c r="G46" s="12"/>
      <c r="H46" s="12"/>
      <c r="I46" s="12"/>
      <c r="J46" s="14">
        <f>SUBTOTAL(109,Table3102865919293[Total Expenditure])</f>
        <v>0</v>
      </c>
      <c r="K46" s="12"/>
    </row>
    <row r="48" spans="2:11" ht="26.25" customHeight="1" x14ac:dyDescent="0.25">
      <c r="B48" s="4">
        <v>224999</v>
      </c>
      <c r="C48" s="5" t="s">
        <v>4397</v>
      </c>
      <c r="D48" s="6"/>
      <c r="E48" s="6"/>
      <c r="F48" s="16"/>
      <c r="G48" s="16"/>
      <c r="H48" s="16"/>
      <c r="I48" s="16"/>
      <c r="J48" s="16"/>
      <c r="K48" s="16"/>
    </row>
    <row r="49" spans="2:11" ht="43.5" customHeight="1" x14ac:dyDescent="0.25">
      <c r="B49" s="8" t="s">
        <v>1</v>
      </c>
      <c r="C49" s="8" t="s">
        <v>4337</v>
      </c>
      <c r="D49" s="8" t="s">
        <v>2</v>
      </c>
      <c r="E49" s="8" t="s">
        <v>4343</v>
      </c>
      <c r="F49" s="8" t="s">
        <v>4370</v>
      </c>
      <c r="G49" s="8" t="s">
        <v>4344</v>
      </c>
      <c r="H49" s="8" t="s">
        <v>4451</v>
      </c>
      <c r="I49" s="8" t="s">
        <v>4346</v>
      </c>
      <c r="J49" s="8" t="s">
        <v>3</v>
      </c>
      <c r="K49" s="8" t="s">
        <v>4</v>
      </c>
    </row>
    <row r="50" spans="2:11" ht="26.25" customHeight="1" x14ac:dyDescent="0.25">
      <c r="B50" s="9"/>
      <c r="C50" s="9"/>
      <c r="D50" s="2" t="str">
        <f>_xlfn.IFNA(INDEX(Program!A:A,MATCH(Table310286591929394[[#This Row],[*Program Code]],Program!B:B,0)),"")</f>
        <v/>
      </c>
      <c r="F50" s="10"/>
      <c r="G50" s="9"/>
      <c r="H50" s="11"/>
      <c r="I50" s="17"/>
      <c r="J50" s="15">
        <f>Table310286591929394[[#This Row],[*Unit Price]]*Table310286591929394[[#This Row],[*Quantity]]</f>
        <v>0</v>
      </c>
    </row>
    <row r="51" spans="2:11" ht="26.25" customHeight="1" x14ac:dyDescent="0.25">
      <c r="B51" s="9"/>
      <c r="C51" s="9"/>
      <c r="D51" s="2" t="str">
        <f>_xlfn.IFNA(INDEX(Program!A:A,MATCH(Table310286591929394[[#This Row],[*Program Code]],Program!B:B,0)),"")</f>
        <v/>
      </c>
      <c r="F51" s="10"/>
      <c r="G51" s="9"/>
      <c r="H51" s="11"/>
      <c r="I51" s="17"/>
      <c r="J51" s="15">
        <f>Table310286591929394[[#This Row],[*Unit Price]]*Table310286591929394[[#This Row],[*Quantity]]</f>
        <v>0</v>
      </c>
    </row>
    <row r="52" spans="2:11" ht="26.25" customHeight="1" x14ac:dyDescent="0.25">
      <c r="B52" s="9"/>
      <c r="C52" s="9"/>
      <c r="D52" s="2" t="str">
        <f>_xlfn.IFNA(INDEX(Program!A:A,MATCH(Table310286591929394[[#This Row],[*Program Code]],Program!B:B,0)),"")</f>
        <v/>
      </c>
      <c r="F52" s="10"/>
      <c r="G52" s="9"/>
      <c r="H52" s="11"/>
      <c r="I52" s="17"/>
      <c r="J52" s="15">
        <f>Table310286591929394[[#This Row],[*Unit Price]]*Table310286591929394[[#This Row],[*Quantity]]</f>
        <v>0</v>
      </c>
    </row>
    <row r="53" spans="2:11" ht="26.25" customHeight="1" x14ac:dyDescent="0.25">
      <c r="B53" s="9"/>
      <c r="C53" s="9"/>
      <c r="D53" s="2" t="str">
        <f>_xlfn.IFNA(INDEX(Program!A:A,MATCH(Table310286591929394[[#This Row],[*Program Code]],Program!B:B,0)),"")</f>
        <v/>
      </c>
      <c r="F53" s="10"/>
      <c r="G53" s="9"/>
      <c r="H53" s="11"/>
      <c r="I53" s="17"/>
      <c r="J53" s="15">
        <f>Table310286591929394[[#This Row],[*Unit Price]]*Table310286591929394[[#This Row],[*Quantity]]</f>
        <v>0</v>
      </c>
    </row>
    <row r="54" spans="2:11" ht="26.25" customHeight="1" x14ac:dyDescent="0.25">
      <c r="B54" s="9"/>
      <c r="C54" s="9"/>
      <c r="D54" s="2" t="str">
        <f>_xlfn.IFNA(INDEX(Program!A:A,MATCH(Table310286591929394[[#This Row],[*Program Code]],Program!B:B,0)),"")</f>
        <v/>
      </c>
      <c r="F54" s="10"/>
      <c r="G54" s="9"/>
      <c r="H54" s="11"/>
      <c r="I54" s="17"/>
      <c r="J54" s="15">
        <f>Table310286591929394[[#This Row],[*Unit Price]]*Table310286591929394[[#This Row],[*Quantity]]</f>
        <v>0</v>
      </c>
    </row>
    <row r="55" spans="2:11" ht="26.25" customHeight="1" x14ac:dyDescent="0.25">
      <c r="B55" s="9"/>
      <c r="C55" s="9"/>
      <c r="D55" s="3" t="str">
        <f>_xlfn.IFNA(INDEX(Program!A:A,MATCH(Table310286591929394[[#This Row],[*Program Code]],Program!B:B,0)),"")</f>
        <v/>
      </c>
      <c r="F55" s="10"/>
      <c r="G55" s="9"/>
      <c r="H55" s="11"/>
      <c r="I55" s="17"/>
      <c r="J55" s="15">
        <f>Table310286591929394[[#This Row],[*Unit Price]]*Table310286591929394[[#This Row],[*Quantity]]</f>
        <v>0</v>
      </c>
    </row>
    <row r="56" spans="2:11" ht="26.25" customHeight="1" x14ac:dyDescent="0.25">
      <c r="B56" s="9"/>
      <c r="C56" s="9"/>
      <c r="D56" s="3" t="str">
        <f>_xlfn.IFNA(INDEX(Program!A:A,MATCH(Table310286591929394[[#This Row],[*Program Code]],Program!B:B,0)),"")</f>
        <v/>
      </c>
      <c r="F56" s="10"/>
      <c r="G56" s="9"/>
      <c r="H56" s="11"/>
      <c r="I56" s="17"/>
      <c r="J56" s="15">
        <f>Table310286591929394[[#This Row],[*Unit Price]]*Table310286591929394[[#This Row],[*Quantity]]</f>
        <v>0</v>
      </c>
    </row>
    <row r="57" spans="2:11" ht="26.25" customHeight="1" x14ac:dyDescent="0.25">
      <c r="B57" s="12" t="s">
        <v>5</v>
      </c>
      <c r="C57" s="13"/>
      <c r="D57" s="12"/>
      <c r="E57" s="12"/>
      <c r="F57" s="12"/>
      <c r="G57" s="12"/>
      <c r="H57" s="12"/>
      <c r="I57" s="12"/>
      <c r="J57" s="14">
        <f>SUBTOTAL(109,Table310286591929394[Total Expenditure])</f>
        <v>0</v>
      </c>
      <c r="K57" s="12"/>
    </row>
  </sheetData>
  <sheetProtection formatColumns="0" insertRows="0" deleteRows="0"/>
  <pageMargins left="0.7" right="0.7" top="0.75" bottom="0.75" header="0.3" footer="0.3"/>
  <customProperties>
    <customPr name="_pios_id" r:id="rId1"/>
  </customProperties>
  <tableParts count="5">
    <tablePart r:id="rId2"/>
    <tablePart r:id="rId3"/>
    <tablePart r:id="rId4"/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B2:K68"/>
  <sheetViews>
    <sheetView zoomScale="85" zoomScaleNormal="85" workbookViewId="0">
      <selection activeCell="D62" sqref="D62"/>
    </sheetView>
  </sheetViews>
  <sheetFormatPr defaultRowHeight="26.25" customHeight="1" x14ac:dyDescent="0.25"/>
  <cols>
    <col min="1" max="2" width="9.140625" style="7"/>
    <col min="3" max="3" width="22" style="7" customWidth="1"/>
    <col min="4" max="4" width="33.42578125" style="7" customWidth="1"/>
    <col min="5" max="5" width="37.140625" style="7" customWidth="1"/>
    <col min="6" max="6" width="21" style="7" bestFit="1" customWidth="1"/>
    <col min="7" max="7" width="20.42578125" style="7" customWidth="1"/>
    <col min="8" max="8" width="14.5703125" style="7" customWidth="1"/>
    <col min="9" max="9" width="13.7109375" style="7" customWidth="1"/>
    <col min="10" max="10" width="18.85546875" style="7" customWidth="1"/>
    <col min="11" max="11" width="50.140625" style="7" customWidth="1"/>
    <col min="12" max="16384" width="9.140625" style="7"/>
  </cols>
  <sheetData>
    <row r="2" spans="2:11" ht="26.25" customHeight="1" x14ac:dyDescent="0.25">
      <c r="B2" s="18" t="s">
        <v>4443</v>
      </c>
    </row>
    <row r="4" spans="2:11" ht="26.25" customHeight="1" x14ac:dyDescent="0.25">
      <c r="B4" s="4">
        <v>225001</v>
      </c>
      <c r="C4" s="5" t="s">
        <v>4398</v>
      </c>
      <c r="D4" s="6"/>
      <c r="E4" s="6"/>
      <c r="F4" s="16"/>
      <c r="G4" s="16"/>
      <c r="H4" s="16"/>
      <c r="I4" s="16"/>
      <c r="J4" s="16"/>
      <c r="K4" s="16"/>
    </row>
    <row r="5" spans="2:11" ht="43.5" customHeight="1" x14ac:dyDescent="0.25">
      <c r="B5" s="8" t="s">
        <v>1</v>
      </c>
      <c r="C5" s="8" t="s">
        <v>4337</v>
      </c>
      <c r="D5" s="8" t="s">
        <v>2</v>
      </c>
      <c r="E5" s="8" t="s">
        <v>4461</v>
      </c>
      <c r="F5" s="8" t="s">
        <v>4459</v>
      </c>
      <c r="G5" s="8" t="s">
        <v>4458</v>
      </c>
      <c r="H5" s="8" t="s">
        <v>4451</v>
      </c>
      <c r="I5" s="8" t="s">
        <v>4346</v>
      </c>
      <c r="J5" s="8" t="s">
        <v>3</v>
      </c>
      <c r="K5" s="8" t="s">
        <v>4</v>
      </c>
    </row>
    <row r="6" spans="2:11" ht="26.25" customHeight="1" x14ac:dyDescent="0.25">
      <c r="B6" s="9"/>
      <c r="C6" s="9"/>
      <c r="D6" s="2" t="str">
        <f>_xlfn.IFNA(INDEX(Program!A:A,MATCH(Table310286595[[#This Row],[*Program Code]],Program!B:B,0)),"")</f>
        <v/>
      </c>
      <c r="F6" s="10"/>
      <c r="G6" s="9"/>
      <c r="H6" s="11"/>
      <c r="I6" s="17"/>
      <c r="J6" s="15">
        <f>Table310286595[[#This Row],[*Unit Price]]*Table310286595[[#This Row],[*No. of Participants]]</f>
        <v>0</v>
      </c>
    </row>
    <row r="7" spans="2:11" ht="26.25" customHeight="1" x14ac:dyDescent="0.25">
      <c r="B7" s="9"/>
      <c r="C7" s="9"/>
      <c r="D7" s="2" t="str">
        <f>_xlfn.IFNA(INDEX(Program!A:A,MATCH(Table310286595[[#This Row],[*Program Code]],Program!B:B,0)),"")</f>
        <v/>
      </c>
      <c r="F7" s="10"/>
      <c r="G7" s="9"/>
      <c r="H7" s="11"/>
      <c r="I7" s="17"/>
      <c r="J7" s="15">
        <f>Table310286595[[#This Row],[*Unit Price]]*Table310286595[[#This Row],[*No. of Participants]]</f>
        <v>0</v>
      </c>
    </row>
    <row r="8" spans="2:11" ht="26.25" customHeight="1" x14ac:dyDescent="0.25">
      <c r="B8" s="9"/>
      <c r="C8" s="9"/>
      <c r="D8" s="2" t="str">
        <f>_xlfn.IFNA(INDEX(Program!A:A,MATCH(Table310286595[[#This Row],[*Program Code]],Program!B:B,0)),"")</f>
        <v/>
      </c>
      <c r="F8" s="10"/>
      <c r="G8" s="9"/>
      <c r="H8" s="11"/>
      <c r="I8" s="17"/>
      <c r="J8" s="15">
        <f>Table310286595[[#This Row],[*Unit Price]]*Table310286595[[#This Row],[*No. of Participants]]</f>
        <v>0</v>
      </c>
    </row>
    <row r="9" spans="2:11" ht="26.25" customHeight="1" x14ac:dyDescent="0.25">
      <c r="B9" s="9"/>
      <c r="C9" s="9"/>
      <c r="D9" s="2" t="str">
        <f>_xlfn.IFNA(INDEX(Program!A:A,MATCH(Table310286595[[#This Row],[*Program Code]],Program!B:B,0)),"")</f>
        <v/>
      </c>
      <c r="F9" s="10"/>
      <c r="G9" s="9"/>
      <c r="H9" s="11"/>
      <c r="I9" s="17"/>
      <c r="J9" s="15">
        <f>Table310286595[[#This Row],[*Unit Price]]*Table310286595[[#This Row],[*No. of Participants]]</f>
        <v>0</v>
      </c>
    </row>
    <row r="10" spans="2:11" ht="26.25" customHeight="1" x14ac:dyDescent="0.25">
      <c r="B10" s="9"/>
      <c r="C10" s="9"/>
      <c r="D10" s="2" t="str">
        <f>_xlfn.IFNA(INDEX(Program!A:A,MATCH(Table310286595[[#This Row],[*Program Code]],Program!B:B,0)),"")</f>
        <v/>
      </c>
      <c r="F10" s="10"/>
      <c r="G10" s="9"/>
      <c r="H10" s="11"/>
      <c r="I10" s="17"/>
      <c r="J10" s="15">
        <f>Table310286595[[#This Row],[*Unit Price]]*Table310286595[[#This Row],[*No. of Participants]]</f>
        <v>0</v>
      </c>
    </row>
    <row r="11" spans="2:11" ht="26.25" customHeight="1" x14ac:dyDescent="0.25">
      <c r="B11" s="9"/>
      <c r="C11" s="9"/>
      <c r="D11" s="3" t="str">
        <f>_xlfn.IFNA(INDEX(Program!A:A,MATCH(Table310286595[[#This Row],[*Program Code]],Program!B:B,0)),"")</f>
        <v/>
      </c>
      <c r="F11" s="10"/>
      <c r="G11" s="9"/>
      <c r="H11" s="11"/>
      <c r="I11" s="17"/>
      <c r="J11" s="15">
        <f>Table310286595[[#This Row],[*Unit Price]]*Table310286595[[#This Row],[*No. of Participants]]</f>
        <v>0</v>
      </c>
    </row>
    <row r="12" spans="2:11" ht="26.25" customHeight="1" x14ac:dyDescent="0.25">
      <c r="B12" s="9"/>
      <c r="C12" s="9"/>
      <c r="D12" s="3" t="str">
        <f>_xlfn.IFNA(INDEX(Program!A:A,MATCH(Table310286595[[#This Row],[*Program Code]],Program!B:B,0)),"")</f>
        <v/>
      </c>
      <c r="F12" s="10"/>
      <c r="G12" s="9"/>
      <c r="H12" s="11"/>
      <c r="I12" s="17"/>
      <c r="J12" s="15">
        <f>Table310286595[[#This Row],[*Unit Price]]*Table310286595[[#This Row],[*No. of Participants]]</f>
        <v>0</v>
      </c>
    </row>
    <row r="13" spans="2:11" ht="26.25" customHeight="1" x14ac:dyDescent="0.25">
      <c r="B13" s="12" t="s">
        <v>5</v>
      </c>
      <c r="C13" s="13"/>
      <c r="D13" s="12"/>
      <c r="E13" s="12"/>
      <c r="F13" s="12"/>
      <c r="G13" s="12"/>
      <c r="H13" s="12"/>
      <c r="I13" s="12"/>
      <c r="J13" s="14">
        <f>SUBTOTAL(109,Table310286595[Total Expenditure])</f>
        <v>0</v>
      </c>
      <c r="K13" s="12"/>
    </row>
    <row r="15" spans="2:11" ht="26.25" customHeight="1" x14ac:dyDescent="0.25">
      <c r="B15" s="4">
        <v>225002</v>
      </c>
      <c r="C15" s="5" t="s">
        <v>4399</v>
      </c>
      <c r="D15" s="6"/>
      <c r="E15" s="6"/>
      <c r="F15" s="16"/>
      <c r="G15" s="16"/>
      <c r="H15" s="16"/>
      <c r="I15" s="16"/>
      <c r="J15" s="16"/>
      <c r="K15" s="16"/>
    </row>
    <row r="16" spans="2:11" ht="43.5" customHeight="1" x14ac:dyDescent="0.25">
      <c r="B16" s="8" t="s">
        <v>1</v>
      </c>
      <c r="C16" s="8" t="s">
        <v>4337</v>
      </c>
      <c r="D16" s="8" t="s">
        <v>2</v>
      </c>
      <c r="E16" s="8" t="s">
        <v>4461</v>
      </c>
      <c r="F16" s="8" t="s">
        <v>4459</v>
      </c>
      <c r="G16" s="8" t="s">
        <v>4458</v>
      </c>
      <c r="H16" s="8" t="s">
        <v>4451</v>
      </c>
      <c r="I16" s="8" t="s">
        <v>4346</v>
      </c>
      <c r="J16" s="8" t="s">
        <v>3</v>
      </c>
      <c r="K16" s="8" t="s">
        <v>4</v>
      </c>
    </row>
    <row r="17" spans="2:11" ht="26.25" customHeight="1" x14ac:dyDescent="0.25">
      <c r="B17" s="9"/>
      <c r="C17" s="9"/>
      <c r="D17" s="2" t="str">
        <f>_xlfn.IFNA(INDEX(Program!A:A,MATCH(Table310286595100[[#This Row],[*Program Code]],Program!B:B,0)),"")</f>
        <v/>
      </c>
      <c r="F17" s="10"/>
      <c r="G17" s="9"/>
      <c r="H17" s="11"/>
      <c r="I17" s="17"/>
      <c r="J17" s="15">
        <f>Table310286595100[[#This Row],[*Unit Price]]*Table310286595100[[#This Row],[*No. of Participants]]</f>
        <v>0</v>
      </c>
    </row>
    <row r="18" spans="2:11" ht="26.25" customHeight="1" x14ac:dyDescent="0.25">
      <c r="B18" s="9"/>
      <c r="C18" s="9"/>
      <c r="D18" s="2" t="str">
        <f>_xlfn.IFNA(INDEX(Program!A:A,MATCH(Table310286595100[[#This Row],[*Program Code]],Program!B:B,0)),"")</f>
        <v/>
      </c>
      <c r="F18" s="10"/>
      <c r="G18" s="9"/>
      <c r="H18" s="11"/>
      <c r="I18" s="17"/>
      <c r="J18" s="15">
        <f>Table310286595100[[#This Row],[*Unit Price]]*Table310286595100[[#This Row],[*No. of Participants]]</f>
        <v>0</v>
      </c>
    </row>
    <row r="19" spans="2:11" ht="26.25" customHeight="1" x14ac:dyDescent="0.25">
      <c r="B19" s="9"/>
      <c r="C19" s="9"/>
      <c r="D19" s="2" t="str">
        <f>_xlfn.IFNA(INDEX(Program!A:A,MATCH(Table310286595100[[#This Row],[*Program Code]],Program!B:B,0)),"")</f>
        <v/>
      </c>
      <c r="F19" s="10"/>
      <c r="G19" s="9"/>
      <c r="H19" s="11"/>
      <c r="I19" s="17"/>
      <c r="J19" s="15">
        <f>Table310286595100[[#This Row],[*Unit Price]]*Table310286595100[[#This Row],[*No. of Participants]]</f>
        <v>0</v>
      </c>
    </row>
    <row r="20" spans="2:11" ht="26.25" customHeight="1" x14ac:dyDescent="0.25">
      <c r="B20" s="9"/>
      <c r="C20" s="9"/>
      <c r="D20" s="2" t="str">
        <f>_xlfn.IFNA(INDEX(Program!A:A,MATCH(Table310286595100[[#This Row],[*Program Code]],Program!B:B,0)),"")</f>
        <v/>
      </c>
      <c r="F20" s="10"/>
      <c r="G20" s="9"/>
      <c r="H20" s="11"/>
      <c r="I20" s="17"/>
      <c r="J20" s="15">
        <f>Table310286595100[[#This Row],[*Unit Price]]*Table310286595100[[#This Row],[*No. of Participants]]</f>
        <v>0</v>
      </c>
    </row>
    <row r="21" spans="2:11" ht="26.25" customHeight="1" x14ac:dyDescent="0.25">
      <c r="B21" s="9"/>
      <c r="C21" s="9"/>
      <c r="D21" s="2" t="str">
        <f>_xlfn.IFNA(INDEX(Program!A:A,MATCH(Table310286595100[[#This Row],[*Program Code]],Program!B:B,0)),"")</f>
        <v/>
      </c>
      <c r="F21" s="10"/>
      <c r="G21" s="9"/>
      <c r="H21" s="11"/>
      <c r="I21" s="17"/>
      <c r="J21" s="15">
        <f>Table310286595100[[#This Row],[*Unit Price]]*Table310286595100[[#This Row],[*No. of Participants]]</f>
        <v>0</v>
      </c>
    </row>
    <row r="22" spans="2:11" ht="26.25" customHeight="1" x14ac:dyDescent="0.25">
      <c r="B22" s="9"/>
      <c r="C22" s="9"/>
      <c r="D22" s="3" t="str">
        <f>_xlfn.IFNA(INDEX(Program!A:A,MATCH(Table310286595100[[#This Row],[*Program Code]],Program!B:B,0)),"")</f>
        <v/>
      </c>
      <c r="F22" s="10"/>
      <c r="G22" s="9"/>
      <c r="H22" s="11"/>
      <c r="I22" s="17"/>
      <c r="J22" s="15">
        <f>Table310286595100[[#This Row],[*Unit Price]]*Table310286595100[[#This Row],[*No. of Participants]]</f>
        <v>0</v>
      </c>
    </row>
    <row r="23" spans="2:11" ht="26.25" customHeight="1" x14ac:dyDescent="0.25">
      <c r="B23" s="9"/>
      <c r="C23" s="9"/>
      <c r="D23" s="3" t="str">
        <f>_xlfn.IFNA(INDEX(Program!A:A,MATCH(Table310286595100[[#This Row],[*Program Code]],Program!B:B,0)),"")</f>
        <v/>
      </c>
      <c r="F23" s="10"/>
      <c r="G23" s="9"/>
      <c r="H23" s="11"/>
      <c r="I23" s="17"/>
      <c r="J23" s="15">
        <f>Table310286595100[[#This Row],[*Unit Price]]*Table310286595100[[#This Row],[*No. of Participants]]</f>
        <v>0</v>
      </c>
    </row>
    <row r="24" spans="2:11" ht="26.25" customHeight="1" x14ac:dyDescent="0.25">
      <c r="B24" s="12" t="s">
        <v>5</v>
      </c>
      <c r="C24" s="13"/>
      <c r="D24" s="12"/>
      <c r="E24" s="12"/>
      <c r="F24" s="12"/>
      <c r="G24" s="12"/>
      <c r="H24" s="12"/>
      <c r="I24" s="12"/>
      <c r="J24" s="14">
        <f>SUBTOTAL(109,Table310286595100[Total Expenditure])</f>
        <v>0</v>
      </c>
      <c r="K24" s="12"/>
    </row>
    <row r="26" spans="2:11" ht="26.25" customHeight="1" x14ac:dyDescent="0.25">
      <c r="B26" s="4">
        <v>225003</v>
      </c>
      <c r="C26" s="5" t="s">
        <v>4400</v>
      </c>
      <c r="D26" s="6"/>
      <c r="E26" s="6"/>
      <c r="F26" s="16"/>
      <c r="G26" s="16"/>
      <c r="H26" s="16"/>
      <c r="I26" s="16"/>
      <c r="J26" s="16"/>
      <c r="K26" s="16"/>
    </row>
    <row r="27" spans="2:11" ht="43.5" customHeight="1" x14ac:dyDescent="0.25">
      <c r="B27" s="8" t="s">
        <v>1</v>
      </c>
      <c r="C27" s="8" t="s">
        <v>4337</v>
      </c>
      <c r="D27" s="8" t="s">
        <v>2</v>
      </c>
      <c r="E27" s="8" t="s">
        <v>4461</v>
      </c>
      <c r="F27" s="8" t="s">
        <v>4460</v>
      </c>
      <c r="G27" s="8" t="s">
        <v>4458</v>
      </c>
      <c r="H27" s="8" t="s">
        <v>4451</v>
      </c>
      <c r="I27" s="8" t="s">
        <v>4346</v>
      </c>
      <c r="J27" s="8" t="s">
        <v>3</v>
      </c>
      <c r="K27" s="8" t="s">
        <v>4</v>
      </c>
    </row>
    <row r="28" spans="2:11" ht="26.25" customHeight="1" x14ac:dyDescent="0.25">
      <c r="B28" s="9"/>
      <c r="C28" s="9"/>
      <c r="D28" s="2" t="str">
        <f>_xlfn.IFNA(INDEX(Program!A:A,MATCH(Table310286595100101[[#This Row],[*Program Code]],Program!B:B,0)),"")</f>
        <v/>
      </c>
      <c r="F28" s="10"/>
      <c r="G28" s="9"/>
      <c r="H28" s="11"/>
      <c r="I28" s="17"/>
      <c r="J28" s="15">
        <f>Table310286595100101[[#This Row],[*Unit Price]]*Table310286595100101[[#This Row],[*No. of Participants]]</f>
        <v>0</v>
      </c>
    </row>
    <row r="29" spans="2:11" ht="26.25" customHeight="1" x14ac:dyDescent="0.25">
      <c r="B29" s="9"/>
      <c r="C29" s="9"/>
      <c r="D29" s="2" t="str">
        <f>_xlfn.IFNA(INDEX(Program!A:A,MATCH(Table310286595100101[[#This Row],[*Program Code]],Program!B:B,0)),"")</f>
        <v/>
      </c>
      <c r="F29" s="10"/>
      <c r="G29" s="9"/>
      <c r="H29" s="11"/>
      <c r="I29" s="17"/>
      <c r="J29" s="15">
        <f>Table310286595100101[[#This Row],[*Unit Price]]*Table310286595100101[[#This Row],[*No. of Participants]]</f>
        <v>0</v>
      </c>
    </row>
    <row r="30" spans="2:11" ht="26.25" customHeight="1" x14ac:dyDescent="0.25">
      <c r="B30" s="9"/>
      <c r="C30" s="9"/>
      <c r="D30" s="2" t="str">
        <f>_xlfn.IFNA(INDEX(Program!A:A,MATCH(Table310286595100101[[#This Row],[*Program Code]],Program!B:B,0)),"")</f>
        <v/>
      </c>
      <c r="F30" s="10"/>
      <c r="G30" s="9"/>
      <c r="H30" s="11"/>
      <c r="I30" s="17"/>
      <c r="J30" s="15">
        <f>Table310286595100101[[#This Row],[*Unit Price]]*Table310286595100101[[#This Row],[*No. of Participants]]</f>
        <v>0</v>
      </c>
    </row>
    <row r="31" spans="2:11" ht="26.25" customHeight="1" x14ac:dyDescent="0.25">
      <c r="B31" s="9"/>
      <c r="C31" s="9"/>
      <c r="D31" s="2" t="str">
        <f>_xlfn.IFNA(INDEX(Program!A:A,MATCH(Table310286595100101[[#This Row],[*Program Code]],Program!B:B,0)),"")</f>
        <v/>
      </c>
      <c r="F31" s="10"/>
      <c r="G31" s="9"/>
      <c r="H31" s="11"/>
      <c r="I31" s="17"/>
      <c r="J31" s="15">
        <f>Table310286595100101[[#This Row],[*Unit Price]]*Table310286595100101[[#This Row],[*No. of Participants]]</f>
        <v>0</v>
      </c>
    </row>
    <row r="32" spans="2:11" ht="26.25" customHeight="1" x14ac:dyDescent="0.25">
      <c r="B32" s="9"/>
      <c r="C32" s="9"/>
      <c r="D32" s="2" t="str">
        <f>_xlfn.IFNA(INDEX(Program!A:A,MATCH(Table310286595100101[[#This Row],[*Program Code]],Program!B:B,0)),"")</f>
        <v/>
      </c>
      <c r="F32" s="10"/>
      <c r="G32" s="9"/>
      <c r="H32" s="11"/>
      <c r="I32" s="17"/>
      <c r="J32" s="15">
        <f>Table310286595100101[[#This Row],[*Unit Price]]*Table310286595100101[[#This Row],[*No. of Participants]]</f>
        <v>0</v>
      </c>
    </row>
    <row r="33" spans="2:11" ht="26.25" customHeight="1" x14ac:dyDescent="0.25">
      <c r="B33" s="9"/>
      <c r="C33" s="9"/>
      <c r="D33" s="3" t="str">
        <f>_xlfn.IFNA(INDEX(Program!A:A,MATCH(Table310286595100101[[#This Row],[*Program Code]],Program!B:B,0)),"")</f>
        <v/>
      </c>
      <c r="F33" s="10"/>
      <c r="G33" s="9"/>
      <c r="H33" s="11"/>
      <c r="I33" s="17"/>
      <c r="J33" s="15">
        <f>Table310286595100101[[#This Row],[*Unit Price]]*Table310286595100101[[#This Row],[*No. of Participants]]</f>
        <v>0</v>
      </c>
    </row>
    <row r="34" spans="2:11" ht="26.25" customHeight="1" x14ac:dyDescent="0.25">
      <c r="B34" s="9"/>
      <c r="C34" s="9"/>
      <c r="D34" s="3" t="str">
        <f>_xlfn.IFNA(INDEX(Program!A:A,MATCH(Table310286595100101[[#This Row],[*Program Code]],Program!B:B,0)),"")</f>
        <v/>
      </c>
      <c r="F34" s="10"/>
      <c r="G34" s="9"/>
      <c r="H34" s="11"/>
      <c r="I34" s="17"/>
      <c r="J34" s="15">
        <f>Table310286595100101[[#This Row],[*Unit Price]]*Table310286595100101[[#This Row],[*No. of Participants]]</f>
        <v>0</v>
      </c>
    </row>
    <row r="35" spans="2:11" ht="26.25" customHeight="1" x14ac:dyDescent="0.25">
      <c r="B35" s="12" t="s">
        <v>5</v>
      </c>
      <c r="C35" s="13"/>
      <c r="D35" s="12"/>
      <c r="E35" s="12"/>
      <c r="F35" s="12"/>
      <c r="G35" s="12"/>
      <c r="H35" s="12"/>
      <c r="I35" s="12"/>
      <c r="J35" s="14">
        <f>SUBTOTAL(109,Table310286595100101[Total Expenditure])</f>
        <v>0</v>
      </c>
      <c r="K35" s="12"/>
    </row>
    <row r="37" spans="2:11" ht="26.25" customHeight="1" x14ac:dyDescent="0.25">
      <c r="B37" s="4">
        <v>225004</v>
      </c>
      <c r="C37" s="5" t="s">
        <v>4401</v>
      </c>
      <c r="D37" s="6"/>
      <c r="E37" s="6"/>
      <c r="F37" s="16"/>
      <c r="G37" s="16"/>
      <c r="H37" s="16"/>
      <c r="I37" s="16"/>
      <c r="J37" s="16"/>
      <c r="K37" s="16"/>
    </row>
    <row r="38" spans="2:11" ht="43.5" customHeight="1" x14ac:dyDescent="0.25">
      <c r="B38" s="8" t="s">
        <v>1</v>
      </c>
      <c r="C38" s="8" t="s">
        <v>4337</v>
      </c>
      <c r="D38" s="8" t="s">
        <v>2</v>
      </c>
      <c r="E38" s="8" t="s">
        <v>4461</v>
      </c>
      <c r="F38" s="8" t="s">
        <v>4459</v>
      </c>
      <c r="G38" s="8" t="s">
        <v>4458</v>
      </c>
      <c r="H38" s="8" t="s">
        <v>4451</v>
      </c>
      <c r="I38" s="8" t="s">
        <v>4346</v>
      </c>
      <c r="J38" s="8" t="s">
        <v>3</v>
      </c>
      <c r="K38" s="8" t="s">
        <v>4</v>
      </c>
    </row>
    <row r="39" spans="2:11" ht="26.25" customHeight="1" x14ac:dyDescent="0.25">
      <c r="B39" s="9"/>
      <c r="C39" s="9"/>
      <c r="D39" s="2" t="str">
        <f>_xlfn.IFNA(INDEX(Program!A:A,MATCH(Table310286595100101102[[#This Row],[*Program Code]],Program!B:B,0)),"")</f>
        <v/>
      </c>
      <c r="F39" s="10"/>
      <c r="G39" s="9"/>
      <c r="H39" s="11"/>
      <c r="I39" s="17"/>
      <c r="J39" s="15">
        <f>Table310286595100101102[[#This Row],[*Unit Price]]*Table310286595100101102[[#This Row],[*No. of Participants]]</f>
        <v>0</v>
      </c>
    </row>
    <row r="40" spans="2:11" ht="26.25" customHeight="1" x14ac:dyDescent="0.25">
      <c r="B40" s="9"/>
      <c r="C40" s="9"/>
      <c r="D40" s="2" t="str">
        <f>_xlfn.IFNA(INDEX(Program!A:A,MATCH(Table310286595100101102[[#This Row],[*Program Code]],Program!B:B,0)),"")</f>
        <v/>
      </c>
      <c r="F40" s="10"/>
      <c r="G40" s="9"/>
      <c r="H40" s="11"/>
      <c r="I40" s="17"/>
      <c r="J40" s="15">
        <f>Table310286595100101102[[#This Row],[*Unit Price]]*Table310286595100101102[[#This Row],[*No. of Participants]]</f>
        <v>0</v>
      </c>
    </row>
    <row r="41" spans="2:11" ht="26.25" customHeight="1" x14ac:dyDescent="0.25">
      <c r="B41" s="9"/>
      <c r="C41" s="9"/>
      <c r="D41" s="2" t="str">
        <f>_xlfn.IFNA(INDEX(Program!A:A,MATCH(Table310286595100101102[[#This Row],[*Program Code]],Program!B:B,0)),"")</f>
        <v/>
      </c>
      <c r="F41" s="10"/>
      <c r="G41" s="9"/>
      <c r="H41" s="11"/>
      <c r="I41" s="17"/>
      <c r="J41" s="15">
        <f>Table310286595100101102[[#This Row],[*Unit Price]]*Table310286595100101102[[#This Row],[*No. of Participants]]</f>
        <v>0</v>
      </c>
    </row>
    <row r="42" spans="2:11" ht="26.25" customHeight="1" x14ac:dyDescent="0.25">
      <c r="B42" s="9"/>
      <c r="C42" s="9"/>
      <c r="D42" s="2" t="str">
        <f>_xlfn.IFNA(INDEX(Program!A:A,MATCH(Table310286595100101102[[#This Row],[*Program Code]],Program!B:B,0)),"")</f>
        <v/>
      </c>
      <c r="F42" s="10"/>
      <c r="G42" s="9"/>
      <c r="H42" s="11"/>
      <c r="I42" s="17"/>
      <c r="J42" s="15">
        <f>Table310286595100101102[[#This Row],[*Unit Price]]*Table310286595100101102[[#This Row],[*No. of Participants]]</f>
        <v>0</v>
      </c>
    </row>
    <row r="43" spans="2:11" ht="26.25" customHeight="1" x14ac:dyDescent="0.25">
      <c r="B43" s="9"/>
      <c r="C43" s="9"/>
      <c r="D43" s="2" t="str">
        <f>_xlfn.IFNA(INDEX(Program!A:A,MATCH(Table310286595100101102[[#This Row],[*Program Code]],Program!B:B,0)),"")</f>
        <v/>
      </c>
      <c r="F43" s="10"/>
      <c r="G43" s="9"/>
      <c r="H43" s="11"/>
      <c r="I43" s="17"/>
      <c r="J43" s="15">
        <f>Table310286595100101102[[#This Row],[*Unit Price]]*Table310286595100101102[[#This Row],[*No. of Participants]]</f>
        <v>0</v>
      </c>
    </row>
    <row r="44" spans="2:11" ht="26.25" customHeight="1" x14ac:dyDescent="0.25">
      <c r="B44" s="9"/>
      <c r="C44" s="9"/>
      <c r="D44" s="3" t="str">
        <f>_xlfn.IFNA(INDEX(Program!A:A,MATCH(Table310286595100101102[[#This Row],[*Program Code]],Program!B:B,0)),"")</f>
        <v/>
      </c>
      <c r="F44" s="10"/>
      <c r="G44" s="9"/>
      <c r="H44" s="11"/>
      <c r="I44" s="17"/>
      <c r="J44" s="15">
        <f>Table310286595100101102[[#This Row],[*Unit Price]]*Table310286595100101102[[#This Row],[*No. of Participants]]</f>
        <v>0</v>
      </c>
    </row>
    <row r="45" spans="2:11" ht="26.25" customHeight="1" x14ac:dyDescent="0.25">
      <c r="B45" s="9"/>
      <c r="C45" s="9"/>
      <c r="D45" s="3" t="str">
        <f>_xlfn.IFNA(INDEX(Program!A:A,MATCH(Table310286595100101102[[#This Row],[*Program Code]],Program!B:B,0)),"")</f>
        <v/>
      </c>
      <c r="F45" s="10"/>
      <c r="G45" s="9"/>
      <c r="H45" s="11"/>
      <c r="I45" s="17"/>
      <c r="J45" s="15">
        <f>Table310286595100101102[[#This Row],[*Unit Price]]*Table310286595100101102[[#This Row],[*No. of Participants]]</f>
        <v>0</v>
      </c>
    </row>
    <row r="46" spans="2:11" ht="26.25" customHeight="1" x14ac:dyDescent="0.25">
      <c r="B46" s="12" t="s">
        <v>5</v>
      </c>
      <c r="C46" s="13"/>
      <c r="D46" s="12"/>
      <c r="E46" s="12"/>
      <c r="F46" s="12"/>
      <c r="G46" s="12"/>
      <c r="H46" s="12"/>
      <c r="I46" s="12"/>
      <c r="J46" s="14">
        <f>SUBTOTAL(109,Table310286595100101102[Total Expenditure])</f>
        <v>0</v>
      </c>
      <c r="K46" s="12"/>
    </row>
    <row r="48" spans="2:11" ht="26.25" customHeight="1" x14ac:dyDescent="0.25">
      <c r="B48" s="4">
        <v>225005</v>
      </c>
      <c r="C48" s="5" t="s">
        <v>4402</v>
      </c>
      <c r="D48" s="6"/>
      <c r="E48" s="6"/>
      <c r="F48" s="16"/>
      <c r="G48" s="16"/>
      <c r="H48" s="16"/>
      <c r="I48" s="16"/>
      <c r="J48" s="16"/>
      <c r="K48" s="16"/>
    </row>
    <row r="49" spans="2:11" ht="43.5" customHeight="1" x14ac:dyDescent="0.25">
      <c r="B49" s="8" t="s">
        <v>1</v>
      </c>
      <c r="C49" s="8" t="s">
        <v>4337</v>
      </c>
      <c r="D49" s="8" t="s">
        <v>2</v>
      </c>
      <c r="E49" s="8" t="s">
        <v>4459</v>
      </c>
      <c r="F49" s="8" t="s">
        <v>4438</v>
      </c>
      <c r="G49" s="8" t="s">
        <v>4458</v>
      </c>
      <c r="H49" s="8" t="s">
        <v>4451</v>
      </c>
      <c r="I49" s="8" t="s">
        <v>4346</v>
      </c>
      <c r="J49" s="8" t="s">
        <v>3</v>
      </c>
      <c r="K49" s="8" t="s">
        <v>4</v>
      </c>
    </row>
    <row r="50" spans="2:11" ht="26.25" customHeight="1" x14ac:dyDescent="0.25">
      <c r="B50" s="9"/>
      <c r="C50" s="9"/>
      <c r="D50" s="2" t="str">
        <f>_xlfn.IFNA(INDEX(Program!A:A,MATCH(Table310286595100101102103[[#This Row],[*Program Code]],Program!B:B,0)),"")</f>
        <v/>
      </c>
      <c r="F50" s="10"/>
      <c r="G50" s="9"/>
      <c r="H50" s="11"/>
      <c r="I50" s="17"/>
      <c r="J50" s="15">
        <f>Table310286595100101102103[[#This Row],[*Unit Price]]*Table310286595100101102103[[#This Row],[*No. of Participants]]</f>
        <v>0</v>
      </c>
    </row>
    <row r="51" spans="2:11" ht="26.25" customHeight="1" x14ac:dyDescent="0.25">
      <c r="B51" s="9"/>
      <c r="C51" s="9"/>
      <c r="D51" s="2" t="str">
        <f>_xlfn.IFNA(INDEX(Program!A:A,MATCH(Table310286595100101102103[[#This Row],[*Program Code]],Program!B:B,0)),"")</f>
        <v/>
      </c>
      <c r="F51" s="10"/>
      <c r="G51" s="9"/>
      <c r="H51" s="11"/>
      <c r="I51" s="17"/>
      <c r="J51" s="15">
        <f>Table310286595100101102103[[#This Row],[*Unit Price]]*Table310286595100101102103[[#This Row],[*No. of Participants]]</f>
        <v>0</v>
      </c>
    </row>
    <row r="52" spans="2:11" ht="26.25" customHeight="1" x14ac:dyDescent="0.25">
      <c r="B52" s="9"/>
      <c r="C52" s="9"/>
      <c r="D52" s="2" t="str">
        <f>_xlfn.IFNA(INDEX(Program!A:A,MATCH(Table310286595100101102103[[#This Row],[*Program Code]],Program!B:B,0)),"")</f>
        <v/>
      </c>
      <c r="F52" s="10"/>
      <c r="G52" s="9"/>
      <c r="H52" s="11"/>
      <c r="I52" s="17"/>
      <c r="J52" s="15">
        <f>Table310286595100101102103[[#This Row],[*Unit Price]]*Table310286595100101102103[[#This Row],[*No. of Participants]]</f>
        <v>0</v>
      </c>
    </row>
    <row r="53" spans="2:11" ht="26.25" customHeight="1" x14ac:dyDescent="0.25">
      <c r="B53" s="9"/>
      <c r="C53" s="9"/>
      <c r="D53" s="2" t="str">
        <f>_xlfn.IFNA(INDEX(Program!A:A,MATCH(Table310286595100101102103[[#This Row],[*Program Code]],Program!B:B,0)),"")</f>
        <v/>
      </c>
      <c r="F53" s="10"/>
      <c r="G53" s="9"/>
      <c r="H53" s="11"/>
      <c r="I53" s="17"/>
      <c r="J53" s="15">
        <f>Table310286595100101102103[[#This Row],[*Unit Price]]*Table310286595100101102103[[#This Row],[*No. of Participants]]</f>
        <v>0</v>
      </c>
    </row>
    <row r="54" spans="2:11" ht="26.25" customHeight="1" x14ac:dyDescent="0.25">
      <c r="B54" s="9"/>
      <c r="C54" s="9"/>
      <c r="D54" s="2" t="str">
        <f>_xlfn.IFNA(INDEX(Program!A:A,MATCH(Table310286595100101102103[[#This Row],[*Program Code]],Program!B:B,0)),"")</f>
        <v/>
      </c>
      <c r="F54" s="10"/>
      <c r="G54" s="9"/>
      <c r="H54" s="11"/>
      <c r="I54" s="17"/>
      <c r="J54" s="15">
        <f>Table310286595100101102103[[#This Row],[*Unit Price]]*Table310286595100101102103[[#This Row],[*No. of Participants]]</f>
        <v>0</v>
      </c>
    </row>
    <row r="55" spans="2:11" ht="26.25" customHeight="1" x14ac:dyDescent="0.25">
      <c r="B55" s="9"/>
      <c r="C55" s="9"/>
      <c r="D55" s="3" t="str">
        <f>_xlfn.IFNA(INDEX(Program!A:A,MATCH(Table310286595100101102103[[#This Row],[*Program Code]],Program!B:B,0)),"")</f>
        <v/>
      </c>
      <c r="F55" s="10"/>
      <c r="G55" s="9"/>
      <c r="H55" s="11"/>
      <c r="I55" s="17"/>
      <c r="J55" s="15">
        <f>Table310286595100101102103[[#This Row],[*Unit Price]]*Table310286595100101102103[[#This Row],[*No. of Participants]]</f>
        <v>0</v>
      </c>
    </row>
    <row r="56" spans="2:11" ht="26.25" customHeight="1" x14ac:dyDescent="0.25">
      <c r="B56" s="9"/>
      <c r="C56" s="9"/>
      <c r="D56" s="3" t="str">
        <f>_xlfn.IFNA(INDEX(Program!A:A,MATCH(Table310286595100101102103[[#This Row],[*Program Code]],Program!B:B,0)),"")</f>
        <v/>
      </c>
      <c r="F56" s="10"/>
      <c r="G56" s="9"/>
      <c r="H56" s="11"/>
      <c r="I56" s="17"/>
      <c r="J56" s="15">
        <f>Table310286595100101102103[[#This Row],[*Unit Price]]*Table310286595100101102103[[#This Row],[*No. of Participants]]</f>
        <v>0</v>
      </c>
    </row>
    <row r="57" spans="2:11" ht="26.25" customHeight="1" x14ac:dyDescent="0.25">
      <c r="B57" s="12" t="s">
        <v>5</v>
      </c>
      <c r="C57" s="13"/>
      <c r="D57" s="12"/>
      <c r="E57" s="12"/>
      <c r="F57" s="12"/>
      <c r="G57" s="12"/>
      <c r="H57" s="12"/>
      <c r="I57" s="12"/>
      <c r="J57" s="14">
        <f>SUBTOTAL(109,Table310286595100101102103[Total Expenditure])</f>
        <v>0</v>
      </c>
      <c r="K57" s="12"/>
    </row>
    <row r="59" spans="2:11" ht="26.25" customHeight="1" x14ac:dyDescent="0.25">
      <c r="B59" s="4">
        <v>225006</v>
      </c>
      <c r="C59" s="5" t="s">
        <v>4403</v>
      </c>
      <c r="D59" s="6"/>
      <c r="E59" s="6"/>
      <c r="F59" s="16"/>
      <c r="G59" s="16"/>
      <c r="H59" s="16"/>
      <c r="I59" s="16"/>
      <c r="J59" s="16"/>
      <c r="K59" s="16"/>
    </row>
    <row r="60" spans="2:11" ht="43.5" customHeight="1" x14ac:dyDescent="0.25">
      <c r="B60" s="8" t="s">
        <v>1</v>
      </c>
      <c r="C60" s="8" t="s">
        <v>4337</v>
      </c>
      <c r="D60" s="8" t="s">
        <v>2</v>
      </c>
      <c r="E60" s="8" t="s">
        <v>4461</v>
      </c>
      <c r="F60" s="8" t="s">
        <v>4462</v>
      </c>
      <c r="G60" s="8" t="s">
        <v>4463</v>
      </c>
      <c r="H60" s="8" t="s">
        <v>4451</v>
      </c>
      <c r="I60" s="8" t="s">
        <v>4346</v>
      </c>
      <c r="J60" s="8" t="s">
        <v>3</v>
      </c>
      <c r="K60" s="8" t="s">
        <v>4</v>
      </c>
    </row>
    <row r="61" spans="2:11" ht="26.25" customHeight="1" x14ac:dyDescent="0.25">
      <c r="B61" s="9"/>
      <c r="C61" s="9"/>
      <c r="D61" s="2" t="str">
        <f>_xlfn.IFNA(INDEX(Program!A:A,MATCH(Table310286595100101102103104[[#This Row],[*Program Code]],Program!B:B,0)),"")</f>
        <v/>
      </c>
      <c r="F61" s="10"/>
      <c r="G61" s="9"/>
      <c r="H61" s="11"/>
      <c r="I61" s="17"/>
      <c r="J61" s="15">
        <f>Table310286595100101102103104[[#This Row],[*Unit Price]]*Table310286595100101102103104[[#This Row],[*No. of Staff]]</f>
        <v>0</v>
      </c>
    </row>
    <row r="62" spans="2:11" ht="26.25" customHeight="1" x14ac:dyDescent="0.25">
      <c r="B62" s="9"/>
      <c r="C62" s="9"/>
      <c r="D62" s="2" t="str">
        <f>_xlfn.IFNA(INDEX(Program!A:A,MATCH(Table310286595100101102103104[[#This Row],[*Program Code]],Program!B:B,0)),"")</f>
        <v/>
      </c>
      <c r="F62" s="10"/>
      <c r="G62" s="9"/>
      <c r="H62" s="11"/>
      <c r="I62" s="17"/>
      <c r="J62" s="15">
        <f>Table310286595100101102103104[[#This Row],[*Unit Price]]*Table310286595100101102103104[[#This Row],[*No. of Staff]]</f>
        <v>0</v>
      </c>
    </row>
    <row r="63" spans="2:11" ht="26.25" customHeight="1" x14ac:dyDescent="0.25">
      <c r="B63" s="9"/>
      <c r="C63" s="9"/>
      <c r="D63" s="2" t="str">
        <f>_xlfn.IFNA(INDEX(Program!A:A,MATCH(Table310286595100101102103104[[#This Row],[*Program Code]],Program!B:B,0)),"")</f>
        <v/>
      </c>
      <c r="F63" s="10"/>
      <c r="G63" s="9"/>
      <c r="H63" s="11"/>
      <c r="I63" s="17"/>
      <c r="J63" s="15">
        <f>Table310286595100101102103104[[#This Row],[*Unit Price]]*Table310286595100101102103104[[#This Row],[*No. of Staff]]</f>
        <v>0</v>
      </c>
    </row>
    <row r="64" spans="2:11" ht="26.25" customHeight="1" x14ac:dyDescent="0.25">
      <c r="B64" s="9"/>
      <c r="C64" s="9"/>
      <c r="D64" s="2" t="str">
        <f>_xlfn.IFNA(INDEX(Program!A:A,MATCH(Table310286595100101102103104[[#This Row],[*Program Code]],Program!B:B,0)),"")</f>
        <v/>
      </c>
      <c r="F64" s="10"/>
      <c r="G64" s="9"/>
      <c r="H64" s="11"/>
      <c r="I64" s="17"/>
      <c r="J64" s="15">
        <f>Table310286595100101102103104[[#This Row],[*Unit Price]]*Table310286595100101102103104[[#This Row],[*No. of Staff]]</f>
        <v>0</v>
      </c>
    </row>
    <row r="65" spans="2:11" ht="26.25" customHeight="1" x14ac:dyDescent="0.25">
      <c r="B65" s="9"/>
      <c r="C65" s="9"/>
      <c r="D65" s="2" t="str">
        <f>_xlfn.IFNA(INDEX(Program!A:A,MATCH(Table310286595100101102103104[[#This Row],[*Program Code]],Program!B:B,0)),"")</f>
        <v/>
      </c>
      <c r="F65" s="10"/>
      <c r="G65" s="9"/>
      <c r="H65" s="11"/>
      <c r="I65" s="17"/>
      <c r="J65" s="15">
        <f>Table310286595100101102103104[[#This Row],[*Unit Price]]*Table310286595100101102103104[[#This Row],[*No. of Staff]]</f>
        <v>0</v>
      </c>
    </row>
    <row r="66" spans="2:11" ht="26.25" customHeight="1" x14ac:dyDescent="0.25">
      <c r="B66" s="9"/>
      <c r="C66" s="9"/>
      <c r="D66" s="3" t="str">
        <f>_xlfn.IFNA(INDEX(Program!A:A,MATCH(Table310286595100101102103104[[#This Row],[*Program Code]],Program!B:B,0)),"")</f>
        <v/>
      </c>
      <c r="F66" s="10"/>
      <c r="G66" s="9"/>
      <c r="H66" s="11"/>
      <c r="I66" s="17"/>
      <c r="J66" s="15">
        <f>Table310286595100101102103104[[#This Row],[*Unit Price]]*Table310286595100101102103104[[#This Row],[*No. of Staff]]</f>
        <v>0</v>
      </c>
    </row>
    <row r="67" spans="2:11" ht="26.25" customHeight="1" x14ac:dyDescent="0.25">
      <c r="B67" s="9"/>
      <c r="C67" s="9"/>
      <c r="D67" s="3" t="str">
        <f>_xlfn.IFNA(INDEX(Program!A:A,MATCH(Table310286595100101102103104[[#This Row],[*Program Code]],Program!B:B,0)),"")</f>
        <v/>
      </c>
      <c r="F67" s="10"/>
      <c r="G67" s="9"/>
      <c r="H67" s="11"/>
      <c r="I67" s="17"/>
      <c r="J67" s="15">
        <f>Table310286595100101102103104[[#This Row],[*Unit Price]]*Table310286595100101102103104[[#This Row],[*No. of Staff]]</f>
        <v>0</v>
      </c>
    </row>
    <row r="68" spans="2:11" ht="26.25" customHeight="1" x14ac:dyDescent="0.25">
      <c r="B68" s="12" t="s">
        <v>5</v>
      </c>
      <c r="C68" s="13"/>
      <c r="D68" s="12"/>
      <c r="E68" s="12"/>
      <c r="F68" s="12"/>
      <c r="G68" s="12"/>
      <c r="H68" s="12"/>
      <c r="I68" s="12"/>
      <c r="J68" s="14">
        <f>SUBTOTAL(109,Table310286595100101102103104[Total Expenditure])</f>
        <v>0</v>
      </c>
      <c r="K68" s="12"/>
    </row>
  </sheetData>
  <sheetProtection formatColumns="0" insertRows="0" deleteRows="0"/>
  <pageMargins left="0.7" right="0.7" top="0.75" bottom="0.75" header="0.3" footer="0.3"/>
  <customProperties>
    <customPr name="_pios_id" r:id="rId1"/>
  </customProperties>
  <tableParts count="6">
    <tablePart r:id="rId2"/>
    <tablePart r:id="rId3"/>
    <tablePart r:id="rId4"/>
    <tablePart r:id="rId5"/>
    <tablePart r:id="rId6"/>
    <tablePart r:id="rId7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B2:J200"/>
  <sheetViews>
    <sheetView zoomScale="85" zoomScaleNormal="85" workbookViewId="0">
      <selection activeCell="D192" sqref="D192"/>
    </sheetView>
  </sheetViews>
  <sheetFormatPr defaultRowHeight="26.25" customHeight="1" x14ac:dyDescent="0.25"/>
  <cols>
    <col min="1" max="2" width="9.140625" style="7"/>
    <col min="3" max="3" width="22" style="7" customWidth="1"/>
    <col min="4" max="4" width="33.42578125" style="7" customWidth="1"/>
    <col min="5" max="5" width="37.140625" style="7" customWidth="1"/>
    <col min="6" max="6" width="13.42578125" style="7" customWidth="1"/>
    <col min="7" max="7" width="20.42578125" style="7" customWidth="1"/>
    <col min="8" max="8" width="14.5703125" style="7" customWidth="1"/>
    <col min="9" max="9" width="18.5703125" style="7" customWidth="1"/>
    <col min="10" max="10" width="51.28515625" style="7" customWidth="1"/>
    <col min="11" max="16384" width="9.140625" style="7"/>
  </cols>
  <sheetData>
    <row r="2" spans="2:10" ht="26.25" customHeight="1" x14ac:dyDescent="0.25">
      <c r="B2" s="18" t="s">
        <v>4444</v>
      </c>
    </row>
    <row r="4" spans="2:10" ht="26.25" customHeight="1" x14ac:dyDescent="0.25">
      <c r="B4" s="4">
        <v>226001</v>
      </c>
      <c r="C4" s="5" t="s">
        <v>4404</v>
      </c>
      <c r="D4" s="6"/>
      <c r="E4" s="6"/>
      <c r="F4" s="16"/>
      <c r="G4" s="16"/>
      <c r="H4" s="16"/>
      <c r="I4" s="16"/>
      <c r="J4" s="16"/>
    </row>
    <row r="5" spans="2:10" ht="43.5" customHeight="1" x14ac:dyDescent="0.25">
      <c r="B5" s="8" t="s">
        <v>1</v>
      </c>
      <c r="C5" s="8" t="s">
        <v>4337</v>
      </c>
      <c r="D5" s="8" t="s">
        <v>2</v>
      </c>
      <c r="E5" s="8" t="s">
        <v>4453</v>
      </c>
      <c r="F5" s="8" t="s">
        <v>4368</v>
      </c>
      <c r="G5" s="8" t="s">
        <v>4344</v>
      </c>
      <c r="H5" s="8" t="s">
        <v>4464</v>
      </c>
      <c r="I5" s="8" t="s">
        <v>3</v>
      </c>
      <c r="J5" s="8" t="s">
        <v>4</v>
      </c>
    </row>
    <row r="6" spans="2:10" ht="26.25" customHeight="1" x14ac:dyDescent="0.25">
      <c r="B6" s="9"/>
      <c r="C6" s="9"/>
      <c r="D6" s="2" t="str">
        <f>_xlfn.IFNA(INDEX(Program!A:A,MATCH(Table310286595105[[#This Row],[*Program Code]],Program!B:B,0)),"")</f>
        <v/>
      </c>
      <c r="F6" s="10"/>
      <c r="G6" s="9"/>
      <c r="H6" s="17"/>
      <c r="I6" s="15">
        <f>Table310286595105[[#This Row],[*Price]]*Table310286595105[[#This Row],[*Quantity]]</f>
        <v>0</v>
      </c>
    </row>
    <row r="7" spans="2:10" ht="26.25" customHeight="1" x14ac:dyDescent="0.25">
      <c r="B7" s="9"/>
      <c r="C7" s="9"/>
      <c r="D7" s="2" t="str">
        <f>_xlfn.IFNA(INDEX(Program!A:A,MATCH(Table310286595105[[#This Row],[*Program Code]],Program!B:B,0)),"")</f>
        <v/>
      </c>
      <c r="F7" s="10"/>
      <c r="G7" s="9"/>
      <c r="H7" s="17"/>
      <c r="I7" s="15">
        <f>Table310286595105[[#This Row],[*Price]]*Table310286595105[[#This Row],[*Quantity]]</f>
        <v>0</v>
      </c>
    </row>
    <row r="8" spans="2:10" ht="26.25" customHeight="1" x14ac:dyDescent="0.25">
      <c r="B8" s="9"/>
      <c r="C8" s="9"/>
      <c r="D8" s="2" t="str">
        <f>_xlfn.IFNA(INDEX(Program!A:A,MATCH(Table310286595105[[#This Row],[*Program Code]],Program!B:B,0)),"")</f>
        <v/>
      </c>
      <c r="F8" s="10"/>
      <c r="G8" s="9"/>
      <c r="H8" s="17"/>
      <c r="I8" s="15">
        <f>Table310286595105[[#This Row],[*Price]]*Table310286595105[[#This Row],[*Quantity]]</f>
        <v>0</v>
      </c>
    </row>
    <row r="9" spans="2:10" ht="26.25" customHeight="1" x14ac:dyDescent="0.25">
      <c r="B9" s="9"/>
      <c r="C9" s="9"/>
      <c r="D9" s="2" t="str">
        <f>_xlfn.IFNA(INDEX(Program!A:A,MATCH(Table310286595105[[#This Row],[*Program Code]],Program!B:B,0)),"")</f>
        <v/>
      </c>
      <c r="F9" s="10"/>
      <c r="G9" s="9"/>
      <c r="H9" s="17"/>
      <c r="I9" s="15">
        <f>Table310286595105[[#This Row],[*Price]]*Table310286595105[[#This Row],[*Quantity]]</f>
        <v>0</v>
      </c>
    </row>
    <row r="10" spans="2:10" ht="26.25" customHeight="1" x14ac:dyDescent="0.25">
      <c r="B10" s="9"/>
      <c r="C10" s="9"/>
      <c r="D10" s="2" t="str">
        <f>_xlfn.IFNA(INDEX(Program!A:A,MATCH(Table310286595105[[#This Row],[*Program Code]],Program!B:B,0)),"")</f>
        <v/>
      </c>
      <c r="F10" s="10"/>
      <c r="G10" s="9"/>
      <c r="H10" s="17"/>
      <c r="I10" s="15">
        <f>Table310286595105[[#This Row],[*Price]]*Table310286595105[[#This Row],[*Quantity]]</f>
        <v>0</v>
      </c>
    </row>
    <row r="11" spans="2:10" ht="26.25" customHeight="1" x14ac:dyDescent="0.25">
      <c r="B11" s="9"/>
      <c r="C11" s="9"/>
      <c r="D11" s="3" t="str">
        <f>_xlfn.IFNA(INDEX(Program!A:A,MATCH(Table310286595105[[#This Row],[*Program Code]],Program!B:B,0)),"")</f>
        <v/>
      </c>
      <c r="F11" s="10"/>
      <c r="G11" s="9"/>
      <c r="H11" s="17"/>
      <c r="I11" s="15">
        <f>Table310286595105[[#This Row],[*Price]]*Table310286595105[[#This Row],[*Quantity]]</f>
        <v>0</v>
      </c>
    </row>
    <row r="12" spans="2:10" ht="26.25" customHeight="1" x14ac:dyDescent="0.25">
      <c r="B12" s="9"/>
      <c r="C12" s="9"/>
      <c r="D12" s="3" t="str">
        <f>_xlfn.IFNA(INDEX(Program!A:A,MATCH(Table310286595105[[#This Row],[*Program Code]],Program!B:B,0)),"")</f>
        <v/>
      </c>
      <c r="F12" s="10"/>
      <c r="G12" s="9"/>
      <c r="H12" s="17"/>
      <c r="I12" s="15">
        <f>Table310286595105[[#This Row],[*Price]]*Table310286595105[[#This Row],[*Quantity]]</f>
        <v>0</v>
      </c>
    </row>
    <row r="13" spans="2:10" ht="26.25" customHeight="1" x14ac:dyDescent="0.25">
      <c r="B13" s="12" t="s">
        <v>5</v>
      </c>
      <c r="C13" s="13"/>
      <c r="D13" s="12"/>
      <c r="E13" s="12"/>
      <c r="F13" s="12"/>
      <c r="G13" s="12"/>
      <c r="H13" s="12"/>
      <c r="I13" s="14">
        <f>SUBTOTAL(109,Table310286595105[Total Expenditure])</f>
        <v>0</v>
      </c>
      <c r="J13" s="12"/>
    </row>
    <row r="15" spans="2:10" ht="26.25" customHeight="1" x14ac:dyDescent="0.25">
      <c r="B15" s="4">
        <v>226002</v>
      </c>
      <c r="C15" s="5" t="s">
        <v>4405</v>
      </c>
      <c r="D15" s="6"/>
      <c r="E15" s="6"/>
      <c r="F15" s="16"/>
      <c r="G15" s="16"/>
      <c r="H15" s="16"/>
      <c r="I15" s="16"/>
      <c r="J15" s="16"/>
    </row>
    <row r="16" spans="2:10" ht="43.5" customHeight="1" x14ac:dyDescent="0.25">
      <c r="B16" s="8" t="s">
        <v>1</v>
      </c>
      <c r="C16" s="8" t="s">
        <v>4337</v>
      </c>
      <c r="D16" s="8" t="s">
        <v>2</v>
      </c>
      <c r="E16" s="8" t="s">
        <v>4453</v>
      </c>
      <c r="F16" s="8" t="s">
        <v>4368</v>
      </c>
      <c r="G16" s="8" t="s">
        <v>4344</v>
      </c>
      <c r="H16" s="8" t="s">
        <v>4464</v>
      </c>
      <c r="I16" s="8" t="s">
        <v>3</v>
      </c>
      <c r="J16" s="8" t="s">
        <v>4</v>
      </c>
    </row>
    <row r="17" spans="2:10" ht="26.25" customHeight="1" x14ac:dyDescent="0.25">
      <c r="B17" s="9"/>
      <c r="C17" s="9"/>
      <c r="D17" s="2" t="str">
        <f>_xlfn.IFNA(INDEX(Program!A:A,MATCH(Table310286595105111[[#This Row],[*Program Code]],Program!B:B,0)),"")</f>
        <v/>
      </c>
      <c r="F17" s="10"/>
      <c r="G17" s="9"/>
      <c r="H17" s="17"/>
      <c r="I17" s="15">
        <f>Table310286595105111[[#This Row],[*Price]]*Table310286595105111[[#This Row],[*Quantity]]</f>
        <v>0</v>
      </c>
    </row>
    <row r="18" spans="2:10" ht="26.25" customHeight="1" x14ac:dyDescent="0.25">
      <c r="B18" s="9"/>
      <c r="C18" s="9"/>
      <c r="D18" s="2" t="str">
        <f>_xlfn.IFNA(INDEX(Program!A:A,MATCH(Table310286595105111[[#This Row],[*Program Code]],Program!B:B,0)),"")</f>
        <v/>
      </c>
      <c r="F18" s="10"/>
      <c r="G18" s="9"/>
      <c r="H18" s="17"/>
      <c r="I18" s="15">
        <f>Table310286595105111[[#This Row],[*Price]]*Table310286595105111[[#This Row],[*Quantity]]</f>
        <v>0</v>
      </c>
    </row>
    <row r="19" spans="2:10" ht="26.25" customHeight="1" x14ac:dyDescent="0.25">
      <c r="B19" s="9"/>
      <c r="C19" s="9"/>
      <c r="D19" s="2" t="str">
        <f>_xlfn.IFNA(INDEX(Program!A:A,MATCH(Table310286595105111[[#This Row],[*Program Code]],Program!B:B,0)),"")</f>
        <v/>
      </c>
      <c r="F19" s="10"/>
      <c r="G19" s="9"/>
      <c r="H19" s="17"/>
      <c r="I19" s="15">
        <f>Table310286595105111[[#This Row],[*Price]]*Table310286595105111[[#This Row],[*Quantity]]</f>
        <v>0</v>
      </c>
    </row>
    <row r="20" spans="2:10" ht="26.25" customHeight="1" x14ac:dyDescent="0.25">
      <c r="B20" s="9"/>
      <c r="C20" s="9"/>
      <c r="D20" s="2" t="str">
        <f>_xlfn.IFNA(INDEX(Program!A:A,MATCH(Table310286595105111[[#This Row],[*Program Code]],Program!B:B,0)),"")</f>
        <v/>
      </c>
      <c r="F20" s="10"/>
      <c r="G20" s="9"/>
      <c r="H20" s="17"/>
      <c r="I20" s="15">
        <f>Table310286595105111[[#This Row],[*Price]]*Table310286595105111[[#This Row],[*Quantity]]</f>
        <v>0</v>
      </c>
    </row>
    <row r="21" spans="2:10" ht="26.25" customHeight="1" x14ac:dyDescent="0.25">
      <c r="B21" s="9"/>
      <c r="C21" s="9"/>
      <c r="D21" s="2" t="str">
        <f>_xlfn.IFNA(INDEX(Program!A:A,MATCH(Table310286595105111[[#This Row],[*Program Code]],Program!B:B,0)),"")</f>
        <v/>
      </c>
      <c r="F21" s="10"/>
      <c r="G21" s="9"/>
      <c r="H21" s="17"/>
      <c r="I21" s="15">
        <f>Table310286595105111[[#This Row],[*Price]]*Table310286595105111[[#This Row],[*Quantity]]</f>
        <v>0</v>
      </c>
    </row>
    <row r="22" spans="2:10" ht="26.25" customHeight="1" x14ac:dyDescent="0.25">
      <c r="B22" s="9"/>
      <c r="C22" s="9"/>
      <c r="D22" s="3" t="str">
        <f>_xlfn.IFNA(INDEX(Program!A:A,MATCH(Table310286595105111[[#This Row],[*Program Code]],Program!B:B,0)),"")</f>
        <v/>
      </c>
      <c r="F22" s="10"/>
      <c r="G22" s="9"/>
      <c r="H22" s="17"/>
      <c r="I22" s="15">
        <f>Table310286595105111[[#This Row],[*Price]]*Table310286595105111[[#This Row],[*Quantity]]</f>
        <v>0</v>
      </c>
    </row>
    <row r="23" spans="2:10" ht="26.25" customHeight="1" x14ac:dyDescent="0.25">
      <c r="B23" s="9"/>
      <c r="C23" s="9"/>
      <c r="D23" s="3" t="str">
        <f>_xlfn.IFNA(INDEX(Program!A:A,MATCH(Table310286595105111[[#This Row],[*Program Code]],Program!B:B,0)),"")</f>
        <v/>
      </c>
      <c r="F23" s="10"/>
      <c r="G23" s="9"/>
      <c r="H23" s="17"/>
      <c r="I23" s="15">
        <f>Table310286595105111[[#This Row],[*Price]]*Table310286595105111[[#This Row],[*Quantity]]</f>
        <v>0</v>
      </c>
    </row>
    <row r="24" spans="2:10" ht="26.25" customHeight="1" x14ac:dyDescent="0.25">
      <c r="B24" s="12" t="s">
        <v>5</v>
      </c>
      <c r="C24" s="13"/>
      <c r="D24" s="12"/>
      <c r="E24" s="12"/>
      <c r="F24" s="12"/>
      <c r="G24" s="12"/>
      <c r="H24" s="12"/>
      <c r="I24" s="14">
        <f>SUBTOTAL(109,Table310286595105111[Total Expenditure])</f>
        <v>0</v>
      </c>
      <c r="J24" s="12"/>
    </row>
    <row r="26" spans="2:10" ht="26.25" customHeight="1" x14ac:dyDescent="0.25">
      <c r="B26" s="4">
        <v>226003</v>
      </c>
      <c r="C26" s="5" t="s">
        <v>4406</v>
      </c>
      <c r="D26" s="6"/>
      <c r="E26" s="6"/>
      <c r="F26" s="16"/>
      <c r="G26" s="16"/>
      <c r="H26" s="16"/>
      <c r="I26" s="16"/>
      <c r="J26" s="16"/>
    </row>
    <row r="27" spans="2:10" ht="43.5" customHeight="1" x14ac:dyDescent="0.25">
      <c r="B27" s="8" t="s">
        <v>1</v>
      </c>
      <c r="C27" s="8" t="s">
        <v>4337</v>
      </c>
      <c r="D27" s="8" t="s">
        <v>2</v>
      </c>
      <c r="E27" s="8" t="s">
        <v>4453</v>
      </c>
      <c r="F27" s="8" t="s">
        <v>4368</v>
      </c>
      <c r="G27" s="8" t="s">
        <v>4344</v>
      </c>
      <c r="H27" s="8" t="s">
        <v>4464</v>
      </c>
      <c r="I27" s="8" t="s">
        <v>3</v>
      </c>
      <c r="J27" s="8" t="s">
        <v>4</v>
      </c>
    </row>
    <row r="28" spans="2:10" ht="26.25" customHeight="1" x14ac:dyDescent="0.25">
      <c r="B28" s="9"/>
      <c r="C28" s="9"/>
      <c r="D28" s="2" t="str">
        <f>_xlfn.IFNA(INDEX(Program!A:A,MATCH(Table310286595105111112[[#This Row],[*Program Code]],Program!B:B,0)),"")</f>
        <v/>
      </c>
      <c r="F28" s="10"/>
      <c r="G28" s="9"/>
      <c r="H28" s="17"/>
      <c r="I28" s="15">
        <f>Table310286595105111112[[#This Row],[*Price]]*Table310286595105111112[[#This Row],[*Quantity]]</f>
        <v>0</v>
      </c>
    </row>
    <row r="29" spans="2:10" ht="26.25" customHeight="1" x14ac:dyDescent="0.25">
      <c r="B29" s="9"/>
      <c r="C29" s="9"/>
      <c r="D29" s="2" t="str">
        <f>_xlfn.IFNA(INDEX(Program!A:A,MATCH(Table310286595105111112[[#This Row],[*Program Code]],Program!B:B,0)),"")</f>
        <v/>
      </c>
      <c r="F29" s="10"/>
      <c r="G29" s="9"/>
      <c r="H29" s="17"/>
      <c r="I29" s="15">
        <f>Table310286595105111112[[#This Row],[*Price]]*Table310286595105111112[[#This Row],[*Quantity]]</f>
        <v>0</v>
      </c>
    </row>
    <row r="30" spans="2:10" ht="26.25" customHeight="1" x14ac:dyDescent="0.25">
      <c r="B30" s="9"/>
      <c r="C30" s="9"/>
      <c r="D30" s="2" t="str">
        <f>_xlfn.IFNA(INDEX(Program!A:A,MATCH(Table310286595105111112[[#This Row],[*Program Code]],Program!B:B,0)),"")</f>
        <v/>
      </c>
      <c r="F30" s="10"/>
      <c r="G30" s="9"/>
      <c r="H30" s="17"/>
      <c r="I30" s="15">
        <f>Table310286595105111112[[#This Row],[*Price]]*Table310286595105111112[[#This Row],[*Quantity]]</f>
        <v>0</v>
      </c>
    </row>
    <row r="31" spans="2:10" ht="26.25" customHeight="1" x14ac:dyDescent="0.25">
      <c r="B31" s="9"/>
      <c r="C31" s="9"/>
      <c r="D31" s="2" t="str">
        <f>_xlfn.IFNA(INDEX(Program!A:A,MATCH(Table310286595105111112[[#This Row],[*Program Code]],Program!B:B,0)),"")</f>
        <v/>
      </c>
      <c r="F31" s="10"/>
      <c r="G31" s="9"/>
      <c r="H31" s="17"/>
      <c r="I31" s="15">
        <f>Table310286595105111112[[#This Row],[*Price]]*Table310286595105111112[[#This Row],[*Quantity]]</f>
        <v>0</v>
      </c>
    </row>
    <row r="32" spans="2:10" ht="26.25" customHeight="1" x14ac:dyDescent="0.25">
      <c r="B32" s="9"/>
      <c r="C32" s="9"/>
      <c r="D32" s="2" t="str">
        <f>_xlfn.IFNA(INDEX(Program!A:A,MATCH(Table310286595105111112[[#This Row],[*Program Code]],Program!B:B,0)),"")</f>
        <v/>
      </c>
      <c r="F32" s="10"/>
      <c r="G32" s="9"/>
      <c r="H32" s="17"/>
      <c r="I32" s="15">
        <f>Table310286595105111112[[#This Row],[*Price]]*Table310286595105111112[[#This Row],[*Quantity]]</f>
        <v>0</v>
      </c>
    </row>
    <row r="33" spans="2:10" ht="26.25" customHeight="1" x14ac:dyDescent="0.25">
      <c r="B33" s="9"/>
      <c r="C33" s="9"/>
      <c r="D33" s="3" t="str">
        <f>_xlfn.IFNA(INDEX(Program!A:A,MATCH(Table310286595105111112[[#This Row],[*Program Code]],Program!B:B,0)),"")</f>
        <v/>
      </c>
      <c r="F33" s="10"/>
      <c r="G33" s="9"/>
      <c r="H33" s="17"/>
      <c r="I33" s="15">
        <f>Table310286595105111112[[#This Row],[*Price]]*Table310286595105111112[[#This Row],[*Quantity]]</f>
        <v>0</v>
      </c>
    </row>
    <row r="34" spans="2:10" ht="26.25" customHeight="1" x14ac:dyDescent="0.25">
      <c r="B34" s="9"/>
      <c r="C34" s="9"/>
      <c r="D34" s="3" t="str">
        <f>_xlfn.IFNA(INDEX(Program!A:A,MATCH(Table310286595105111112[[#This Row],[*Program Code]],Program!B:B,0)),"")</f>
        <v/>
      </c>
      <c r="F34" s="10"/>
      <c r="G34" s="9"/>
      <c r="H34" s="17"/>
      <c r="I34" s="15">
        <f>Table310286595105111112[[#This Row],[*Price]]*Table310286595105111112[[#This Row],[*Quantity]]</f>
        <v>0</v>
      </c>
    </row>
    <row r="35" spans="2:10" ht="26.25" customHeight="1" x14ac:dyDescent="0.25">
      <c r="B35" s="12" t="s">
        <v>5</v>
      </c>
      <c r="C35" s="13"/>
      <c r="D35" s="12"/>
      <c r="E35" s="12"/>
      <c r="F35" s="12"/>
      <c r="G35" s="12"/>
      <c r="H35" s="12"/>
      <c r="I35" s="14">
        <f>SUBTOTAL(109,Table310286595105111112[Total Expenditure])</f>
        <v>0</v>
      </c>
      <c r="J35" s="12"/>
    </row>
    <row r="37" spans="2:10" ht="26.25" customHeight="1" x14ac:dyDescent="0.25">
      <c r="B37" s="4">
        <v>226004</v>
      </c>
      <c r="C37" s="5" t="s">
        <v>4407</v>
      </c>
      <c r="D37" s="6"/>
      <c r="E37" s="6"/>
      <c r="F37" s="16"/>
      <c r="G37" s="16"/>
      <c r="H37" s="16"/>
      <c r="I37" s="16"/>
      <c r="J37" s="16"/>
    </row>
    <row r="38" spans="2:10" ht="43.5" customHeight="1" x14ac:dyDescent="0.25">
      <c r="B38" s="8" t="s">
        <v>1</v>
      </c>
      <c r="C38" s="8" t="s">
        <v>4337</v>
      </c>
      <c r="D38" s="8" t="s">
        <v>2</v>
      </c>
      <c r="E38" s="8" t="s">
        <v>4453</v>
      </c>
      <c r="F38" s="8" t="s">
        <v>4368</v>
      </c>
      <c r="G38" s="8" t="s">
        <v>4344</v>
      </c>
      <c r="H38" s="8" t="s">
        <v>4464</v>
      </c>
      <c r="I38" s="8" t="s">
        <v>3</v>
      </c>
      <c r="J38" s="8" t="s">
        <v>4</v>
      </c>
    </row>
    <row r="39" spans="2:10" ht="26.25" customHeight="1" x14ac:dyDescent="0.25">
      <c r="B39" s="9"/>
      <c r="C39" s="9"/>
      <c r="D39" s="2" t="str">
        <f>_xlfn.IFNA(INDEX(Program!A:A,MATCH(Table310286595105111112113[[#This Row],[*Program Code]],Program!B:B,0)),"")</f>
        <v/>
      </c>
      <c r="F39" s="10"/>
      <c r="G39" s="9"/>
      <c r="H39" s="17"/>
      <c r="I39" s="15">
        <f>Table310286595105111112113[[#This Row],[*Price]]*Table310286595105111112113[[#This Row],[*Quantity]]</f>
        <v>0</v>
      </c>
    </row>
    <row r="40" spans="2:10" ht="26.25" customHeight="1" x14ac:dyDescent="0.25">
      <c r="B40" s="9"/>
      <c r="C40" s="9"/>
      <c r="D40" s="2" t="str">
        <f>_xlfn.IFNA(INDEX(Program!A:A,MATCH(Table310286595105111112113[[#This Row],[*Program Code]],Program!B:B,0)),"")</f>
        <v/>
      </c>
      <c r="F40" s="10"/>
      <c r="G40" s="9"/>
      <c r="H40" s="17"/>
      <c r="I40" s="15">
        <f>Table310286595105111112113[[#This Row],[*Price]]*Table310286595105111112113[[#This Row],[*Quantity]]</f>
        <v>0</v>
      </c>
    </row>
    <row r="41" spans="2:10" ht="26.25" customHeight="1" x14ac:dyDescent="0.25">
      <c r="B41" s="9"/>
      <c r="C41" s="9"/>
      <c r="D41" s="2" t="str">
        <f>_xlfn.IFNA(INDEX(Program!A:A,MATCH(Table310286595105111112113[[#This Row],[*Program Code]],Program!B:B,0)),"")</f>
        <v/>
      </c>
      <c r="F41" s="10"/>
      <c r="G41" s="9"/>
      <c r="H41" s="17"/>
      <c r="I41" s="15">
        <f>Table310286595105111112113[[#This Row],[*Price]]*Table310286595105111112113[[#This Row],[*Quantity]]</f>
        <v>0</v>
      </c>
    </row>
    <row r="42" spans="2:10" ht="26.25" customHeight="1" x14ac:dyDescent="0.25">
      <c r="B42" s="9"/>
      <c r="C42" s="9"/>
      <c r="D42" s="2" t="str">
        <f>_xlfn.IFNA(INDEX(Program!A:A,MATCH(Table310286595105111112113[[#This Row],[*Program Code]],Program!B:B,0)),"")</f>
        <v/>
      </c>
      <c r="F42" s="10"/>
      <c r="G42" s="9"/>
      <c r="H42" s="17"/>
      <c r="I42" s="15">
        <f>Table310286595105111112113[[#This Row],[*Price]]*Table310286595105111112113[[#This Row],[*Quantity]]</f>
        <v>0</v>
      </c>
    </row>
    <row r="43" spans="2:10" ht="26.25" customHeight="1" x14ac:dyDescent="0.25">
      <c r="B43" s="9"/>
      <c r="C43" s="9"/>
      <c r="D43" s="2" t="str">
        <f>_xlfn.IFNA(INDEX(Program!A:A,MATCH(Table310286595105111112113[[#This Row],[*Program Code]],Program!B:B,0)),"")</f>
        <v/>
      </c>
      <c r="F43" s="10"/>
      <c r="G43" s="9"/>
      <c r="H43" s="17"/>
      <c r="I43" s="15">
        <f>Table310286595105111112113[[#This Row],[*Price]]*Table310286595105111112113[[#This Row],[*Quantity]]</f>
        <v>0</v>
      </c>
    </row>
    <row r="44" spans="2:10" ht="26.25" customHeight="1" x14ac:dyDescent="0.25">
      <c r="B44" s="9"/>
      <c r="C44" s="9"/>
      <c r="D44" s="3" t="str">
        <f>_xlfn.IFNA(INDEX(Program!A:A,MATCH(Table310286595105111112113[[#This Row],[*Program Code]],Program!B:B,0)),"")</f>
        <v/>
      </c>
      <c r="F44" s="10"/>
      <c r="G44" s="9"/>
      <c r="H44" s="17"/>
      <c r="I44" s="15">
        <f>Table310286595105111112113[[#This Row],[*Price]]*Table310286595105111112113[[#This Row],[*Quantity]]</f>
        <v>0</v>
      </c>
    </row>
    <row r="45" spans="2:10" ht="26.25" customHeight="1" x14ac:dyDescent="0.25">
      <c r="B45" s="9"/>
      <c r="C45" s="9"/>
      <c r="D45" s="3" t="str">
        <f>_xlfn.IFNA(INDEX(Program!A:A,MATCH(Table310286595105111112113[[#This Row],[*Program Code]],Program!B:B,0)),"")</f>
        <v/>
      </c>
      <c r="F45" s="10"/>
      <c r="G45" s="9"/>
      <c r="H45" s="17"/>
      <c r="I45" s="15">
        <f>Table310286595105111112113[[#This Row],[*Price]]*Table310286595105111112113[[#This Row],[*Quantity]]</f>
        <v>0</v>
      </c>
    </row>
    <row r="46" spans="2:10" ht="26.25" customHeight="1" x14ac:dyDescent="0.25">
      <c r="B46" s="12" t="s">
        <v>5</v>
      </c>
      <c r="C46" s="13"/>
      <c r="D46" s="12"/>
      <c r="E46" s="12"/>
      <c r="F46" s="12"/>
      <c r="G46" s="12"/>
      <c r="H46" s="12"/>
      <c r="I46" s="14">
        <f>SUBTOTAL(109,Table310286595105111112113[Total Expenditure])</f>
        <v>0</v>
      </c>
      <c r="J46" s="12"/>
    </row>
    <row r="48" spans="2:10" ht="26.25" customHeight="1" x14ac:dyDescent="0.25">
      <c r="B48" s="4">
        <v>226005</v>
      </c>
      <c r="C48" s="5" t="s">
        <v>4408</v>
      </c>
      <c r="D48" s="6"/>
      <c r="E48" s="6"/>
      <c r="F48" s="16"/>
      <c r="G48" s="16"/>
      <c r="H48" s="16"/>
      <c r="I48" s="16"/>
      <c r="J48" s="16"/>
    </row>
    <row r="49" spans="2:10" ht="43.5" customHeight="1" x14ac:dyDescent="0.25">
      <c r="B49" s="8" t="s">
        <v>1</v>
      </c>
      <c r="C49" s="8" t="s">
        <v>4337</v>
      </c>
      <c r="D49" s="8" t="s">
        <v>2</v>
      </c>
      <c r="E49" s="8" t="s">
        <v>4453</v>
      </c>
      <c r="F49" s="8" t="s">
        <v>4368</v>
      </c>
      <c r="G49" s="8" t="s">
        <v>4344</v>
      </c>
      <c r="H49" s="8" t="s">
        <v>4464</v>
      </c>
      <c r="I49" s="8" t="s">
        <v>3</v>
      </c>
      <c r="J49" s="8" t="s">
        <v>4</v>
      </c>
    </row>
    <row r="50" spans="2:10" ht="26.25" customHeight="1" x14ac:dyDescent="0.25">
      <c r="B50" s="9"/>
      <c r="C50" s="9"/>
      <c r="D50" s="2" t="str">
        <f>_xlfn.IFNA(INDEX(Program!A:A,MATCH(Table310286595105111112113114[[#This Row],[*Program Code]],Program!B:B,0)),"")</f>
        <v/>
      </c>
      <c r="F50" s="10"/>
      <c r="G50" s="9"/>
      <c r="H50" s="17"/>
      <c r="I50" s="15">
        <f>Table310286595105111112113114[[#This Row],[*Price]]*Table310286595105111112113114[[#This Row],[*Quantity]]</f>
        <v>0</v>
      </c>
    </row>
    <row r="51" spans="2:10" ht="26.25" customHeight="1" x14ac:dyDescent="0.25">
      <c r="B51" s="9"/>
      <c r="C51" s="9"/>
      <c r="D51" s="2" t="str">
        <f>_xlfn.IFNA(INDEX(Program!A:A,MATCH(Table310286595105111112113114[[#This Row],[*Program Code]],Program!B:B,0)),"")</f>
        <v/>
      </c>
      <c r="F51" s="10"/>
      <c r="G51" s="9"/>
      <c r="H51" s="17"/>
      <c r="I51" s="15">
        <f>Table310286595105111112113114[[#This Row],[*Price]]*Table310286595105111112113114[[#This Row],[*Quantity]]</f>
        <v>0</v>
      </c>
    </row>
    <row r="52" spans="2:10" ht="26.25" customHeight="1" x14ac:dyDescent="0.25">
      <c r="B52" s="9"/>
      <c r="C52" s="9"/>
      <c r="D52" s="2" t="str">
        <f>_xlfn.IFNA(INDEX(Program!A:A,MATCH(Table310286595105111112113114[[#This Row],[*Program Code]],Program!B:B,0)),"")</f>
        <v/>
      </c>
      <c r="F52" s="10"/>
      <c r="G52" s="9"/>
      <c r="H52" s="17"/>
      <c r="I52" s="15">
        <f>Table310286595105111112113114[[#This Row],[*Price]]*Table310286595105111112113114[[#This Row],[*Quantity]]</f>
        <v>0</v>
      </c>
    </row>
    <row r="53" spans="2:10" ht="26.25" customHeight="1" x14ac:dyDescent="0.25">
      <c r="B53" s="9"/>
      <c r="C53" s="9"/>
      <c r="D53" s="2" t="str">
        <f>_xlfn.IFNA(INDEX(Program!A:A,MATCH(Table310286595105111112113114[[#This Row],[*Program Code]],Program!B:B,0)),"")</f>
        <v/>
      </c>
      <c r="F53" s="10"/>
      <c r="G53" s="9"/>
      <c r="H53" s="17"/>
      <c r="I53" s="15">
        <f>Table310286595105111112113114[[#This Row],[*Price]]*Table310286595105111112113114[[#This Row],[*Quantity]]</f>
        <v>0</v>
      </c>
    </row>
    <row r="54" spans="2:10" ht="26.25" customHeight="1" x14ac:dyDescent="0.25">
      <c r="B54" s="9"/>
      <c r="C54" s="9"/>
      <c r="D54" s="2" t="str">
        <f>_xlfn.IFNA(INDEX(Program!A:A,MATCH(Table310286595105111112113114[[#This Row],[*Program Code]],Program!B:B,0)),"")</f>
        <v/>
      </c>
      <c r="F54" s="10"/>
      <c r="G54" s="9"/>
      <c r="H54" s="17"/>
      <c r="I54" s="15">
        <f>Table310286595105111112113114[[#This Row],[*Price]]*Table310286595105111112113114[[#This Row],[*Quantity]]</f>
        <v>0</v>
      </c>
    </row>
    <row r="55" spans="2:10" ht="26.25" customHeight="1" x14ac:dyDescent="0.25">
      <c r="B55" s="9"/>
      <c r="C55" s="9"/>
      <c r="D55" s="3" t="str">
        <f>_xlfn.IFNA(INDEX(Program!A:A,MATCH(Table310286595105111112113114[[#This Row],[*Program Code]],Program!B:B,0)),"")</f>
        <v/>
      </c>
      <c r="F55" s="10"/>
      <c r="G55" s="9"/>
      <c r="H55" s="17"/>
      <c r="I55" s="15">
        <f>Table310286595105111112113114[[#This Row],[*Price]]*Table310286595105111112113114[[#This Row],[*Quantity]]</f>
        <v>0</v>
      </c>
    </row>
    <row r="56" spans="2:10" ht="26.25" customHeight="1" x14ac:dyDescent="0.25">
      <c r="B56" s="9"/>
      <c r="C56" s="9"/>
      <c r="D56" s="3" t="str">
        <f>_xlfn.IFNA(INDEX(Program!A:A,MATCH(Table310286595105111112113114[[#This Row],[*Program Code]],Program!B:B,0)),"")</f>
        <v/>
      </c>
      <c r="F56" s="10"/>
      <c r="G56" s="9"/>
      <c r="H56" s="17"/>
      <c r="I56" s="15">
        <f>Table310286595105111112113114[[#This Row],[*Price]]*Table310286595105111112113114[[#This Row],[*Quantity]]</f>
        <v>0</v>
      </c>
    </row>
    <row r="57" spans="2:10" ht="26.25" customHeight="1" x14ac:dyDescent="0.25">
      <c r="B57" s="12" t="s">
        <v>5</v>
      </c>
      <c r="C57" s="13"/>
      <c r="D57" s="12"/>
      <c r="E57" s="12"/>
      <c r="F57" s="12"/>
      <c r="G57" s="12"/>
      <c r="H57" s="12"/>
      <c r="I57" s="14">
        <f>SUBTOTAL(109,Table310286595105111112113114[Total Expenditure])</f>
        <v>0</v>
      </c>
      <c r="J57" s="12"/>
    </row>
    <row r="59" spans="2:10" ht="26.25" customHeight="1" x14ac:dyDescent="0.25">
      <c r="B59" s="4">
        <v>226006</v>
      </c>
      <c r="C59" s="5" t="s">
        <v>4409</v>
      </c>
      <c r="D59" s="6"/>
      <c r="E59" s="6"/>
      <c r="F59" s="16"/>
      <c r="G59" s="16"/>
      <c r="H59" s="16"/>
      <c r="I59" s="16"/>
      <c r="J59" s="16"/>
    </row>
    <row r="60" spans="2:10" ht="43.5" customHeight="1" x14ac:dyDescent="0.25">
      <c r="B60" s="8" t="s">
        <v>1</v>
      </c>
      <c r="C60" s="8" t="s">
        <v>4337</v>
      </c>
      <c r="D60" s="8" t="s">
        <v>2</v>
      </c>
      <c r="E60" s="8" t="s">
        <v>4453</v>
      </c>
      <c r="F60" s="8" t="s">
        <v>4368</v>
      </c>
      <c r="G60" s="8" t="s">
        <v>4344</v>
      </c>
      <c r="H60" s="8" t="s">
        <v>4464</v>
      </c>
      <c r="I60" s="8" t="s">
        <v>3</v>
      </c>
      <c r="J60" s="8" t="s">
        <v>4</v>
      </c>
    </row>
    <row r="61" spans="2:10" ht="26.25" customHeight="1" x14ac:dyDescent="0.25">
      <c r="B61" s="9"/>
      <c r="C61" s="9"/>
      <c r="D61" s="2" t="str">
        <f>_xlfn.IFNA(INDEX(Program!A:A,MATCH(Table310286595105111112113114115[[#This Row],[*Program Code]],Program!B:B,0)),"")</f>
        <v/>
      </c>
      <c r="F61" s="10"/>
      <c r="G61" s="9"/>
      <c r="H61" s="17"/>
      <c r="I61" s="15">
        <f>Table310286595105111112113114115[[#This Row],[*Price]]*Table310286595105111112113114115[[#This Row],[*Quantity]]</f>
        <v>0</v>
      </c>
    </row>
    <row r="62" spans="2:10" ht="26.25" customHeight="1" x14ac:dyDescent="0.25">
      <c r="B62" s="9"/>
      <c r="C62" s="9"/>
      <c r="D62" s="2" t="str">
        <f>_xlfn.IFNA(INDEX(Program!A:A,MATCH(Table310286595105111112113114115[[#This Row],[*Program Code]],Program!B:B,0)),"")</f>
        <v/>
      </c>
      <c r="F62" s="10"/>
      <c r="G62" s="9"/>
      <c r="H62" s="17"/>
      <c r="I62" s="15">
        <f>Table310286595105111112113114115[[#This Row],[*Price]]*Table310286595105111112113114115[[#This Row],[*Quantity]]</f>
        <v>0</v>
      </c>
    </row>
    <row r="63" spans="2:10" ht="26.25" customHeight="1" x14ac:dyDescent="0.25">
      <c r="B63" s="9"/>
      <c r="C63" s="9"/>
      <c r="D63" s="2" t="str">
        <f>_xlfn.IFNA(INDEX(Program!A:A,MATCH(Table310286595105111112113114115[[#This Row],[*Program Code]],Program!B:B,0)),"")</f>
        <v/>
      </c>
      <c r="F63" s="10"/>
      <c r="G63" s="9"/>
      <c r="H63" s="17"/>
      <c r="I63" s="15">
        <f>Table310286595105111112113114115[[#This Row],[*Price]]*Table310286595105111112113114115[[#This Row],[*Quantity]]</f>
        <v>0</v>
      </c>
    </row>
    <row r="64" spans="2:10" ht="26.25" customHeight="1" x14ac:dyDescent="0.25">
      <c r="B64" s="9"/>
      <c r="C64" s="9"/>
      <c r="D64" s="2" t="str">
        <f>_xlfn.IFNA(INDEX(Program!A:A,MATCH(Table310286595105111112113114115[[#This Row],[*Program Code]],Program!B:B,0)),"")</f>
        <v/>
      </c>
      <c r="F64" s="10"/>
      <c r="G64" s="9"/>
      <c r="H64" s="17"/>
      <c r="I64" s="15">
        <f>Table310286595105111112113114115[[#This Row],[*Price]]*Table310286595105111112113114115[[#This Row],[*Quantity]]</f>
        <v>0</v>
      </c>
    </row>
    <row r="65" spans="2:10" ht="26.25" customHeight="1" x14ac:dyDescent="0.25">
      <c r="B65" s="9"/>
      <c r="C65" s="9"/>
      <c r="D65" s="2" t="str">
        <f>_xlfn.IFNA(INDEX(Program!A:A,MATCH(Table310286595105111112113114115[[#This Row],[*Program Code]],Program!B:B,0)),"")</f>
        <v/>
      </c>
      <c r="F65" s="10"/>
      <c r="G65" s="9"/>
      <c r="H65" s="17"/>
      <c r="I65" s="15">
        <f>Table310286595105111112113114115[[#This Row],[*Price]]*Table310286595105111112113114115[[#This Row],[*Quantity]]</f>
        <v>0</v>
      </c>
    </row>
    <row r="66" spans="2:10" ht="26.25" customHeight="1" x14ac:dyDescent="0.25">
      <c r="B66" s="9"/>
      <c r="C66" s="9"/>
      <c r="D66" s="3" t="str">
        <f>_xlfn.IFNA(INDEX(Program!A:A,MATCH(Table310286595105111112113114115[[#This Row],[*Program Code]],Program!B:B,0)),"")</f>
        <v/>
      </c>
      <c r="F66" s="10"/>
      <c r="G66" s="9"/>
      <c r="H66" s="17"/>
      <c r="I66" s="15">
        <f>Table310286595105111112113114115[[#This Row],[*Price]]*Table310286595105111112113114115[[#This Row],[*Quantity]]</f>
        <v>0</v>
      </c>
    </row>
    <row r="67" spans="2:10" ht="26.25" customHeight="1" x14ac:dyDescent="0.25">
      <c r="B67" s="9"/>
      <c r="C67" s="9"/>
      <c r="D67" s="3" t="str">
        <f>_xlfn.IFNA(INDEX(Program!A:A,MATCH(Table310286595105111112113114115[[#This Row],[*Program Code]],Program!B:B,0)),"")</f>
        <v/>
      </c>
      <c r="F67" s="10"/>
      <c r="G67" s="9"/>
      <c r="H67" s="17"/>
      <c r="I67" s="15">
        <f>Table310286595105111112113114115[[#This Row],[*Price]]*Table310286595105111112113114115[[#This Row],[*Quantity]]</f>
        <v>0</v>
      </c>
    </row>
    <row r="68" spans="2:10" ht="26.25" customHeight="1" x14ac:dyDescent="0.25">
      <c r="B68" s="12" t="s">
        <v>5</v>
      </c>
      <c r="C68" s="13"/>
      <c r="D68" s="12"/>
      <c r="E68" s="12"/>
      <c r="F68" s="12"/>
      <c r="G68" s="12"/>
      <c r="H68" s="12"/>
      <c r="I68" s="14">
        <f>SUBTOTAL(109,Table310286595105111112113114115[Total Expenditure])</f>
        <v>0</v>
      </c>
      <c r="J68" s="12"/>
    </row>
    <row r="70" spans="2:10" ht="26.25" customHeight="1" x14ac:dyDescent="0.25">
      <c r="B70" s="4">
        <v>226007</v>
      </c>
      <c r="C70" s="5" t="s">
        <v>4410</v>
      </c>
      <c r="D70" s="6"/>
      <c r="E70" s="6"/>
      <c r="F70" s="16"/>
      <c r="G70" s="16"/>
      <c r="H70" s="16"/>
      <c r="I70" s="16"/>
      <c r="J70" s="16"/>
    </row>
    <row r="71" spans="2:10" ht="43.5" customHeight="1" x14ac:dyDescent="0.25">
      <c r="B71" s="8" t="s">
        <v>1</v>
      </c>
      <c r="C71" s="8" t="s">
        <v>4337</v>
      </c>
      <c r="D71" s="8" t="s">
        <v>2</v>
      </c>
      <c r="E71" s="8" t="s">
        <v>4453</v>
      </c>
      <c r="F71" s="8" t="s">
        <v>4368</v>
      </c>
      <c r="G71" s="8" t="s">
        <v>4344</v>
      </c>
      <c r="H71" s="8" t="s">
        <v>4464</v>
      </c>
      <c r="I71" s="8" t="s">
        <v>3</v>
      </c>
      <c r="J71" s="8" t="s">
        <v>4</v>
      </c>
    </row>
    <row r="72" spans="2:10" ht="26.25" customHeight="1" x14ac:dyDescent="0.25">
      <c r="B72" s="9"/>
      <c r="C72" s="9"/>
      <c r="D72" s="2" t="str">
        <f>_xlfn.IFNA(INDEX(Program!A:A,MATCH(Table310286595105111112113114115116[[#This Row],[*Program Code]],Program!B:B,0)),"")</f>
        <v/>
      </c>
      <c r="F72" s="10"/>
      <c r="G72" s="9"/>
      <c r="H72" s="17"/>
      <c r="I72" s="15">
        <f>Table310286595105111112113114115116[[#This Row],[*Price]]*Table310286595105111112113114115116[[#This Row],[*Quantity]]</f>
        <v>0</v>
      </c>
    </row>
    <row r="73" spans="2:10" ht="26.25" customHeight="1" x14ac:dyDescent="0.25">
      <c r="B73" s="9"/>
      <c r="C73" s="9"/>
      <c r="D73" s="2" t="str">
        <f>_xlfn.IFNA(INDEX(Program!A:A,MATCH(Table310286595105111112113114115116[[#This Row],[*Program Code]],Program!B:B,0)),"")</f>
        <v/>
      </c>
      <c r="F73" s="10"/>
      <c r="G73" s="9"/>
      <c r="H73" s="17"/>
      <c r="I73" s="15">
        <f>Table310286595105111112113114115116[[#This Row],[*Price]]*Table310286595105111112113114115116[[#This Row],[*Quantity]]</f>
        <v>0</v>
      </c>
    </row>
    <row r="74" spans="2:10" ht="26.25" customHeight="1" x14ac:dyDescent="0.25">
      <c r="B74" s="9"/>
      <c r="C74" s="9"/>
      <c r="D74" s="2" t="str">
        <f>_xlfn.IFNA(INDEX(Program!A:A,MATCH(Table310286595105111112113114115116[[#This Row],[*Program Code]],Program!B:B,0)),"")</f>
        <v/>
      </c>
      <c r="F74" s="10"/>
      <c r="G74" s="9"/>
      <c r="H74" s="17"/>
      <c r="I74" s="15">
        <f>Table310286595105111112113114115116[[#This Row],[*Price]]*Table310286595105111112113114115116[[#This Row],[*Quantity]]</f>
        <v>0</v>
      </c>
    </row>
    <row r="75" spans="2:10" ht="26.25" customHeight="1" x14ac:dyDescent="0.25">
      <c r="B75" s="9"/>
      <c r="C75" s="9"/>
      <c r="D75" s="2" t="str">
        <f>_xlfn.IFNA(INDEX(Program!A:A,MATCH(Table310286595105111112113114115116[[#This Row],[*Program Code]],Program!B:B,0)),"")</f>
        <v/>
      </c>
      <c r="F75" s="10"/>
      <c r="G75" s="9"/>
      <c r="H75" s="17"/>
      <c r="I75" s="15">
        <f>Table310286595105111112113114115116[[#This Row],[*Price]]*Table310286595105111112113114115116[[#This Row],[*Quantity]]</f>
        <v>0</v>
      </c>
    </row>
    <row r="76" spans="2:10" ht="26.25" customHeight="1" x14ac:dyDescent="0.25">
      <c r="B76" s="9"/>
      <c r="C76" s="9"/>
      <c r="D76" s="2" t="str">
        <f>_xlfn.IFNA(INDEX(Program!A:A,MATCH(Table310286595105111112113114115116[[#This Row],[*Program Code]],Program!B:B,0)),"")</f>
        <v/>
      </c>
      <c r="F76" s="10"/>
      <c r="G76" s="9"/>
      <c r="H76" s="17"/>
      <c r="I76" s="15">
        <f>Table310286595105111112113114115116[[#This Row],[*Price]]*Table310286595105111112113114115116[[#This Row],[*Quantity]]</f>
        <v>0</v>
      </c>
    </row>
    <row r="77" spans="2:10" ht="26.25" customHeight="1" x14ac:dyDescent="0.25">
      <c r="B77" s="9"/>
      <c r="C77" s="9"/>
      <c r="D77" s="3" t="str">
        <f>_xlfn.IFNA(INDEX(Program!A:A,MATCH(Table310286595105111112113114115116[[#This Row],[*Program Code]],Program!B:B,0)),"")</f>
        <v/>
      </c>
      <c r="F77" s="10"/>
      <c r="G77" s="9"/>
      <c r="H77" s="17"/>
      <c r="I77" s="15">
        <f>Table310286595105111112113114115116[[#This Row],[*Price]]*Table310286595105111112113114115116[[#This Row],[*Quantity]]</f>
        <v>0</v>
      </c>
    </row>
    <row r="78" spans="2:10" ht="26.25" customHeight="1" x14ac:dyDescent="0.25">
      <c r="B78" s="9"/>
      <c r="C78" s="9"/>
      <c r="D78" s="3" t="str">
        <f>_xlfn.IFNA(INDEX(Program!A:A,MATCH(Table310286595105111112113114115116[[#This Row],[*Program Code]],Program!B:B,0)),"")</f>
        <v/>
      </c>
      <c r="F78" s="10"/>
      <c r="G78" s="9"/>
      <c r="H78" s="17"/>
      <c r="I78" s="15">
        <f>Table310286595105111112113114115116[[#This Row],[*Price]]*Table310286595105111112113114115116[[#This Row],[*Quantity]]</f>
        <v>0</v>
      </c>
    </row>
    <row r="79" spans="2:10" ht="26.25" customHeight="1" x14ac:dyDescent="0.25">
      <c r="B79" s="12" t="s">
        <v>5</v>
      </c>
      <c r="C79" s="13"/>
      <c r="D79" s="12"/>
      <c r="E79" s="12"/>
      <c r="F79" s="12"/>
      <c r="G79" s="12"/>
      <c r="H79" s="12"/>
      <c r="I79" s="14">
        <f>SUBTOTAL(109,Table310286595105111112113114115116[Total Expenditure])</f>
        <v>0</v>
      </c>
      <c r="J79" s="12"/>
    </row>
    <row r="81" spans="2:10" ht="26.25" customHeight="1" x14ac:dyDescent="0.25">
      <c r="B81" s="4">
        <v>226008</v>
      </c>
      <c r="C81" s="5" t="s">
        <v>4411</v>
      </c>
      <c r="D81" s="6"/>
      <c r="E81" s="6"/>
      <c r="F81" s="16"/>
      <c r="G81" s="16"/>
      <c r="H81" s="16"/>
      <c r="I81" s="16"/>
      <c r="J81" s="16"/>
    </row>
    <row r="82" spans="2:10" ht="43.5" customHeight="1" x14ac:dyDescent="0.25">
      <c r="B82" s="8" t="s">
        <v>1</v>
      </c>
      <c r="C82" s="8" t="s">
        <v>4337</v>
      </c>
      <c r="D82" s="8" t="s">
        <v>2</v>
      </c>
      <c r="E82" s="8" t="s">
        <v>4453</v>
      </c>
      <c r="F82" s="8" t="s">
        <v>4368</v>
      </c>
      <c r="G82" s="8" t="s">
        <v>4344</v>
      </c>
      <c r="H82" s="8" t="s">
        <v>4464</v>
      </c>
      <c r="I82" s="8" t="s">
        <v>3</v>
      </c>
      <c r="J82" s="8" t="s">
        <v>4</v>
      </c>
    </row>
    <row r="83" spans="2:10" ht="26.25" customHeight="1" x14ac:dyDescent="0.25">
      <c r="B83" s="9"/>
      <c r="C83" s="9"/>
      <c r="D83" s="2" t="str">
        <f>_xlfn.IFNA(INDEX(Program!A:A,MATCH(Table310286595105111112113114115116117[[#This Row],[*Program Code]],Program!B:B,0)),"")</f>
        <v/>
      </c>
      <c r="F83" s="10"/>
      <c r="G83" s="9"/>
      <c r="H83" s="17"/>
      <c r="I83" s="15">
        <f>Table310286595105111112113114115116117[[#This Row],[*Price]]*Table310286595105111112113114115116117[[#This Row],[*Quantity]]</f>
        <v>0</v>
      </c>
    </row>
    <row r="84" spans="2:10" ht="26.25" customHeight="1" x14ac:dyDescent="0.25">
      <c r="B84" s="9"/>
      <c r="C84" s="9"/>
      <c r="D84" s="2" t="str">
        <f>_xlfn.IFNA(INDEX(Program!A:A,MATCH(Table310286595105111112113114115116117[[#This Row],[*Program Code]],Program!B:B,0)),"")</f>
        <v/>
      </c>
      <c r="F84" s="10"/>
      <c r="G84" s="9"/>
      <c r="H84" s="17"/>
      <c r="I84" s="15">
        <f>Table310286595105111112113114115116117[[#This Row],[*Price]]*Table310286595105111112113114115116117[[#This Row],[*Quantity]]</f>
        <v>0</v>
      </c>
    </row>
    <row r="85" spans="2:10" ht="26.25" customHeight="1" x14ac:dyDescent="0.25">
      <c r="B85" s="9"/>
      <c r="C85" s="9"/>
      <c r="D85" s="2" t="str">
        <f>_xlfn.IFNA(INDEX(Program!A:A,MATCH(Table310286595105111112113114115116117[[#This Row],[*Program Code]],Program!B:B,0)),"")</f>
        <v/>
      </c>
      <c r="F85" s="10"/>
      <c r="G85" s="9"/>
      <c r="H85" s="17"/>
      <c r="I85" s="15">
        <f>Table310286595105111112113114115116117[[#This Row],[*Price]]*Table310286595105111112113114115116117[[#This Row],[*Quantity]]</f>
        <v>0</v>
      </c>
    </row>
    <row r="86" spans="2:10" ht="26.25" customHeight="1" x14ac:dyDescent="0.25">
      <c r="B86" s="9"/>
      <c r="C86" s="9"/>
      <c r="D86" s="2" t="str">
        <f>_xlfn.IFNA(INDEX(Program!A:A,MATCH(Table310286595105111112113114115116117[[#This Row],[*Program Code]],Program!B:B,0)),"")</f>
        <v/>
      </c>
      <c r="F86" s="10"/>
      <c r="G86" s="9"/>
      <c r="H86" s="17"/>
      <c r="I86" s="15">
        <f>Table310286595105111112113114115116117[[#This Row],[*Price]]*Table310286595105111112113114115116117[[#This Row],[*Quantity]]</f>
        <v>0</v>
      </c>
    </row>
    <row r="87" spans="2:10" ht="26.25" customHeight="1" x14ac:dyDescent="0.25">
      <c r="B87" s="9"/>
      <c r="C87" s="9"/>
      <c r="D87" s="2" t="str">
        <f>_xlfn.IFNA(INDEX(Program!A:A,MATCH(Table310286595105111112113114115116117[[#This Row],[*Program Code]],Program!B:B,0)),"")</f>
        <v/>
      </c>
      <c r="F87" s="10"/>
      <c r="G87" s="9"/>
      <c r="H87" s="17"/>
      <c r="I87" s="15">
        <f>Table310286595105111112113114115116117[[#This Row],[*Price]]*Table310286595105111112113114115116117[[#This Row],[*Quantity]]</f>
        <v>0</v>
      </c>
    </row>
    <row r="88" spans="2:10" ht="26.25" customHeight="1" x14ac:dyDescent="0.25">
      <c r="B88" s="9"/>
      <c r="C88" s="9"/>
      <c r="D88" s="3" t="str">
        <f>_xlfn.IFNA(INDEX(Program!A:A,MATCH(Table310286595105111112113114115116117[[#This Row],[*Program Code]],Program!B:B,0)),"")</f>
        <v/>
      </c>
      <c r="F88" s="10"/>
      <c r="G88" s="9"/>
      <c r="H88" s="17"/>
      <c r="I88" s="15">
        <f>Table310286595105111112113114115116117[[#This Row],[*Price]]*Table310286595105111112113114115116117[[#This Row],[*Quantity]]</f>
        <v>0</v>
      </c>
    </row>
    <row r="89" spans="2:10" ht="26.25" customHeight="1" x14ac:dyDescent="0.25">
      <c r="B89" s="9"/>
      <c r="C89" s="9"/>
      <c r="D89" s="3" t="str">
        <f>_xlfn.IFNA(INDEX(Program!A:A,MATCH(Table310286595105111112113114115116117[[#This Row],[*Program Code]],Program!B:B,0)),"")</f>
        <v/>
      </c>
      <c r="F89" s="10"/>
      <c r="G89" s="9"/>
      <c r="H89" s="17"/>
      <c r="I89" s="15">
        <f>Table310286595105111112113114115116117[[#This Row],[*Price]]*Table310286595105111112113114115116117[[#This Row],[*Quantity]]</f>
        <v>0</v>
      </c>
    </row>
    <row r="90" spans="2:10" ht="26.25" customHeight="1" x14ac:dyDescent="0.25">
      <c r="B90" s="12" t="s">
        <v>5</v>
      </c>
      <c r="C90" s="13"/>
      <c r="D90" s="12"/>
      <c r="E90" s="12"/>
      <c r="F90" s="12"/>
      <c r="G90" s="12"/>
      <c r="H90" s="12"/>
      <c r="I90" s="14">
        <f>SUBTOTAL(109,Table310286595105111112113114115116117[Total Expenditure])</f>
        <v>0</v>
      </c>
      <c r="J90" s="12"/>
    </row>
    <row r="92" spans="2:10" ht="26.25" customHeight="1" x14ac:dyDescent="0.25">
      <c r="B92" s="4">
        <v>226009</v>
      </c>
      <c r="C92" s="5" t="s">
        <v>4412</v>
      </c>
      <c r="D92" s="6"/>
      <c r="E92" s="6"/>
      <c r="F92" s="16"/>
      <c r="G92" s="16"/>
      <c r="H92" s="16"/>
      <c r="I92" s="16"/>
      <c r="J92" s="16"/>
    </row>
    <row r="93" spans="2:10" ht="43.5" customHeight="1" x14ac:dyDescent="0.25">
      <c r="B93" s="8" t="s">
        <v>1</v>
      </c>
      <c r="C93" s="8" t="s">
        <v>4337</v>
      </c>
      <c r="D93" s="8" t="s">
        <v>2</v>
      </c>
      <c r="E93" s="8" t="s">
        <v>4453</v>
      </c>
      <c r="F93" s="8" t="s">
        <v>4368</v>
      </c>
      <c r="G93" s="8" t="s">
        <v>4344</v>
      </c>
      <c r="H93" s="8" t="s">
        <v>4464</v>
      </c>
      <c r="I93" s="8" t="s">
        <v>3</v>
      </c>
      <c r="J93" s="8" t="s">
        <v>4</v>
      </c>
    </row>
    <row r="94" spans="2:10" ht="26.25" customHeight="1" x14ac:dyDescent="0.25">
      <c r="B94" s="9"/>
      <c r="C94" s="9"/>
      <c r="D94" s="2" t="str">
        <f>_xlfn.IFNA(INDEX(Program!A:A,MATCH(Table310286595105111112113114115116117118[[#This Row],[*Program Code]],Program!B:B,0)),"")</f>
        <v/>
      </c>
      <c r="F94" s="10"/>
      <c r="G94" s="9"/>
      <c r="H94" s="17"/>
      <c r="I94" s="15">
        <f>Table310286595105111112113114115116117118[[#This Row],[*Price]]*Table310286595105111112113114115116117118[[#This Row],[*Quantity]]</f>
        <v>0</v>
      </c>
    </row>
    <row r="95" spans="2:10" ht="26.25" customHeight="1" x14ac:dyDescent="0.25">
      <c r="B95" s="9"/>
      <c r="C95" s="9"/>
      <c r="D95" s="2" t="str">
        <f>_xlfn.IFNA(INDEX(Program!A:A,MATCH(Table310286595105111112113114115116117118[[#This Row],[*Program Code]],Program!B:B,0)),"")</f>
        <v/>
      </c>
      <c r="F95" s="10"/>
      <c r="G95" s="9"/>
      <c r="H95" s="17"/>
      <c r="I95" s="15">
        <f>Table310286595105111112113114115116117118[[#This Row],[*Price]]*Table310286595105111112113114115116117118[[#This Row],[*Quantity]]</f>
        <v>0</v>
      </c>
    </row>
    <row r="96" spans="2:10" ht="26.25" customHeight="1" x14ac:dyDescent="0.25">
      <c r="B96" s="9"/>
      <c r="C96" s="9"/>
      <c r="D96" s="2" t="str">
        <f>_xlfn.IFNA(INDEX(Program!A:A,MATCH(Table310286595105111112113114115116117118[[#This Row],[*Program Code]],Program!B:B,0)),"")</f>
        <v/>
      </c>
      <c r="F96" s="10"/>
      <c r="G96" s="9"/>
      <c r="H96" s="17"/>
      <c r="I96" s="15">
        <f>Table310286595105111112113114115116117118[[#This Row],[*Price]]*Table310286595105111112113114115116117118[[#This Row],[*Quantity]]</f>
        <v>0</v>
      </c>
    </row>
    <row r="97" spans="2:10" ht="26.25" customHeight="1" x14ac:dyDescent="0.25">
      <c r="B97" s="9"/>
      <c r="C97" s="9"/>
      <c r="D97" s="2" t="str">
        <f>_xlfn.IFNA(INDEX(Program!A:A,MATCH(Table310286595105111112113114115116117118[[#This Row],[*Program Code]],Program!B:B,0)),"")</f>
        <v/>
      </c>
      <c r="F97" s="10"/>
      <c r="G97" s="9"/>
      <c r="H97" s="17"/>
      <c r="I97" s="15">
        <f>Table310286595105111112113114115116117118[[#This Row],[*Price]]*Table310286595105111112113114115116117118[[#This Row],[*Quantity]]</f>
        <v>0</v>
      </c>
    </row>
    <row r="98" spans="2:10" ht="26.25" customHeight="1" x14ac:dyDescent="0.25">
      <c r="B98" s="9"/>
      <c r="C98" s="9"/>
      <c r="D98" s="2" t="str">
        <f>_xlfn.IFNA(INDEX(Program!A:A,MATCH(Table310286595105111112113114115116117118[[#This Row],[*Program Code]],Program!B:B,0)),"")</f>
        <v/>
      </c>
      <c r="F98" s="10"/>
      <c r="G98" s="9"/>
      <c r="H98" s="17"/>
      <c r="I98" s="15">
        <f>Table310286595105111112113114115116117118[[#This Row],[*Price]]*Table310286595105111112113114115116117118[[#This Row],[*Quantity]]</f>
        <v>0</v>
      </c>
    </row>
    <row r="99" spans="2:10" ht="26.25" customHeight="1" x14ac:dyDescent="0.25">
      <c r="B99" s="9"/>
      <c r="C99" s="9"/>
      <c r="D99" s="3" t="str">
        <f>_xlfn.IFNA(INDEX(Program!A:A,MATCH(Table310286595105111112113114115116117118[[#This Row],[*Program Code]],Program!B:B,0)),"")</f>
        <v/>
      </c>
      <c r="F99" s="10"/>
      <c r="G99" s="9"/>
      <c r="H99" s="17"/>
      <c r="I99" s="15">
        <f>Table310286595105111112113114115116117118[[#This Row],[*Price]]*Table310286595105111112113114115116117118[[#This Row],[*Quantity]]</f>
        <v>0</v>
      </c>
    </row>
    <row r="100" spans="2:10" ht="26.25" customHeight="1" x14ac:dyDescent="0.25">
      <c r="B100" s="9"/>
      <c r="C100" s="9"/>
      <c r="D100" s="3" t="str">
        <f>_xlfn.IFNA(INDEX(Program!A:A,MATCH(Table310286595105111112113114115116117118[[#This Row],[*Program Code]],Program!B:B,0)),"")</f>
        <v/>
      </c>
      <c r="F100" s="10"/>
      <c r="G100" s="9"/>
      <c r="H100" s="17"/>
      <c r="I100" s="15">
        <f>Table310286595105111112113114115116117118[[#This Row],[*Price]]*Table310286595105111112113114115116117118[[#This Row],[*Quantity]]</f>
        <v>0</v>
      </c>
    </row>
    <row r="101" spans="2:10" ht="26.25" customHeight="1" x14ac:dyDescent="0.25">
      <c r="B101" s="12" t="s">
        <v>5</v>
      </c>
      <c r="C101" s="13"/>
      <c r="D101" s="12"/>
      <c r="E101" s="12"/>
      <c r="F101" s="12"/>
      <c r="G101" s="12"/>
      <c r="H101" s="12"/>
      <c r="I101" s="14">
        <f>SUBTOTAL(109,Table310286595105111112113114115116117118[Total Expenditure])</f>
        <v>0</v>
      </c>
      <c r="J101" s="12"/>
    </row>
    <row r="103" spans="2:10" ht="26.25" customHeight="1" x14ac:dyDescent="0.25">
      <c r="B103" s="4">
        <v>226010</v>
      </c>
      <c r="C103" s="5" t="s">
        <v>4413</v>
      </c>
      <c r="D103" s="6"/>
      <c r="E103" s="6"/>
      <c r="F103" s="16"/>
      <c r="G103" s="16"/>
      <c r="H103" s="16"/>
      <c r="I103" s="16"/>
      <c r="J103" s="16"/>
    </row>
    <row r="104" spans="2:10" ht="43.5" customHeight="1" x14ac:dyDescent="0.25">
      <c r="B104" s="8" t="s">
        <v>1</v>
      </c>
      <c r="C104" s="8" t="s">
        <v>4337</v>
      </c>
      <c r="D104" s="8" t="s">
        <v>2</v>
      </c>
      <c r="E104" s="8" t="s">
        <v>4453</v>
      </c>
      <c r="F104" s="8" t="s">
        <v>4368</v>
      </c>
      <c r="G104" s="8" t="s">
        <v>4344</v>
      </c>
      <c r="H104" s="8" t="s">
        <v>4464</v>
      </c>
      <c r="I104" s="8" t="s">
        <v>3</v>
      </c>
      <c r="J104" s="8" t="s">
        <v>4</v>
      </c>
    </row>
    <row r="105" spans="2:10" ht="26.25" customHeight="1" x14ac:dyDescent="0.25">
      <c r="B105" s="9"/>
      <c r="C105" s="9"/>
      <c r="D105" s="2" t="str">
        <f>_xlfn.IFNA(INDEX(Program!A:A,MATCH(Table310286595105111112113114115116117118119[[#This Row],[*Program Code]],Program!B:B,0)),"")</f>
        <v/>
      </c>
      <c r="F105" s="10"/>
      <c r="G105" s="9"/>
      <c r="H105" s="17"/>
      <c r="I105" s="15">
        <f>Table310286595105111112113114115116117118119[[#This Row],[*Price]]*Table310286595105111112113114115116117118119[[#This Row],[*Quantity]]</f>
        <v>0</v>
      </c>
    </row>
    <row r="106" spans="2:10" ht="26.25" customHeight="1" x14ac:dyDescent="0.25">
      <c r="B106" s="9"/>
      <c r="C106" s="9"/>
      <c r="D106" s="2" t="str">
        <f>_xlfn.IFNA(INDEX(Program!A:A,MATCH(Table310286595105111112113114115116117118119[[#This Row],[*Program Code]],Program!B:B,0)),"")</f>
        <v/>
      </c>
      <c r="F106" s="10"/>
      <c r="G106" s="9"/>
      <c r="H106" s="17"/>
      <c r="I106" s="15">
        <f>Table310286595105111112113114115116117118119[[#This Row],[*Price]]*Table310286595105111112113114115116117118119[[#This Row],[*Quantity]]</f>
        <v>0</v>
      </c>
    </row>
    <row r="107" spans="2:10" ht="26.25" customHeight="1" x14ac:dyDescent="0.25">
      <c r="B107" s="9"/>
      <c r="C107" s="9"/>
      <c r="D107" s="2" t="str">
        <f>_xlfn.IFNA(INDEX(Program!A:A,MATCH(Table310286595105111112113114115116117118119[[#This Row],[*Program Code]],Program!B:B,0)),"")</f>
        <v/>
      </c>
      <c r="F107" s="10"/>
      <c r="G107" s="9"/>
      <c r="H107" s="17"/>
      <c r="I107" s="15">
        <f>Table310286595105111112113114115116117118119[[#This Row],[*Price]]*Table310286595105111112113114115116117118119[[#This Row],[*Quantity]]</f>
        <v>0</v>
      </c>
    </row>
    <row r="108" spans="2:10" ht="26.25" customHeight="1" x14ac:dyDescent="0.25">
      <c r="B108" s="9"/>
      <c r="C108" s="9"/>
      <c r="D108" s="2" t="str">
        <f>_xlfn.IFNA(INDEX(Program!A:A,MATCH(Table310286595105111112113114115116117118119[[#This Row],[*Program Code]],Program!B:B,0)),"")</f>
        <v/>
      </c>
      <c r="F108" s="10"/>
      <c r="G108" s="9"/>
      <c r="H108" s="17"/>
      <c r="I108" s="15">
        <f>Table310286595105111112113114115116117118119[[#This Row],[*Price]]*Table310286595105111112113114115116117118119[[#This Row],[*Quantity]]</f>
        <v>0</v>
      </c>
    </row>
    <row r="109" spans="2:10" ht="26.25" customHeight="1" x14ac:dyDescent="0.25">
      <c r="B109" s="9"/>
      <c r="C109" s="9"/>
      <c r="D109" s="2" t="str">
        <f>_xlfn.IFNA(INDEX(Program!A:A,MATCH(Table310286595105111112113114115116117118119[[#This Row],[*Program Code]],Program!B:B,0)),"")</f>
        <v/>
      </c>
      <c r="F109" s="10"/>
      <c r="G109" s="9"/>
      <c r="H109" s="17"/>
      <c r="I109" s="15">
        <f>Table310286595105111112113114115116117118119[[#This Row],[*Price]]*Table310286595105111112113114115116117118119[[#This Row],[*Quantity]]</f>
        <v>0</v>
      </c>
    </row>
    <row r="110" spans="2:10" ht="26.25" customHeight="1" x14ac:dyDescent="0.25">
      <c r="B110" s="9"/>
      <c r="C110" s="9"/>
      <c r="D110" s="3" t="str">
        <f>_xlfn.IFNA(INDEX(Program!A:A,MATCH(Table310286595105111112113114115116117118119[[#This Row],[*Program Code]],Program!B:B,0)),"")</f>
        <v/>
      </c>
      <c r="F110" s="10"/>
      <c r="G110" s="9"/>
      <c r="H110" s="17"/>
      <c r="I110" s="15">
        <f>Table310286595105111112113114115116117118119[[#This Row],[*Price]]*Table310286595105111112113114115116117118119[[#This Row],[*Quantity]]</f>
        <v>0</v>
      </c>
    </row>
    <row r="111" spans="2:10" ht="26.25" customHeight="1" x14ac:dyDescent="0.25">
      <c r="B111" s="9"/>
      <c r="C111" s="9"/>
      <c r="D111" s="3" t="str">
        <f>_xlfn.IFNA(INDEX(Program!A:A,MATCH(Table310286595105111112113114115116117118119[[#This Row],[*Program Code]],Program!B:B,0)),"")</f>
        <v/>
      </c>
      <c r="F111" s="10"/>
      <c r="G111" s="9"/>
      <c r="H111" s="17"/>
      <c r="I111" s="15">
        <f>Table310286595105111112113114115116117118119[[#This Row],[*Price]]*Table310286595105111112113114115116117118119[[#This Row],[*Quantity]]</f>
        <v>0</v>
      </c>
    </row>
    <row r="112" spans="2:10" ht="26.25" customHeight="1" x14ac:dyDescent="0.25">
      <c r="B112" s="12" t="s">
        <v>5</v>
      </c>
      <c r="C112" s="13"/>
      <c r="D112" s="12"/>
      <c r="E112" s="12"/>
      <c r="F112" s="12"/>
      <c r="G112" s="12"/>
      <c r="H112" s="12"/>
      <c r="I112" s="14">
        <f>SUBTOTAL(109,Table310286595105111112113114115116117118119[Total Expenditure])</f>
        <v>0</v>
      </c>
      <c r="J112" s="12"/>
    </row>
    <row r="114" spans="2:10" ht="26.25" customHeight="1" x14ac:dyDescent="0.25">
      <c r="B114" s="4">
        <v>226011</v>
      </c>
      <c r="C114" s="5" t="s">
        <v>4414</v>
      </c>
      <c r="D114" s="6"/>
      <c r="E114" s="6"/>
      <c r="F114" s="16"/>
      <c r="G114" s="16"/>
      <c r="H114" s="16"/>
      <c r="I114" s="16"/>
      <c r="J114" s="16"/>
    </row>
    <row r="115" spans="2:10" ht="43.5" customHeight="1" x14ac:dyDescent="0.25">
      <c r="B115" s="8" t="s">
        <v>1</v>
      </c>
      <c r="C115" s="8" t="s">
        <v>4337</v>
      </c>
      <c r="D115" s="8" t="s">
        <v>2</v>
      </c>
      <c r="E115" s="8" t="s">
        <v>4453</v>
      </c>
      <c r="F115" s="8" t="s">
        <v>4368</v>
      </c>
      <c r="G115" s="8" t="s">
        <v>4344</v>
      </c>
      <c r="H115" s="8" t="s">
        <v>4464</v>
      </c>
      <c r="I115" s="8" t="s">
        <v>3</v>
      </c>
      <c r="J115" s="8" t="s">
        <v>4</v>
      </c>
    </row>
    <row r="116" spans="2:10" ht="26.25" customHeight="1" x14ac:dyDescent="0.25">
      <c r="B116" s="9"/>
      <c r="C116" s="9"/>
      <c r="D116" s="2" t="str">
        <f>_xlfn.IFNA(INDEX(Program!A:A,MATCH(Table310286595105111112113114115116117118119120[[#This Row],[*Program Code]],Program!B:B,0)),"")</f>
        <v/>
      </c>
      <c r="F116" s="10"/>
      <c r="G116" s="9"/>
      <c r="H116" s="17"/>
      <c r="I116" s="15">
        <f>Table310286595105111112113114115116117118119120[[#This Row],[*Price]]*Table310286595105111112113114115116117118119120[[#This Row],[*Quantity]]</f>
        <v>0</v>
      </c>
    </row>
    <row r="117" spans="2:10" ht="26.25" customHeight="1" x14ac:dyDescent="0.25">
      <c r="B117" s="9"/>
      <c r="C117" s="9"/>
      <c r="D117" s="2" t="str">
        <f>_xlfn.IFNA(INDEX(Program!A:A,MATCH(Table310286595105111112113114115116117118119120[[#This Row],[*Program Code]],Program!B:B,0)),"")</f>
        <v/>
      </c>
      <c r="F117" s="10"/>
      <c r="G117" s="9"/>
      <c r="H117" s="17"/>
      <c r="I117" s="15">
        <f>Table310286595105111112113114115116117118119120[[#This Row],[*Price]]*Table310286595105111112113114115116117118119120[[#This Row],[*Quantity]]</f>
        <v>0</v>
      </c>
    </row>
    <row r="118" spans="2:10" ht="26.25" customHeight="1" x14ac:dyDescent="0.25">
      <c r="B118" s="9"/>
      <c r="C118" s="9"/>
      <c r="D118" s="2" t="str">
        <f>_xlfn.IFNA(INDEX(Program!A:A,MATCH(Table310286595105111112113114115116117118119120[[#This Row],[*Program Code]],Program!B:B,0)),"")</f>
        <v/>
      </c>
      <c r="F118" s="10"/>
      <c r="G118" s="9"/>
      <c r="H118" s="17"/>
      <c r="I118" s="15">
        <f>Table310286595105111112113114115116117118119120[[#This Row],[*Price]]*Table310286595105111112113114115116117118119120[[#This Row],[*Quantity]]</f>
        <v>0</v>
      </c>
    </row>
    <row r="119" spans="2:10" ht="26.25" customHeight="1" x14ac:dyDescent="0.25">
      <c r="B119" s="9"/>
      <c r="C119" s="9"/>
      <c r="D119" s="2" t="str">
        <f>_xlfn.IFNA(INDEX(Program!A:A,MATCH(Table310286595105111112113114115116117118119120[[#This Row],[*Program Code]],Program!B:B,0)),"")</f>
        <v/>
      </c>
      <c r="F119" s="10"/>
      <c r="G119" s="9"/>
      <c r="H119" s="17"/>
      <c r="I119" s="15">
        <f>Table310286595105111112113114115116117118119120[[#This Row],[*Price]]*Table310286595105111112113114115116117118119120[[#This Row],[*Quantity]]</f>
        <v>0</v>
      </c>
    </row>
    <row r="120" spans="2:10" ht="26.25" customHeight="1" x14ac:dyDescent="0.25">
      <c r="B120" s="9"/>
      <c r="C120" s="9"/>
      <c r="D120" s="2" t="str">
        <f>_xlfn.IFNA(INDEX(Program!A:A,MATCH(Table310286595105111112113114115116117118119120[[#This Row],[*Program Code]],Program!B:B,0)),"")</f>
        <v/>
      </c>
      <c r="F120" s="10"/>
      <c r="G120" s="9"/>
      <c r="H120" s="17"/>
      <c r="I120" s="15">
        <f>Table310286595105111112113114115116117118119120[[#This Row],[*Price]]*Table310286595105111112113114115116117118119120[[#This Row],[*Quantity]]</f>
        <v>0</v>
      </c>
    </row>
    <row r="121" spans="2:10" ht="26.25" customHeight="1" x14ac:dyDescent="0.25">
      <c r="B121" s="9"/>
      <c r="C121" s="9"/>
      <c r="D121" s="3" t="str">
        <f>_xlfn.IFNA(INDEX(Program!A:A,MATCH(Table310286595105111112113114115116117118119120[[#This Row],[*Program Code]],Program!B:B,0)),"")</f>
        <v/>
      </c>
      <c r="F121" s="10"/>
      <c r="G121" s="9"/>
      <c r="H121" s="17"/>
      <c r="I121" s="15">
        <f>Table310286595105111112113114115116117118119120[[#This Row],[*Price]]*Table310286595105111112113114115116117118119120[[#This Row],[*Quantity]]</f>
        <v>0</v>
      </c>
    </row>
    <row r="122" spans="2:10" ht="26.25" customHeight="1" x14ac:dyDescent="0.25">
      <c r="B122" s="9"/>
      <c r="C122" s="9"/>
      <c r="D122" s="3" t="str">
        <f>_xlfn.IFNA(INDEX(Program!A:A,MATCH(Table310286595105111112113114115116117118119120[[#This Row],[*Program Code]],Program!B:B,0)),"")</f>
        <v/>
      </c>
      <c r="F122" s="10"/>
      <c r="G122" s="9"/>
      <c r="H122" s="17"/>
      <c r="I122" s="15">
        <f>Table310286595105111112113114115116117118119120[[#This Row],[*Price]]*Table310286595105111112113114115116117118119120[[#This Row],[*Quantity]]</f>
        <v>0</v>
      </c>
    </row>
    <row r="123" spans="2:10" ht="26.25" customHeight="1" x14ac:dyDescent="0.25">
      <c r="B123" s="12" t="s">
        <v>5</v>
      </c>
      <c r="C123" s="13"/>
      <c r="D123" s="12"/>
      <c r="E123" s="12"/>
      <c r="F123" s="12"/>
      <c r="G123" s="12"/>
      <c r="H123" s="12"/>
      <c r="I123" s="14">
        <f>SUBTOTAL(109,Table310286595105111112113114115116117118119120[Total Expenditure])</f>
        <v>0</v>
      </c>
      <c r="J123" s="12"/>
    </row>
    <row r="125" spans="2:10" ht="26.25" customHeight="1" x14ac:dyDescent="0.25">
      <c r="B125" s="4">
        <v>226012</v>
      </c>
      <c r="C125" s="5" t="s">
        <v>4415</v>
      </c>
      <c r="D125" s="6"/>
      <c r="E125" s="6"/>
      <c r="F125" s="16"/>
      <c r="G125" s="16"/>
      <c r="H125" s="16"/>
      <c r="I125" s="16"/>
      <c r="J125" s="16"/>
    </row>
    <row r="126" spans="2:10" ht="43.5" customHeight="1" x14ac:dyDescent="0.25">
      <c r="B126" s="8" t="s">
        <v>1</v>
      </c>
      <c r="C126" s="8" t="s">
        <v>4337</v>
      </c>
      <c r="D126" s="8" t="s">
        <v>2</v>
      </c>
      <c r="E126" s="8" t="s">
        <v>4453</v>
      </c>
      <c r="F126" s="8" t="s">
        <v>4368</v>
      </c>
      <c r="G126" s="8" t="s">
        <v>4344</v>
      </c>
      <c r="H126" s="8" t="s">
        <v>4464</v>
      </c>
      <c r="I126" s="8" t="s">
        <v>3</v>
      </c>
      <c r="J126" s="8" t="s">
        <v>4</v>
      </c>
    </row>
    <row r="127" spans="2:10" ht="26.25" customHeight="1" x14ac:dyDescent="0.25">
      <c r="B127" s="9"/>
      <c r="C127" s="9"/>
      <c r="D127" s="2" t="str">
        <f>_xlfn.IFNA(INDEX(Program!A:A,MATCH(Table310286595105111112113114115116117118119120121[[#This Row],[*Program Code]],Program!B:B,0)),"")</f>
        <v/>
      </c>
      <c r="F127" s="10"/>
      <c r="G127" s="9"/>
      <c r="H127" s="17"/>
      <c r="I127" s="15">
        <f>Table310286595105111112113114115116117118119120121[[#This Row],[*Price]]*Table310286595105111112113114115116117118119120121[[#This Row],[*Quantity]]</f>
        <v>0</v>
      </c>
    </row>
    <row r="128" spans="2:10" ht="26.25" customHeight="1" x14ac:dyDescent="0.25">
      <c r="B128" s="9"/>
      <c r="C128" s="9"/>
      <c r="D128" s="2" t="str">
        <f>_xlfn.IFNA(INDEX(Program!A:A,MATCH(Table310286595105111112113114115116117118119120121[[#This Row],[*Program Code]],Program!B:B,0)),"")</f>
        <v/>
      </c>
      <c r="F128" s="10"/>
      <c r="G128" s="9"/>
      <c r="H128" s="17"/>
      <c r="I128" s="15">
        <f>Table310286595105111112113114115116117118119120121[[#This Row],[*Price]]*Table310286595105111112113114115116117118119120121[[#This Row],[*Quantity]]</f>
        <v>0</v>
      </c>
    </row>
    <row r="129" spans="2:10" ht="26.25" customHeight="1" x14ac:dyDescent="0.25">
      <c r="B129" s="9"/>
      <c r="C129" s="9"/>
      <c r="D129" s="2" t="str">
        <f>_xlfn.IFNA(INDEX(Program!A:A,MATCH(Table310286595105111112113114115116117118119120121[[#This Row],[*Program Code]],Program!B:B,0)),"")</f>
        <v/>
      </c>
      <c r="F129" s="10"/>
      <c r="G129" s="9"/>
      <c r="H129" s="17"/>
      <c r="I129" s="15">
        <f>Table310286595105111112113114115116117118119120121[[#This Row],[*Price]]*Table310286595105111112113114115116117118119120121[[#This Row],[*Quantity]]</f>
        <v>0</v>
      </c>
    </row>
    <row r="130" spans="2:10" ht="26.25" customHeight="1" x14ac:dyDescent="0.25">
      <c r="B130" s="9"/>
      <c r="C130" s="9"/>
      <c r="D130" s="2" t="str">
        <f>_xlfn.IFNA(INDEX(Program!A:A,MATCH(Table310286595105111112113114115116117118119120121[[#This Row],[*Program Code]],Program!B:B,0)),"")</f>
        <v/>
      </c>
      <c r="F130" s="10"/>
      <c r="G130" s="9"/>
      <c r="H130" s="17"/>
      <c r="I130" s="15">
        <f>Table310286595105111112113114115116117118119120121[[#This Row],[*Price]]*Table310286595105111112113114115116117118119120121[[#This Row],[*Quantity]]</f>
        <v>0</v>
      </c>
    </row>
    <row r="131" spans="2:10" ht="26.25" customHeight="1" x14ac:dyDescent="0.25">
      <c r="B131" s="9"/>
      <c r="C131" s="9"/>
      <c r="D131" s="2" t="str">
        <f>_xlfn.IFNA(INDEX(Program!A:A,MATCH(Table310286595105111112113114115116117118119120121[[#This Row],[*Program Code]],Program!B:B,0)),"")</f>
        <v/>
      </c>
      <c r="F131" s="10"/>
      <c r="G131" s="9"/>
      <c r="H131" s="17"/>
      <c r="I131" s="15">
        <f>Table310286595105111112113114115116117118119120121[[#This Row],[*Price]]*Table310286595105111112113114115116117118119120121[[#This Row],[*Quantity]]</f>
        <v>0</v>
      </c>
    </row>
    <row r="132" spans="2:10" ht="26.25" customHeight="1" x14ac:dyDescent="0.25">
      <c r="B132" s="9"/>
      <c r="C132" s="9"/>
      <c r="D132" s="3" t="str">
        <f>_xlfn.IFNA(INDEX(Program!A:A,MATCH(Table310286595105111112113114115116117118119120121[[#This Row],[*Program Code]],Program!B:B,0)),"")</f>
        <v/>
      </c>
      <c r="F132" s="10"/>
      <c r="G132" s="9"/>
      <c r="H132" s="17"/>
      <c r="I132" s="15">
        <f>Table310286595105111112113114115116117118119120121[[#This Row],[*Price]]*Table310286595105111112113114115116117118119120121[[#This Row],[*Quantity]]</f>
        <v>0</v>
      </c>
    </row>
    <row r="133" spans="2:10" ht="26.25" customHeight="1" x14ac:dyDescent="0.25">
      <c r="B133" s="9"/>
      <c r="C133" s="9"/>
      <c r="D133" s="3" t="str">
        <f>_xlfn.IFNA(INDEX(Program!A:A,MATCH(Table310286595105111112113114115116117118119120121[[#This Row],[*Program Code]],Program!B:B,0)),"")</f>
        <v/>
      </c>
      <c r="F133" s="10"/>
      <c r="G133" s="9"/>
      <c r="H133" s="17"/>
      <c r="I133" s="15">
        <f>Table310286595105111112113114115116117118119120121[[#This Row],[*Price]]*Table310286595105111112113114115116117118119120121[[#This Row],[*Quantity]]</f>
        <v>0</v>
      </c>
    </row>
    <row r="134" spans="2:10" ht="26.25" customHeight="1" x14ac:dyDescent="0.25">
      <c r="B134" s="12" t="s">
        <v>5</v>
      </c>
      <c r="C134" s="13"/>
      <c r="D134" s="12"/>
      <c r="E134" s="12"/>
      <c r="F134" s="12"/>
      <c r="G134" s="12"/>
      <c r="H134" s="12"/>
      <c r="I134" s="14">
        <f>SUBTOTAL(109,Table310286595105111112113114115116117118119120121[Total Expenditure])</f>
        <v>0</v>
      </c>
      <c r="J134" s="12"/>
    </row>
    <row r="136" spans="2:10" ht="26.25" customHeight="1" x14ac:dyDescent="0.25">
      <c r="B136" s="4">
        <v>226013</v>
      </c>
      <c r="C136" s="5" t="s">
        <v>4416</v>
      </c>
      <c r="D136" s="6"/>
      <c r="E136" s="6"/>
      <c r="F136" s="16"/>
      <c r="G136" s="16"/>
      <c r="H136" s="16"/>
      <c r="I136" s="16"/>
      <c r="J136" s="16"/>
    </row>
    <row r="137" spans="2:10" ht="43.5" customHeight="1" x14ac:dyDescent="0.25">
      <c r="B137" s="8" t="s">
        <v>1</v>
      </c>
      <c r="C137" s="8" t="s">
        <v>4337</v>
      </c>
      <c r="D137" s="8" t="s">
        <v>2</v>
      </c>
      <c r="E137" s="8" t="s">
        <v>4453</v>
      </c>
      <c r="F137" s="8" t="s">
        <v>4368</v>
      </c>
      <c r="G137" s="8" t="s">
        <v>4344</v>
      </c>
      <c r="H137" s="8" t="s">
        <v>4464</v>
      </c>
      <c r="I137" s="8" t="s">
        <v>3</v>
      </c>
      <c r="J137" s="8" t="s">
        <v>4</v>
      </c>
    </row>
    <row r="138" spans="2:10" ht="26.25" customHeight="1" x14ac:dyDescent="0.25">
      <c r="B138" s="9"/>
      <c r="C138" s="9"/>
      <c r="D138" s="2" t="str">
        <f>_xlfn.IFNA(INDEX(Program!A:A,MATCH(Table310286595105111112113114115116117118119120121122[[#This Row],[*Program Code]],Program!B:B,0)),"")</f>
        <v/>
      </c>
      <c r="F138" s="10"/>
      <c r="G138" s="9"/>
      <c r="H138" s="17"/>
      <c r="I138" s="15">
        <f>Table310286595105111112113114115116117118119120121122[[#This Row],[*Price]]*Table310286595105111112113114115116117118119120121122[[#This Row],[*Quantity]]</f>
        <v>0</v>
      </c>
    </row>
    <row r="139" spans="2:10" ht="26.25" customHeight="1" x14ac:dyDescent="0.25">
      <c r="B139" s="9"/>
      <c r="C139" s="9"/>
      <c r="D139" s="2" t="str">
        <f>_xlfn.IFNA(INDEX(Program!A:A,MATCH(Table310286595105111112113114115116117118119120121122[[#This Row],[*Program Code]],Program!B:B,0)),"")</f>
        <v/>
      </c>
      <c r="F139" s="10"/>
      <c r="G139" s="9"/>
      <c r="H139" s="17"/>
      <c r="I139" s="15">
        <f>Table310286595105111112113114115116117118119120121122[[#This Row],[*Price]]*Table310286595105111112113114115116117118119120121122[[#This Row],[*Quantity]]</f>
        <v>0</v>
      </c>
    </row>
    <row r="140" spans="2:10" ht="26.25" customHeight="1" x14ac:dyDescent="0.25">
      <c r="B140" s="9"/>
      <c r="C140" s="9"/>
      <c r="D140" s="2" t="str">
        <f>_xlfn.IFNA(INDEX(Program!A:A,MATCH(Table310286595105111112113114115116117118119120121122[[#This Row],[*Program Code]],Program!B:B,0)),"")</f>
        <v/>
      </c>
      <c r="F140" s="10"/>
      <c r="G140" s="9"/>
      <c r="H140" s="17"/>
      <c r="I140" s="15">
        <f>Table310286595105111112113114115116117118119120121122[[#This Row],[*Price]]*Table310286595105111112113114115116117118119120121122[[#This Row],[*Quantity]]</f>
        <v>0</v>
      </c>
    </row>
    <row r="141" spans="2:10" ht="26.25" customHeight="1" x14ac:dyDescent="0.25">
      <c r="B141" s="9"/>
      <c r="C141" s="9"/>
      <c r="D141" s="2" t="str">
        <f>_xlfn.IFNA(INDEX(Program!A:A,MATCH(Table310286595105111112113114115116117118119120121122[[#This Row],[*Program Code]],Program!B:B,0)),"")</f>
        <v/>
      </c>
      <c r="F141" s="10"/>
      <c r="G141" s="9"/>
      <c r="H141" s="17"/>
      <c r="I141" s="15">
        <f>Table310286595105111112113114115116117118119120121122[[#This Row],[*Price]]*Table310286595105111112113114115116117118119120121122[[#This Row],[*Quantity]]</f>
        <v>0</v>
      </c>
    </row>
    <row r="142" spans="2:10" ht="26.25" customHeight="1" x14ac:dyDescent="0.25">
      <c r="B142" s="9"/>
      <c r="C142" s="9"/>
      <c r="D142" s="2" t="str">
        <f>_xlfn.IFNA(INDEX(Program!A:A,MATCH(Table310286595105111112113114115116117118119120121122[[#This Row],[*Program Code]],Program!B:B,0)),"")</f>
        <v/>
      </c>
      <c r="F142" s="10"/>
      <c r="G142" s="9"/>
      <c r="H142" s="17"/>
      <c r="I142" s="15">
        <f>Table310286595105111112113114115116117118119120121122[[#This Row],[*Price]]*Table310286595105111112113114115116117118119120121122[[#This Row],[*Quantity]]</f>
        <v>0</v>
      </c>
    </row>
    <row r="143" spans="2:10" ht="26.25" customHeight="1" x14ac:dyDescent="0.25">
      <c r="B143" s="9"/>
      <c r="C143" s="9"/>
      <c r="D143" s="3" t="str">
        <f>_xlfn.IFNA(INDEX(Program!A:A,MATCH(Table310286595105111112113114115116117118119120121122[[#This Row],[*Program Code]],Program!B:B,0)),"")</f>
        <v/>
      </c>
      <c r="F143" s="10"/>
      <c r="G143" s="9"/>
      <c r="H143" s="17"/>
      <c r="I143" s="15">
        <f>Table310286595105111112113114115116117118119120121122[[#This Row],[*Price]]*Table310286595105111112113114115116117118119120121122[[#This Row],[*Quantity]]</f>
        <v>0</v>
      </c>
    </row>
    <row r="144" spans="2:10" ht="26.25" customHeight="1" x14ac:dyDescent="0.25">
      <c r="B144" s="9"/>
      <c r="C144" s="9"/>
      <c r="D144" s="3" t="str">
        <f>_xlfn.IFNA(INDEX(Program!A:A,MATCH(Table310286595105111112113114115116117118119120121122[[#This Row],[*Program Code]],Program!B:B,0)),"")</f>
        <v/>
      </c>
      <c r="F144" s="10"/>
      <c r="G144" s="9"/>
      <c r="H144" s="17"/>
      <c r="I144" s="15">
        <f>Table310286595105111112113114115116117118119120121122[[#This Row],[*Price]]*Table310286595105111112113114115116117118119120121122[[#This Row],[*Quantity]]</f>
        <v>0</v>
      </c>
    </row>
    <row r="145" spans="2:10" ht="26.25" customHeight="1" x14ac:dyDescent="0.25">
      <c r="B145" s="12" t="s">
        <v>5</v>
      </c>
      <c r="C145" s="13"/>
      <c r="D145" s="12"/>
      <c r="E145" s="12"/>
      <c r="F145" s="12"/>
      <c r="G145" s="12"/>
      <c r="H145" s="12"/>
      <c r="I145" s="14">
        <f>SUBTOTAL(109,Table310286595105111112113114115116117118119120121122[Total Expenditure])</f>
        <v>0</v>
      </c>
      <c r="J145" s="12"/>
    </row>
    <row r="147" spans="2:10" ht="26.25" customHeight="1" x14ac:dyDescent="0.25">
      <c r="B147" s="4">
        <v>226014</v>
      </c>
      <c r="C147" s="5" t="s">
        <v>4417</v>
      </c>
      <c r="D147" s="6"/>
      <c r="E147" s="6"/>
      <c r="F147" s="16"/>
      <c r="G147" s="16"/>
      <c r="H147" s="16"/>
      <c r="I147" s="16"/>
      <c r="J147" s="16"/>
    </row>
    <row r="148" spans="2:10" ht="43.5" customHeight="1" x14ac:dyDescent="0.25">
      <c r="B148" s="8" t="s">
        <v>1</v>
      </c>
      <c r="C148" s="8" t="s">
        <v>4337</v>
      </c>
      <c r="D148" s="8" t="s">
        <v>2</v>
      </c>
      <c r="E148" s="8" t="s">
        <v>4453</v>
      </c>
      <c r="F148" s="8" t="s">
        <v>4368</v>
      </c>
      <c r="G148" s="8" t="s">
        <v>4344</v>
      </c>
      <c r="H148" s="8" t="s">
        <v>4464</v>
      </c>
      <c r="I148" s="8" t="s">
        <v>3</v>
      </c>
      <c r="J148" s="8" t="s">
        <v>4</v>
      </c>
    </row>
    <row r="149" spans="2:10" ht="26.25" customHeight="1" x14ac:dyDescent="0.25">
      <c r="B149" s="9"/>
      <c r="C149" s="9"/>
      <c r="D149" s="2" t="str">
        <f>_xlfn.IFNA(INDEX(Program!A:A,MATCH(Table310286595105111112113114115116117118119120121122123[[#This Row],[*Program Code]],Program!B:B,0)),"")</f>
        <v/>
      </c>
      <c r="F149" s="10"/>
      <c r="G149" s="9"/>
      <c r="H149" s="17"/>
      <c r="I149" s="15">
        <f>Table310286595105111112113114115116117118119120121122123[[#This Row],[*Price]]*Table310286595105111112113114115116117118119120121122123[[#This Row],[*Quantity]]</f>
        <v>0</v>
      </c>
    </row>
    <row r="150" spans="2:10" ht="26.25" customHeight="1" x14ac:dyDescent="0.25">
      <c r="B150" s="9"/>
      <c r="C150" s="9"/>
      <c r="D150" s="2" t="str">
        <f>_xlfn.IFNA(INDEX(Program!A:A,MATCH(Table310286595105111112113114115116117118119120121122123[[#This Row],[*Program Code]],Program!B:B,0)),"")</f>
        <v/>
      </c>
      <c r="F150" s="10"/>
      <c r="G150" s="9"/>
      <c r="H150" s="17"/>
      <c r="I150" s="15">
        <f>Table310286595105111112113114115116117118119120121122123[[#This Row],[*Price]]*Table310286595105111112113114115116117118119120121122123[[#This Row],[*Quantity]]</f>
        <v>0</v>
      </c>
    </row>
    <row r="151" spans="2:10" ht="26.25" customHeight="1" x14ac:dyDescent="0.25">
      <c r="B151" s="9"/>
      <c r="C151" s="9"/>
      <c r="D151" s="2" t="str">
        <f>_xlfn.IFNA(INDEX(Program!A:A,MATCH(Table310286595105111112113114115116117118119120121122123[[#This Row],[*Program Code]],Program!B:B,0)),"")</f>
        <v/>
      </c>
      <c r="F151" s="10"/>
      <c r="G151" s="9"/>
      <c r="H151" s="17"/>
      <c r="I151" s="15">
        <f>Table310286595105111112113114115116117118119120121122123[[#This Row],[*Price]]*Table310286595105111112113114115116117118119120121122123[[#This Row],[*Quantity]]</f>
        <v>0</v>
      </c>
    </row>
    <row r="152" spans="2:10" ht="26.25" customHeight="1" x14ac:dyDescent="0.25">
      <c r="B152" s="9"/>
      <c r="C152" s="9"/>
      <c r="D152" s="2" t="str">
        <f>_xlfn.IFNA(INDEX(Program!A:A,MATCH(Table310286595105111112113114115116117118119120121122123[[#This Row],[*Program Code]],Program!B:B,0)),"")</f>
        <v/>
      </c>
      <c r="F152" s="10"/>
      <c r="G152" s="9"/>
      <c r="H152" s="17"/>
      <c r="I152" s="15">
        <f>Table310286595105111112113114115116117118119120121122123[[#This Row],[*Price]]*Table310286595105111112113114115116117118119120121122123[[#This Row],[*Quantity]]</f>
        <v>0</v>
      </c>
    </row>
    <row r="153" spans="2:10" ht="26.25" customHeight="1" x14ac:dyDescent="0.25">
      <c r="B153" s="9"/>
      <c r="C153" s="9"/>
      <c r="D153" s="2" t="str">
        <f>_xlfn.IFNA(INDEX(Program!A:A,MATCH(Table310286595105111112113114115116117118119120121122123[[#This Row],[*Program Code]],Program!B:B,0)),"")</f>
        <v/>
      </c>
      <c r="F153" s="10"/>
      <c r="G153" s="9"/>
      <c r="H153" s="17"/>
      <c r="I153" s="15">
        <f>Table310286595105111112113114115116117118119120121122123[[#This Row],[*Price]]*Table310286595105111112113114115116117118119120121122123[[#This Row],[*Quantity]]</f>
        <v>0</v>
      </c>
    </row>
    <row r="154" spans="2:10" ht="26.25" customHeight="1" x14ac:dyDescent="0.25">
      <c r="B154" s="9"/>
      <c r="C154" s="9"/>
      <c r="D154" s="3" t="str">
        <f>_xlfn.IFNA(INDEX(Program!A:A,MATCH(Table310286595105111112113114115116117118119120121122123[[#This Row],[*Program Code]],Program!B:B,0)),"")</f>
        <v/>
      </c>
      <c r="F154" s="10"/>
      <c r="G154" s="9"/>
      <c r="H154" s="17"/>
      <c r="I154" s="15">
        <f>Table310286595105111112113114115116117118119120121122123[[#This Row],[*Price]]*Table310286595105111112113114115116117118119120121122123[[#This Row],[*Quantity]]</f>
        <v>0</v>
      </c>
    </row>
    <row r="155" spans="2:10" ht="26.25" customHeight="1" x14ac:dyDescent="0.25">
      <c r="B155" s="9"/>
      <c r="C155" s="9"/>
      <c r="D155" s="3" t="str">
        <f>_xlfn.IFNA(INDEX(Program!A:A,MATCH(Table310286595105111112113114115116117118119120121122123[[#This Row],[*Program Code]],Program!B:B,0)),"")</f>
        <v/>
      </c>
      <c r="F155" s="10"/>
      <c r="G155" s="9"/>
      <c r="H155" s="17"/>
      <c r="I155" s="15">
        <f>Table310286595105111112113114115116117118119120121122123[[#This Row],[*Price]]*Table310286595105111112113114115116117118119120121122123[[#This Row],[*Quantity]]</f>
        <v>0</v>
      </c>
    </row>
    <row r="156" spans="2:10" ht="26.25" customHeight="1" x14ac:dyDescent="0.25">
      <c r="B156" s="12" t="s">
        <v>5</v>
      </c>
      <c r="C156" s="13"/>
      <c r="D156" s="12"/>
      <c r="E156" s="12"/>
      <c r="F156" s="12"/>
      <c r="G156" s="12"/>
      <c r="H156" s="12"/>
      <c r="I156" s="14">
        <f>SUBTOTAL(109,Table310286595105111112113114115116117118119120121122123[Total Expenditure])</f>
        <v>0</v>
      </c>
      <c r="J156" s="12"/>
    </row>
    <row r="158" spans="2:10" ht="26.25" customHeight="1" x14ac:dyDescent="0.25">
      <c r="B158" s="4">
        <v>226015</v>
      </c>
      <c r="C158" s="5" t="s">
        <v>4418</v>
      </c>
      <c r="D158" s="6"/>
      <c r="E158" s="6"/>
      <c r="F158" s="16"/>
      <c r="G158" s="16"/>
      <c r="H158" s="16"/>
      <c r="I158" s="16"/>
      <c r="J158" s="16"/>
    </row>
    <row r="159" spans="2:10" ht="43.5" customHeight="1" x14ac:dyDescent="0.25">
      <c r="B159" s="8" t="s">
        <v>1</v>
      </c>
      <c r="C159" s="8" t="s">
        <v>4337</v>
      </c>
      <c r="D159" s="8" t="s">
        <v>2</v>
      </c>
      <c r="E159" s="8" t="s">
        <v>4453</v>
      </c>
      <c r="F159" s="8" t="s">
        <v>4368</v>
      </c>
      <c r="G159" s="8" t="s">
        <v>4344</v>
      </c>
      <c r="H159" s="8" t="s">
        <v>4464</v>
      </c>
      <c r="I159" s="8" t="s">
        <v>3</v>
      </c>
      <c r="J159" s="8" t="s">
        <v>4</v>
      </c>
    </row>
    <row r="160" spans="2:10" ht="26.25" customHeight="1" x14ac:dyDescent="0.25">
      <c r="B160" s="9"/>
      <c r="C160" s="9"/>
      <c r="D160" s="2" t="str">
        <f>_xlfn.IFNA(INDEX(Program!A:A,MATCH(Table310286595105111112113114115116117118119120121122123124[[#This Row],[*Program Code]],Program!B:B,0)),"")</f>
        <v/>
      </c>
      <c r="F160" s="10"/>
      <c r="G160" s="9"/>
      <c r="H160" s="17"/>
      <c r="I160" s="15">
        <f>Table310286595105111112113114115116117118119120121122123124[[#This Row],[*Price]]*Table310286595105111112113114115116117118119120121122123124[[#This Row],[*Quantity]]</f>
        <v>0</v>
      </c>
    </row>
    <row r="161" spans="2:10" ht="26.25" customHeight="1" x14ac:dyDescent="0.25">
      <c r="B161" s="9"/>
      <c r="C161" s="9"/>
      <c r="D161" s="2" t="str">
        <f>_xlfn.IFNA(INDEX(Program!A:A,MATCH(Table310286595105111112113114115116117118119120121122123124[[#This Row],[*Program Code]],Program!B:B,0)),"")</f>
        <v/>
      </c>
      <c r="F161" s="10"/>
      <c r="G161" s="9"/>
      <c r="H161" s="17"/>
      <c r="I161" s="15">
        <f>Table310286595105111112113114115116117118119120121122123124[[#This Row],[*Price]]*Table310286595105111112113114115116117118119120121122123124[[#This Row],[*Quantity]]</f>
        <v>0</v>
      </c>
    </row>
    <row r="162" spans="2:10" ht="26.25" customHeight="1" x14ac:dyDescent="0.25">
      <c r="B162" s="9"/>
      <c r="C162" s="9"/>
      <c r="D162" s="2" t="str">
        <f>_xlfn.IFNA(INDEX(Program!A:A,MATCH(Table310286595105111112113114115116117118119120121122123124[[#This Row],[*Program Code]],Program!B:B,0)),"")</f>
        <v/>
      </c>
      <c r="F162" s="10"/>
      <c r="G162" s="9"/>
      <c r="H162" s="17"/>
      <c r="I162" s="15">
        <f>Table310286595105111112113114115116117118119120121122123124[[#This Row],[*Price]]*Table310286595105111112113114115116117118119120121122123124[[#This Row],[*Quantity]]</f>
        <v>0</v>
      </c>
    </row>
    <row r="163" spans="2:10" ht="26.25" customHeight="1" x14ac:dyDescent="0.25">
      <c r="B163" s="9"/>
      <c r="C163" s="9"/>
      <c r="D163" s="2" t="str">
        <f>_xlfn.IFNA(INDEX(Program!A:A,MATCH(Table310286595105111112113114115116117118119120121122123124[[#This Row],[*Program Code]],Program!B:B,0)),"")</f>
        <v/>
      </c>
      <c r="F163" s="10"/>
      <c r="G163" s="9"/>
      <c r="H163" s="17"/>
      <c r="I163" s="15">
        <f>Table310286595105111112113114115116117118119120121122123124[[#This Row],[*Price]]*Table310286595105111112113114115116117118119120121122123124[[#This Row],[*Quantity]]</f>
        <v>0</v>
      </c>
    </row>
    <row r="164" spans="2:10" ht="26.25" customHeight="1" x14ac:dyDescent="0.25">
      <c r="B164" s="9"/>
      <c r="C164" s="9"/>
      <c r="D164" s="2" t="str">
        <f>_xlfn.IFNA(INDEX(Program!A:A,MATCH(Table310286595105111112113114115116117118119120121122123124[[#This Row],[*Program Code]],Program!B:B,0)),"")</f>
        <v/>
      </c>
      <c r="F164" s="10"/>
      <c r="G164" s="9"/>
      <c r="H164" s="17"/>
      <c r="I164" s="15">
        <f>Table310286595105111112113114115116117118119120121122123124[[#This Row],[*Price]]*Table310286595105111112113114115116117118119120121122123124[[#This Row],[*Quantity]]</f>
        <v>0</v>
      </c>
    </row>
    <row r="165" spans="2:10" ht="26.25" customHeight="1" x14ac:dyDescent="0.25">
      <c r="B165" s="9"/>
      <c r="C165" s="9"/>
      <c r="D165" s="3" t="str">
        <f>_xlfn.IFNA(INDEX(Program!A:A,MATCH(Table310286595105111112113114115116117118119120121122123124[[#This Row],[*Program Code]],Program!B:B,0)),"")</f>
        <v/>
      </c>
      <c r="F165" s="10"/>
      <c r="G165" s="9"/>
      <c r="H165" s="17"/>
      <c r="I165" s="15">
        <f>Table310286595105111112113114115116117118119120121122123124[[#This Row],[*Price]]*Table310286595105111112113114115116117118119120121122123124[[#This Row],[*Quantity]]</f>
        <v>0</v>
      </c>
    </row>
    <row r="166" spans="2:10" ht="26.25" customHeight="1" x14ac:dyDescent="0.25">
      <c r="B166" s="9"/>
      <c r="C166" s="9"/>
      <c r="D166" s="3" t="str">
        <f>_xlfn.IFNA(INDEX(Program!A:A,MATCH(Table310286595105111112113114115116117118119120121122123124[[#This Row],[*Program Code]],Program!B:B,0)),"")</f>
        <v/>
      </c>
      <c r="F166" s="10"/>
      <c r="G166" s="9"/>
      <c r="H166" s="17"/>
      <c r="I166" s="15">
        <f>Table310286595105111112113114115116117118119120121122123124[[#This Row],[*Price]]*Table310286595105111112113114115116117118119120121122123124[[#This Row],[*Quantity]]</f>
        <v>0</v>
      </c>
    </row>
    <row r="167" spans="2:10" ht="26.25" customHeight="1" x14ac:dyDescent="0.25">
      <c r="B167" s="12" t="s">
        <v>5</v>
      </c>
      <c r="C167" s="13"/>
      <c r="D167" s="12"/>
      <c r="E167" s="12"/>
      <c r="F167" s="12"/>
      <c r="G167" s="12"/>
      <c r="H167" s="12"/>
      <c r="I167" s="14">
        <f>SUBTOTAL(109,Table310286595105111112113114115116117118119120121122123124[Total Expenditure])</f>
        <v>0</v>
      </c>
      <c r="J167" s="12"/>
    </row>
    <row r="169" spans="2:10" ht="26.25" customHeight="1" x14ac:dyDescent="0.25">
      <c r="B169" s="4">
        <v>226016</v>
      </c>
      <c r="C169" s="5" t="s">
        <v>4419</v>
      </c>
      <c r="D169" s="6"/>
      <c r="E169" s="6"/>
      <c r="F169" s="16"/>
      <c r="G169" s="16"/>
      <c r="H169" s="16"/>
      <c r="I169" s="16"/>
      <c r="J169" s="16"/>
    </row>
    <row r="170" spans="2:10" ht="43.5" customHeight="1" x14ac:dyDescent="0.25">
      <c r="B170" s="8" t="s">
        <v>1</v>
      </c>
      <c r="C170" s="8" t="s">
        <v>4337</v>
      </c>
      <c r="D170" s="8" t="s">
        <v>2</v>
      </c>
      <c r="E170" s="8" t="s">
        <v>4453</v>
      </c>
      <c r="F170" s="8" t="s">
        <v>4368</v>
      </c>
      <c r="G170" s="8" t="s">
        <v>4344</v>
      </c>
      <c r="H170" s="8" t="s">
        <v>4464</v>
      </c>
      <c r="I170" s="8" t="s">
        <v>3</v>
      </c>
      <c r="J170" s="8" t="s">
        <v>4</v>
      </c>
    </row>
    <row r="171" spans="2:10" ht="26.25" customHeight="1" x14ac:dyDescent="0.25">
      <c r="B171" s="9"/>
      <c r="C171" s="9"/>
      <c r="D171" s="2" t="str">
        <f>_xlfn.IFNA(INDEX(Program!A:A,MATCH(Table310286595105111112113114115116117118119120121122123124125[[#This Row],[*Program Code]],Program!B:B,0)),"")</f>
        <v/>
      </c>
      <c r="F171" s="10"/>
      <c r="G171" s="9"/>
      <c r="H171" s="17"/>
      <c r="I171" s="15">
        <f>Table310286595105111112113114115116117118119120121122123124125[[#This Row],[*Price]]*Table310286595105111112113114115116117118119120121122123124125[[#This Row],[*Quantity]]</f>
        <v>0</v>
      </c>
    </row>
    <row r="172" spans="2:10" ht="26.25" customHeight="1" x14ac:dyDescent="0.25">
      <c r="B172" s="9"/>
      <c r="C172" s="9"/>
      <c r="D172" s="2" t="str">
        <f>_xlfn.IFNA(INDEX(Program!A:A,MATCH(Table310286595105111112113114115116117118119120121122123124125[[#This Row],[*Program Code]],Program!B:B,0)),"")</f>
        <v/>
      </c>
      <c r="F172" s="10"/>
      <c r="G172" s="9"/>
      <c r="H172" s="17"/>
      <c r="I172" s="15">
        <f>Table310286595105111112113114115116117118119120121122123124125[[#This Row],[*Price]]*Table310286595105111112113114115116117118119120121122123124125[[#This Row],[*Quantity]]</f>
        <v>0</v>
      </c>
    </row>
    <row r="173" spans="2:10" ht="26.25" customHeight="1" x14ac:dyDescent="0.25">
      <c r="B173" s="9"/>
      <c r="C173" s="9"/>
      <c r="D173" s="2" t="str">
        <f>_xlfn.IFNA(INDEX(Program!A:A,MATCH(Table310286595105111112113114115116117118119120121122123124125[[#This Row],[*Program Code]],Program!B:B,0)),"")</f>
        <v/>
      </c>
      <c r="F173" s="10"/>
      <c r="G173" s="9"/>
      <c r="H173" s="17"/>
      <c r="I173" s="15">
        <f>Table310286595105111112113114115116117118119120121122123124125[[#This Row],[*Price]]*Table310286595105111112113114115116117118119120121122123124125[[#This Row],[*Quantity]]</f>
        <v>0</v>
      </c>
    </row>
    <row r="174" spans="2:10" ht="26.25" customHeight="1" x14ac:dyDescent="0.25">
      <c r="B174" s="9"/>
      <c r="C174" s="9"/>
      <c r="D174" s="2" t="str">
        <f>_xlfn.IFNA(INDEX(Program!A:A,MATCH(Table310286595105111112113114115116117118119120121122123124125[[#This Row],[*Program Code]],Program!B:B,0)),"")</f>
        <v/>
      </c>
      <c r="F174" s="10"/>
      <c r="G174" s="9"/>
      <c r="H174" s="17"/>
      <c r="I174" s="15">
        <f>Table310286595105111112113114115116117118119120121122123124125[[#This Row],[*Price]]*Table310286595105111112113114115116117118119120121122123124125[[#This Row],[*Quantity]]</f>
        <v>0</v>
      </c>
    </row>
    <row r="175" spans="2:10" ht="26.25" customHeight="1" x14ac:dyDescent="0.25">
      <c r="B175" s="9"/>
      <c r="C175" s="9"/>
      <c r="D175" s="2" t="str">
        <f>_xlfn.IFNA(INDEX(Program!A:A,MATCH(Table310286595105111112113114115116117118119120121122123124125[[#This Row],[*Program Code]],Program!B:B,0)),"")</f>
        <v/>
      </c>
      <c r="F175" s="10"/>
      <c r="G175" s="9"/>
      <c r="H175" s="17"/>
      <c r="I175" s="15">
        <f>Table310286595105111112113114115116117118119120121122123124125[[#This Row],[*Price]]*Table310286595105111112113114115116117118119120121122123124125[[#This Row],[*Quantity]]</f>
        <v>0</v>
      </c>
    </row>
    <row r="176" spans="2:10" ht="26.25" customHeight="1" x14ac:dyDescent="0.25">
      <c r="B176" s="9"/>
      <c r="C176" s="9"/>
      <c r="D176" s="3" t="str">
        <f>_xlfn.IFNA(INDEX(Program!A:A,MATCH(Table310286595105111112113114115116117118119120121122123124125[[#This Row],[*Program Code]],Program!B:B,0)),"")</f>
        <v/>
      </c>
      <c r="F176" s="10"/>
      <c r="G176" s="9"/>
      <c r="H176" s="17"/>
      <c r="I176" s="15">
        <f>Table310286595105111112113114115116117118119120121122123124125[[#This Row],[*Price]]*Table310286595105111112113114115116117118119120121122123124125[[#This Row],[*Quantity]]</f>
        <v>0</v>
      </c>
    </row>
    <row r="177" spans="2:10" ht="26.25" customHeight="1" x14ac:dyDescent="0.25">
      <c r="B177" s="9"/>
      <c r="C177" s="9"/>
      <c r="D177" s="3" t="str">
        <f>_xlfn.IFNA(INDEX(Program!A:A,MATCH(Table310286595105111112113114115116117118119120121122123124125[[#This Row],[*Program Code]],Program!B:B,0)),"")</f>
        <v/>
      </c>
      <c r="F177" s="10"/>
      <c r="G177" s="9"/>
      <c r="H177" s="17"/>
      <c r="I177" s="15">
        <f>Table310286595105111112113114115116117118119120121122123124125[[#This Row],[*Price]]*Table310286595105111112113114115116117118119120121122123124125[[#This Row],[*Quantity]]</f>
        <v>0</v>
      </c>
    </row>
    <row r="178" spans="2:10" ht="26.25" customHeight="1" x14ac:dyDescent="0.25">
      <c r="B178" s="12" t="s">
        <v>5</v>
      </c>
      <c r="C178" s="13"/>
      <c r="D178" s="12"/>
      <c r="E178" s="12"/>
      <c r="F178" s="12"/>
      <c r="G178" s="12"/>
      <c r="H178" s="12"/>
      <c r="I178" s="14">
        <f>SUBTOTAL(109,Table310286595105111112113114115116117118119120121122123124125[Total Expenditure])</f>
        <v>0</v>
      </c>
      <c r="J178" s="12"/>
    </row>
    <row r="180" spans="2:10" ht="26.25" customHeight="1" x14ac:dyDescent="0.25">
      <c r="B180" s="4">
        <v>226017</v>
      </c>
      <c r="C180" s="5" t="s">
        <v>4420</v>
      </c>
      <c r="D180" s="6"/>
      <c r="E180" s="6"/>
      <c r="F180" s="16"/>
      <c r="G180" s="16"/>
      <c r="H180" s="16"/>
      <c r="I180" s="16"/>
      <c r="J180" s="16"/>
    </row>
    <row r="181" spans="2:10" ht="43.5" customHeight="1" x14ac:dyDescent="0.25">
      <c r="B181" s="8" t="s">
        <v>1</v>
      </c>
      <c r="C181" s="8" t="s">
        <v>4337</v>
      </c>
      <c r="D181" s="8" t="s">
        <v>2</v>
      </c>
      <c r="E181" s="8" t="s">
        <v>4453</v>
      </c>
      <c r="F181" s="8" t="s">
        <v>4368</v>
      </c>
      <c r="G181" s="8" t="s">
        <v>4344</v>
      </c>
      <c r="H181" s="8" t="s">
        <v>4464</v>
      </c>
      <c r="I181" s="8" t="s">
        <v>3</v>
      </c>
      <c r="J181" s="8" t="s">
        <v>4</v>
      </c>
    </row>
    <row r="182" spans="2:10" ht="26.25" customHeight="1" x14ac:dyDescent="0.25">
      <c r="B182" s="9"/>
      <c r="C182" s="9"/>
      <c r="D182" s="2" t="str">
        <f>_xlfn.IFNA(INDEX(Program!A:A,MATCH(Table310286595105111112113114115116117118119120121122123124125126[[#This Row],[*Program Code]],Program!B:B,0)),"")</f>
        <v/>
      </c>
      <c r="F182" s="10"/>
      <c r="G182" s="9"/>
      <c r="H182" s="17"/>
      <c r="I182" s="15">
        <f>Table310286595105111112113114115116117118119120121122123124125126[[#This Row],[*Price]]*Table310286595105111112113114115116117118119120121122123124125126[[#This Row],[*Quantity]]</f>
        <v>0</v>
      </c>
    </row>
    <row r="183" spans="2:10" ht="26.25" customHeight="1" x14ac:dyDescent="0.25">
      <c r="B183" s="9"/>
      <c r="C183" s="9"/>
      <c r="D183" s="2" t="str">
        <f>_xlfn.IFNA(INDEX(Program!A:A,MATCH(Table310286595105111112113114115116117118119120121122123124125126[[#This Row],[*Program Code]],Program!B:B,0)),"")</f>
        <v/>
      </c>
      <c r="F183" s="10"/>
      <c r="G183" s="9"/>
      <c r="H183" s="17"/>
      <c r="I183" s="15">
        <f>Table310286595105111112113114115116117118119120121122123124125126[[#This Row],[*Price]]*Table310286595105111112113114115116117118119120121122123124125126[[#This Row],[*Quantity]]</f>
        <v>0</v>
      </c>
    </row>
    <row r="184" spans="2:10" ht="26.25" customHeight="1" x14ac:dyDescent="0.25">
      <c r="B184" s="9"/>
      <c r="C184" s="9"/>
      <c r="D184" s="2" t="str">
        <f>_xlfn.IFNA(INDEX(Program!A:A,MATCH(Table310286595105111112113114115116117118119120121122123124125126[[#This Row],[*Program Code]],Program!B:B,0)),"")</f>
        <v/>
      </c>
      <c r="F184" s="10"/>
      <c r="G184" s="9"/>
      <c r="H184" s="17"/>
      <c r="I184" s="15">
        <f>Table310286595105111112113114115116117118119120121122123124125126[[#This Row],[*Price]]*Table310286595105111112113114115116117118119120121122123124125126[[#This Row],[*Quantity]]</f>
        <v>0</v>
      </c>
    </row>
    <row r="185" spans="2:10" ht="26.25" customHeight="1" x14ac:dyDescent="0.25">
      <c r="B185" s="9"/>
      <c r="C185" s="9"/>
      <c r="D185" s="2" t="str">
        <f>_xlfn.IFNA(INDEX(Program!A:A,MATCH(Table310286595105111112113114115116117118119120121122123124125126[[#This Row],[*Program Code]],Program!B:B,0)),"")</f>
        <v/>
      </c>
      <c r="F185" s="10"/>
      <c r="G185" s="9"/>
      <c r="H185" s="17"/>
      <c r="I185" s="15">
        <f>Table310286595105111112113114115116117118119120121122123124125126[[#This Row],[*Price]]*Table310286595105111112113114115116117118119120121122123124125126[[#This Row],[*Quantity]]</f>
        <v>0</v>
      </c>
    </row>
    <row r="186" spans="2:10" ht="26.25" customHeight="1" x14ac:dyDescent="0.25">
      <c r="B186" s="9"/>
      <c r="C186" s="9"/>
      <c r="D186" s="2" t="str">
        <f>_xlfn.IFNA(INDEX(Program!A:A,MATCH(Table310286595105111112113114115116117118119120121122123124125126[[#This Row],[*Program Code]],Program!B:B,0)),"")</f>
        <v/>
      </c>
      <c r="F186" s="10"/>
      <c r="G186" s="9"/>
      <c r="H186" s="17"/>
      <c r="I186" s="15">
        <f>Table310286595105111112113114115116117118119120121122123124125126[[#This Row],[*Price]]*Table310286595105111112113114115116117118119120121122123124125126[[#This Row],[*Quantity]]</f>
        <v>0</v>
      </c>
    </row>
    <row r="187" spans="2:10" ht="26.25" customHeight="1" x14ac:dyDescent="0.25">
      <c r="B187" s="9"/>
      <c r="C187" s="9"/>
      <c r="D187" s="3" t="str">
        <f>_xlfn.IFNA(INDEX(Program!A:A,MATCH(Table310286595105111112113114115116117118119120121122123124125126[[#This Row],[*Program Code]],Program!B:B,0)),"")</f>
        <v/>
      </c>
      <c r="F187" s="10"/>
      <c r="G187" s="9"/>
      <c r="H187" s="17"/>
      <c r="I187" s="15">
        <f>Table310286595105111112113114115116117118119120121122123124125126[[#This Row],[*Price]]*Table310286595105111112113114115116117118119120121122123124125126[[#This Row],[*Quantity]]</f>
        <v>0</v>
      </c>
    </row>
    <row r="188" spans="2:10" ht="26.25" customHeight="1" x14ac:dyDescent="0.25">
      <c r="B188" s="9"/>
      <c r="C188" s="9"/>
      <c r="D188" s="3" t="str">
        <f>_xlfn.IFNA(INDEX(Program!A:A,MATCH(Table310286595105111112113114115116117118119120121122123124125126[[#This Row],[*Program Code]],Program!B:B,0)),"")</f>
        <v/>
      </c>
      <c r="F188" s="10"/>
      <c r="G188" s="9"/>
      <c r="H188" s="17"/>
      <c r="I188" s="15">
        <f>Table310286595105111112113114115116117118119120121122123124125126[[#This Row],[*Price]]*Table310286595105111112113114115116117118119120121122123124125126[[#This Row],[*Quantity]]</f>
        <v>0</v>
      </c>
    </row>
    <row r="189" spans="2:10" ht="26.25" customHeight="1" x14ac:dyDescent="0.25">
      <c r="B189" s="12" t="s">
        <v>5</v>
      </c>
      <c r="C189" s="13"/>
      <c r="D189" s="12"/>
      <c r="E189" s="12"/>
      <c r="F189" s="12"/>
      <c r="G189" s="12"/>
      <c r="H189" s="12"/>
      <c r="I189" s="14">
        <f>SUBTOTAL(109,Table310286595105111112113114115116117118119120121122123124125126[Total Expenditure])</f>
        <v>0</v>
      </c>
      <c r="J189" s="12"/>
    </row>
    <row r="191" spans="2:10" ht="26.25" customHeight="1" x14ac:dyDescent="0.25">
      <c r="B191" s="4">
        <v>226018</v>
      </c>
      <c r="C191" s="5" t="s">
        <v>4421</v>
      </c>
      <c r="D191" s="6"/>
      <c r="E191" s="6"/>
      <c r="F191" s="16"/>
      <c r="G191" s="16"/>
      <c r="H191" s="16"/>
      <c r="I191" s="16"/>
      <c r="J191" s="16"/>
    </row>
    <row r="192" spans="2:10" ht="43.5" customHeight="1" x14ac:dyDescent="0.25">
      <c r="B192" s="8" t="s">
        <v>1</v>
      </c>
      <c r="C192" s="8" t="s">
        <v>4337</v>
      </c>
      <c r="D192" s="8" t="s">
        <v>2</v>
      </c>
      <c r="E192" s="8" t="s">
        <v>4453</v>
      </c>
      <c r="F192" s="8" t="s">
        <v>4368</v>
      </c>
      <c r="G192" s="8" t="s">
        <v>4344</v>
      </c>
      <c r="H192" s="8" t="s">
        <v>4464</v>
      </c>
      <c r="I192" s="8" t="s">
        <v>3</v>
      </c>
      <c r="J192" s="8" t="s">
        <v>4</v>
      </c>
    </row>
    <row r="193" spans="2:10" ht="26.25" customHeight="1" x14ac:dyDescent="0.25">
      <c r="B193" s="9"/>
      <c r="C193" s="9"/>
      <c r="D193" s="2" t="str">
        <f>_xlfn.IFNA(INDEX(Program!A:A,MATCH(Table310286595105111112113114115116117118119120121122123124125126127[[#This Row],[*Program Code]],Program!B:B,0)),"")</f>
        <v/>
      </c>
      <c r="F193" s="10"/>
      <c r="G193" s="9"/>
      <c r="H193" s="17"/>
      <c r="I193" s="15">
        <f>Table310286595105111112113114115116117118119120121122123124125126127[[#This Row],[*Price]]*Table310286595105111112113114115116117118119120121122123124125126127[[#This Row],[*Quantity]]</f>
        <v>0</v>
      </c>
    </row>
    <row r="194" spans="2:10" ht="26.25" customHeight="1" x14ac:dyDescent="0.25">
      <c r="B194" s="9"/>
      <c r="C194" s="9"/>
      <c r="D194" s="2" t="str">
        <f>_xlfn.IFNA(INDEX(Program!A:A,MATCH(Table310286595105111112113114115116117118119120121122123124125126127[[#This Row],[*Program Code]],Program!B:B,0)),"")</f>
        <v/>
      </c>
      <c r="F194" s="10"/>
      <c r="G194" s="9"/>
      <c r="H194" s="17"/>
      <c r="I194" s="15">
        <f>Table310286595105111112113114115116117118119120121122123124125126127[[#This Row],[*Price]]*Table310286595105111112113114115116117118119120121122123124125126127[[#This Row],[*Quantity]]</f>
        <v>0</v>
      </c>
    </row>
    <row r="195" spans="2:10" ht="26.25" customHeight="1" x14ac:dyDescent="0.25">
      <c r="B195" s="9"/>
      <c r="C195" s="9"/>
      <c r="D195" s="2" t="str">
        <f>_xlfn.IFNA(INDEX(Program!A:A,MATCH(Table310286595105111112113114115116117118119120121122123124125126127[[#This Row],[*Program Code]],Program!B:B,0)),"")</f>
        <v/>
      </c>
      <c r="F195" s="10"/>
      <c r="G195" s="9"/>
      <c r="H195" s="17"/>
      <c r="I195" s="15">
        <f>Table310286595105111112113114115116117118119120121122123124125126127[[#This Row],[*Price]]*Table310286595105111112113114115116117118119120121122123124125126127[[#This Row],[*Quantity]]</f>
        <v>0</v>
      </c>
    </row>
    <row r="196" spans="2:10" ht="26.25" customHeight="1" x14ac:dyDescent="0.25">
      <c r="B196" s="9"/>
      <c r="C196" s="9"/>
      <c r="D196" s="2" t="str">
        <f>_xlfn.IFNA(INDEX(Program!A:A,MATCH(Table310286595105111112113114115116117118119120121122123124125126127[[#This Row],[*Program Code]],Program!B:B,0)),"")</f>
        <v/>
      </c>
      <c r="F196" s="10"/>
      <c r="G196" s="9"/>
      <c r="H196" s="17"/>
      <c r="I196" s="15">
        <f>Table310286595105111112113114115116117118119120121122123124125126127[[#This Row],[*Price]]*Table310286595105111112113114115116117118119120121122123124125126127[[#This Row],[*Quantity]]</f>
        <v>0</v>
      </c>
    </row>
    <row r="197" spans="2:10" ht="26.25" customHeight="1" x14ac:dyDescent="0.25">
      <c r="B197" s="9"/>
      <c r="C197" s="9"/>
      <c r="D197" s="2" t="str">
        <f>_xlfn.IFNA(INDEX(Program!A:A,MATCH(Table310286595105111112113114115116117118119120121122123124125126127[[#This Row],[*Program Code]],Program!B:B,0)),"")</f>
        <v/>
      </c>
      <c r="F197" s="10"/>
      <c r="G197" s="9"/>
      <c r="H197" s="17"/>
      <c r="I197" s="15">
        <f>Table310286595105111112113114115116117118119120121122123124125126127[[#This Row],[*Price]]*Table310286595105111112113114115116117118119120121122123124125126127[[#This Row],[*Quantity]]</f>
        <v>0</v>
      </c>
    </row>
    <row r="198" spans="2:10" ht="26.25" customHeight="1" x14ac:dyDescent="0.25">
      <c r="B198" s="9"/>
      <c r="C198" s="9"/>
      <c r="D198" s="3" t="str">
        <f>_xlfn.IFNA(INDEX(Program!A:A,MATCH(Table310286595105111112113114115116117118119120121122123124125126127[[#This Row],[*Program Code]],Program!B:B,0)),"")</f>
        <v/>
      </c>
      <c r="F198" s="10"/>
      <c r="G198" s="9"/>
      <c r="H198" s="17"/>
      <c r="I198" s="15">
        <f>Table310286595105111112113114115116117118119120121122123124125126127[[#This Row],[*Price]]*Table310286595105111112113114115116117118119120121122123124125126127[[#This Row],[*Quantity]]</f>
        <v>0</v>
      </c>
    </row>
    <row r="199" spans="2:10" ht="26.25" customHeight="1" x14ac:dyDescent="0.25">
      <c r="B199" s="9"/>
      <c r="C199" s="9"/>
      <c r="D199" s="3" t="str">
        <f>_xlfn.IFNA(INDEX(Program!A:A,MATCH(Table310286595105111112113114115116117118119120121122123124125126127[[#This Row],[*Program Code]],Program!B:B,0)),"")</f>
        <v/>
      </c>
      <c r="F199" s="10"/>
      <c r="G199" s="9"/>
      <c r="H199" s="17"/>
      <c r="I199" s="15">
        <f>Table310286595105111112113114115116117118119120121122123124125126127[[#This Row],[*Price]]*Table310286595105111112113114115116117118119120121122123124125126127[[#This Row],[*Quantity]]</f>
        <v>0</v>
      </c>
    </row>
    <row r="200" spans="2:10" ht="26.25" customHeight="1" x14ac:dyDescent="0.25">
      <c r="B200" s="12" t="s">
        <v>5</v>
      </c>
      <c r="C200" s="13"/>
      <c r="D200" s="12"/>
      <c r="E200" s="12"/>
      <c r="F200" s="12"/>
      <c r="G200" s="12"/>
      <c r="H200" s="12"/>
      <c r="I200" s="14">
        <f>SUBTOTAL(109,Table310286595105111112113114115116117118119120121122123124125126127[Total Expenditure])</f>
        <v>0</v>
      </c>
      <c r="J200" s="12"/>
    </row>
  </sheetData>
  <sheetProtection formatColumns="0" insertRows="0" deleteRows="0"/>
  <pageMargins left="0.7" right="0.7" top="0.75" bottom="0.75" header="0.3" footer="0.3"/>
  <customProperties>
    <customPr name="_pios_id" r:id="rId1"/>
  </customProperties>
  <tableParts count="18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B2:J79"/>
  <sheetViews>
    <sheetView zoomScale="85" zoomScaleNormal="85" workbookViewId="0">
      <selection activeCell="I6" sqref="I6"/>
    </sheetView>
  </sheetViews>
  <sheetFormatPr defaultRowHeight="26.25" customHeight="1" x14ac:dyDescent="0.25"/>
  <cols>
    <col min="1" max="2" width="9.140625" style="7"/>
    <col min="3" max="3" width="22" style="7" customWidth="1"/>
    <col min="4" max="4" width="33.42578125" style="7" customWidth="1"/>
    <col min="5" max="5" width="37.140625" style="7" customWidth="1"/>
    <col min="6" max="6" width="29.7109375" style="7" customWidth="1"/>
    <col min="7" max="7" width="20.42578125" style="7" customWidth="1"/>
    <col min="8" max="8" width="14.5703125" style="7" customWidth="1"/>
    <col min="9" max="9" width="20.28515625" style="7" customWidth="1"/>
    <col min="10" max="10" width="52.5703125" style="7" customWidth="1"/>
    <col min="11" max="16384" width="9.140625" style="7"/>
  </cols>
  <sheetData>
    <row r="2" spans="2:10" ht="26.25" customHeight="1" x14ac:dyDescent="0.25">
      <c r="B2" s="18" t="s">
        <v>4445</v>
      </c>
    </row>
    <row r="4" spans="2:10" ht="26.25" customHeight="1" x14ac:dyDescent="0.25">
      <c r="B4" s="4">
        <v>228003</v>
      </c>
      <c r="C4" s="5" t="s">
        <v>4422</v>
      </c>
      <c r="D4" s="6"/>
      <c r="E4" s="6"/>
      <c r="F4" s="16"/>
      <c r="G4" s="16"/>
      <c r="H4" s="16"/>
      <c r="I4" s="16"/>
      <c r="J4" s="16"/>
    </row>
    <row r="5" spans="2:10" ht="43.5" customHeight="1" x14ac:dyDescent="0.25">
      <c r="B5" s="8" t="s">
        <v>1</v>
      </c>
      <c r="C5" s="8" t="s">
        <v>4337</v>
      </c>
      <c r="D5" s="8" t="s">
        <v>2</v>
      </c>
      <c r="E5" s="8" t="s">
        <v>4465</v>
      </c>
      <c r="F5" s="8" t="s">
        <v>4370</v>
      </c>
      <c r="G5" s="8" t="s">
        <v>4344</v>
      </c>
      <c r="H5" s="8" t="s">
        <v>4346</v>
      </c>
      <c r="I5" s="8" t="s">
        <v>3</v>
      </c>
      <c r="J5" s="8" t="s">
        <v>4</v>
      </c>
    </row>
    <row r="6" spans="2:10" ht="26.25" customHeight="1" x14ac:dyDescent="0.25">
      <c r="B6" s="9"/>
      <c r="C6" s="9"/>
      <c r="D6" s="2" t="str">
        <f>_xlfn.IFNA(INDEX(Program!A:A,MATCH(Table310286595105129[[#This Row],[*Program Code]],Program!B:B,0)),"")</f>
        <v/>
      </c>
      <c r="F6" s="10"/>
      <c r="G6" s="9"/>
      <c r="H6" s="17"/>
      <c r="I6" s="15">
        <f>Table310286595105129[[#This Row],[*Unit Price]]*Table310286595105129[[#This Row],[*Quantity]]</f>
        <v>0</v>
      </c>
    </row>
    <row r="7" spans="2:10" ht="26.25" customHeight="1" x14ac:dyDescent="0.25">
      <c r="B7" s="9"/>
      <c r="C7" s="9"/>
      <c r="D7" s="2" t="str">
        <f>_xlfn.IFNA(INDEX(Program!A:A,MATCH(Table310286595105129[[#This Row],[*Program Code]],Program!B:B,0)),"")</f>
        <v/>
      </c>
      <c r="F7" s="10"/>
      <c r="G7" s="9"/>
      <c r="H7" s="17"/>
      <c r="I7" s="15">
        <f>Table310286595105129[[#This Row],[*Unit Price]]*Table310286595105129[[#This Row],[*Quantity]]</f>
        <v>0</v>
      </c>
    </row>
    <row r="8" spans="2:10" ht="26.25" customHeight="1" x14ac:dyDescent="0.25">
      <c r="B8" s="9"/>
      <c r="C8" s="9"/>
      <c r="D8" s="2" t="str">
        <f>_xlfn.IFNA(INDEX(Program!A:A,MATCH(Table310286595105129[[#This Row],[*Program Code]],Program!B:B,0)),"")</f>
        <v/>
      </c>
      <c r="F8" s="10"/>
      <c r="G8" s="9"/>
      <c r="H8" s="17"/>
      <c r="I8" s="15">
        <f>Table310286595105129[[#This Row],[*Unit Price]]*Table310286595105129[[#This Row],[*Quantity]]</f>
        <v>0</v>
      </c>
    </row>
    <row r="9" spans="2:10" ht="26.25" customHeight="1" x14ac:dyDescent="0.25">
      <c r="B9" s="9"/>
      <c r="C9" s="9"/>
      <c r="D9" s="2" t="str">
        <f>_xlfn.IFNA(INDEX(Program!A:A,MATCH(Table310286595105129[[#This Row],[*Program Code]],Program!B:B,0)),"")</f>
        <v/>
      </c>
      <c r="F9" s="10"/>
      <c r="G9" s="9"/>
      <c r="H9" s="17"/>
      <c r="I9" s="15">
        <f>Table310286595105129[[#This Row],[*Unit Price]]*Table310286595105129[[#This Row],[*Quantity]]</f>
        <v>0</v>
      </c>
    </row>
    <row r="10" spans="2:10" ht="26.25" customHeight="1" x14ac:dyDescent="0.25">
      <c r="B10" s="9"/>
      <c r="C10" s="9"/>
      <c r="D10" s="2" t="str">
        <f>_xlfn.IFNA(INDEX(Program!A:A,MATCH(Table310286595105129[[#This Row],[*Program Code]],Program!B:B,0)),"")</f>
        <v/>
      </c>
      <c r="F10" s="10"/>
      <c r="G10" s="9"/>
      <c r="H10" s="17"/>
      <c r="I10" s="15">
        <f>Table310286595105129[[#This Row],[*Unit Price]]*Table310286595105129[[#This Row],[*Quantity]]</f>
        <v>0</v>
      </c>
    </row>
    <row r="11" spans="2:10" ht="26.25" customHeight="1" x14ac:dyDescent="0.25">
      <c r="B11" s="9"/>
      <c r="C11" s="9"/>
      <c r="D11" s="3" t="str">
        <f>_xlfn.IFNA(INDEX(Program!A:A,MATCH(Table310286595105129[[#This Row],[*Program Code]],Program!B:B,0)),"")</f>
        <v/>
      </c>
      <c r="F11" s="10"/>
      <c r="G11" s="9"/>
      <c r="H11" s="17"/>
      <c r="I11" s="15">
        <f>Table310286595105129[[#This Row],[*Unit Price]]*Table310286595105129[[#This Row],[*Quantity]]</f>
        <v>0</v>
      </c>
    </row>
    <row r="12" spans="2:10" ht="26.25" customHeight="1" x14ac:dyDescent="0.25">
      <c r="B12" s="9"/>
      <c r="C12" s="9"/>
      <c r="D12" s="3" t="str">
        <f>_xlfn.IFNA(INDEX(Program!A:A,MATCH(Table310286595105129[[#This Row],[*Program Code]],Program!B:B,0)),"")</f>
        <v/>
      </c>
      <c r="F12" s="10"/>
      <c r="G12" s="9"/>
      <c r="H12" s="17"/>
      <c r="I12" s="15">
        <f>Table310286595105129[[#This Row],[*Unit Price]]*Table310286595105129[[#This Row],[*Quantity]]</f>
        <v>0</v>
      </c>
    </row>
    <row r="13" spans="2:10" ht="26.25" customHeight="1" x14ac:dyDescent="0.25">
      <c r="B13" s="12" t="s">
        <v>5</v>
      </c>
      <c r="C13" s="13"/>
      <c r="D13" s="12"/>
      <c r="E13" s="12"/>
      <c r="F13" s="12"/>
      <c r="G13" s="12"/>
      <c r="H13" s="12"/>
      <c r="I13" s="14">
        <f>SUBTOTAL(109,Table310286595105129[Total Expenditure])</f>
        <v>0</v>
      </c>
      <c r="J13" s="12"/>
    </row>
    <row r="15" spans="2:10" ht="26.25" customHeight="1" x14ac:dyDescent="0.25">
      <c r="B15" s="4">
        <v>228004</v>
      </c>
      <c r="C15" s="5" t="s">
        <v>4423</v>
      </c>
      <c r="D15" s="6"/>
      <c r="E15" s="6"/>
      <c r="F15" s="16"/>
      <c r="G15" s="16"/>
      <c r="H15" s="16"/>
      <c r="I15" s="16"/>
      <c r="J15" s="16"/>
    </row>
    <row r="16" spans="2:10" ht="43.5" customHeight="1" x14ac:dyDescent="0.25">
      <c r="B16" s="8" t="s">
        <v>1</v>
      </c>
      <c r="C16" s="8" t="s">
        <v>4337</v>
      </c>
      <c r="D16" s="8" t="s">
        <v>2</v>
      </c>
      <c r="E16" s="8" t="s">
        <v>4466</v>
      </c>
      <c r="F16" s="8" t="s">
        <v>4370</v>
      </c>
      <c r="G16" s="8" t="s">
        <v>4344</v>
      </c>
      <c r="H16" s="8" t="s">
        <v>4346</v>
      </c>
      <c r="I16" s="8" t="s">
        <v>3</v>
      </c>
      <c r="J16" s="8" t="s">
        <v>4</v>
      </c>
    </row>
    <row r="17" spans="2:10" ht="26.25" customHeight="1" x14ac:dyDescent="0.25">
      <c r="B17" s="9"/>
      <c r="C17" s="9"/>
      <c r="D17" s="2" t="str">
        <f>_xlfn.IFNA(INDEX(Program!A:A,MATCH(Table310286595105129147[[#This Row],[*Program Code]],Program!B:B,0)),"")</f>
        <v/>
      </c>
      <c r="F17" s="10"/>
      <c r="G17" s="9"/>
      <c r="H17" s="17"/>
      <c r="I17" s="15">
        <f>Table310286595105129147[[#This Row],[*Unit Price]]*Table310286595105129147[[#This Row],[*Quantity]]</f>
        <v>0</v>
      </c>
    </row>
    <row r="18" spans="2:10" ht="26.25" customHeight="1" x14ac:dyDescent="0.25">
      <c r="B18" s="9"/>
      <c r="C18" s="9"/>
      <c r="D18" s="2" t="str">
        <f>_xlfn.IFNA(INDEX(Program!A:A,MATCH(Table310286595105129147[[#This Row],[*Program Code]],Program!B:B,0)),"")</f>
        <v/>
      </c>
      <c r="F18" s="10"/>
      <c r="G18" s="9"/>
      <c r="H18" s="17"/>
      <c r="I18" s="15">
        <f>Table310286595105129147[[#This Row],[*Unit Price]]*Table310286595105129147[[#This Row],[*Quantity]]</f>
        <v>0</v>
      </c>
    </row>
    <row r="19" spans="2:10" ht="26.25" customHeight="1" x14ac:dyDescent="0.25">
      <c r="B19" s="9"/>
      <c r="C19" s="9"/>
      <c r="D19" s="2" t="str">
        <f>_xlfn.IFNA(INDEX(Program!A:A,MATCH(Table310286595105129147[[#This Row],[*Program Code]],Program!B:B,0)),"")</f>
        <v/>
      </c>
      <c r="F19" s="10"/>
      <c r="G19" s="9"/>
      <c r="H19" s="17"/>
      <c r="I19" s="15">
        <f>Table310286595105129147[[#This Row],[*Unit Price]]*Table310286595105129147[[#This Row],[*Quantity]]</f>
        <v>0</v>
      </c>
    </row>
    <row r="20" spans="2:10" ht="26.25" customHeight="1" x14ac:dyDescent="0.25">
      <c r="B20" s="9"/>
      <c r="C20" s="9"/>
      <c r="D20" s="2" t="str">
        <f>_xlfn.IFNA(INDEX(Program!A:A,MATCH(Table310286595105129147[[#This Row],[*Program Code]],Program!B:B,0)),"")</f>
        <v/>
      </c>
      <c r="F20" s="10"/>
      <c r="G20" s="9"/>
      <c r="H20" s="17"/>
      <c r="I20" s="15">
        <f>Table310286595105129147[[#This Row],[*Unit Price]]*Table310286595105129147[[#This Row],[*Quantity]]</f>
        <v>0</v>
      </c>
    </row>
    <row r="21" spans="2:10" ht="26.25" customHeight="1" x14ac:dyDescent="0.25">
      <c r="B21" s="9"/>
      <c r="C21" s="9"/>
      <c r="D21" s="2" t="str">
        <f>_xlfn.IFNA(INDEX(Program!A:A,MATCH(Table310286595105129147[[#This Row],[*Program Code]],Program!B:B,0)),"")</f>
        <v/>
      </c>
      <c r="F21" s="10"/>
      <c r="G21" s="9"/>
      <c r="H21" s="17"/>
      <c r="I21" s="15">
        <f>Table310286595105129147[[#This Row],[*Unit Price]]*Table310286595105129147[[#This Row],[*Quantity]]</f>
        <v>0</v>
      </c>
    </row>
    <row r="22" spans="2:10" ht="26.25" customHeight="1" x14ac:dyDescent="0.25">
      <c r="B22" s="9"/>
      <c r="C22" s="9"/>
      <c r="D22" s="3" t="str">
        <f>_xlfn.IFNA(INDEX(Program!A:A,MATCH(Table310286595105129147[[#This Row],[*Program Code]],Program!B:B,0)),"")</f>
        <v/>
      </c>
      <c r="F22" s="10"/>
      <c r="G22" s="9"/>
      <c r="H22" s="17"/>
      <c r="I22" s="15">
        <f>Table310286595105129147[[#This Row],[*Unit Price]]*Table310286595105129147[[#This Row],[*Quantity]]</f>
        <v>0</v>
      </c>
    </row>
    <row r="23" spans="2:10" ht="26.25" customHeight="1" x14ac:dyDescent="0.25">
      <c r="B23" s="9"/>
      <c r="C23" s="9"/>
      <c r="D23" s="3" t="str">
        <f>_xlfn.IFNA(INDEX(Program!A:A,MATCH(Table310286595105129147[[#This Row],[*Program Code]],Program!B:B,0)),"")</f>
        <v/>
      </c>
      <c r="F23" s="10"/>
      <c r="G23" s="9"/>
      <c r="H23" s="17"/>
      <c r="I23" s="15">
        <f>Table310286595105129147[[#This Row],[*Unit Price]]*Table310286595105129147[[#This Row],[*Quantity]]</f>
        <v>0</v>
      </c>
    </row>
    <row r="24" spans="2:10" ht="26.25" customHeight="1" x14ac:dyDescent="0.25">
      <c r="B24" s="12" t="s">
        <v>5</v>
      </c>
      <c r="C24" s="13"/>
      <c r="D24" s="12"/>
      <c r="E24" s="12"/>
      <c r="F24" s="12"/>
      <c r="G24" s="12"/>
      <c r="H24" s="12"/>
      <c r="I24" s="14">
        <f>SUBTOTAL(109,Table310286595105129147[Total Expenditure])</f>
        <v>0</v>
      </c>
      <c r="J24" s="12"/>
    </row>
    <row r="26" spans="2:10" ht="26.25" customHeight="1" x14ac:dyDescent="0.25">
      <c r="B26" s="4">
        <v>228006</v>
      </c>
      <c r="C26" s="5" t="s">
        <v>4446</v>
      </c>
      <c r="D26" s="6"/>
      <c r="E26" s="6"/>
      <c r="F26" s="16"/>
      <c r="G26" s="16"/>
      <c r="H26" s="16"/>
      <c r="I26" s="16"/>
      <c r="J26" s="16"/>
    </row>
    <row r="27" spans="2:10" ht="43.5" customHeight="1" x14ac:dyDescent="0.25">
      <c r="B27" s="8" t="s">
        <v>1</v>
      </c>
      <c r="C27" s="8" t="s">
        <v>4337</v>
      </c>
      <c r="D27" s="8" t="s">
        <v>2</v>
      </c>
      <c r="E27" s="8" t="s">
        <v>4453</v>
      </c>
      <c r="F27" s="8" t="s">
        <v>4447</v>
      </c>
      <c r="G27" s="8" t="s">
        <v>4344</v>
      </c>
      <c r="H27" s="8" t="s">
        <v>4346</v>
      </c>
      <c r="I27" s="8" t="s">
        <v>3</v>
      </c>
      <c r="J27" s="8" t="s">
        <v>4</v>
      </c>
    </row>
    <row r="28" spans="2:10" ht="26.25" customHeight="1" x14ac:dyDescent="0.25">
      <c r="B28" s="9"/>
      <c r="C28" s="9"/>
      <c r="D28" s="2" t="str">
        <f>_xlfn.IFNA(INDEX(Program!A:A,MATCH(Table3102865951051291472[[#This Row],[*Program Code]],Program!B:B,0)),"")</f>
        <v/>
      </c>
      <c r="F28" s="10"/>
      <c r="G28" s="9"/>
      <c r="H28" s="17"/>
      <c r="I28" s="15">
        <f>Table3102865951051291472[[#This Row],[*Unit Price]]*Table3102865951051291472[[#This Row],[*Quantity]]</f>
        <v>0</v>
      </c>
    </row>
    <row r="29" spans="2:10" ht="26.25" customHeight="1" x14ac:dyDescent="0.25">
      <c r="B29" s="9"/>
      <c r="C29" s="9"/>
      <c r="D29" s="2" t="str">
        <f>_xlfn.IFNA(INDEX(Program!A:A,MATCH(Table3102865951051291472[[#This Row],[*Program Code]],Program!B:B,0)),"")</f>
        <v/>
      </c>
      <c r="F29" s="10"/>
      <c r="G29" s="9"/>
      <c r="H29" s="17"/>
      <c r="I29" s="15">
        <f>Table3102865951051291472[[#This Row],[*Unit Price]]*Table3102865951051291472[[#This Row],[*Quantity]]</f>
        <v>0</v>
      </c>
    </row>
    <row r="30" spans="2:10" ht="26.25" customHeight="1" x14ac:dyDescent="0.25">
      <c r="B30" s="9"/>
      <c r="C30" s="9"/>
      <c r="D30" s="2" t="str">
        <f>_xlfn.IFNA(INDEX(Program!A:A,MATCH(Table3102865951051291472[[#This Row],[*Program Code]],Program!B:B,0)),"")</f>
        <v/>
      </c>
      <c r="F30" s="10"/>
      <c r="G30" s="9"/>
      <c r="H30" s="17"/>
      <c r="I30" s="15">
        <f>Table3102865951051291472[[#This Row],[*Unit Price]]*Table3102865951051291472[[#This Row],[*Quantity]]</f>
        <v>0</v>
      </c>
    </row>
    <row r="31" spans="2:10" ht="26.25" customHeight="1" x14ac:dyDescent="0.25">
      <c r="B31" s="9"/>
      <c r="C31" s="9"/>
      <c r="D31" s="2" t="str">
        <f>_xlfn.IFNA(INDEX(Program!A:A,MATCH(Table3102865951051291472[[#This Row],[*Program Code]],Program!B:B,0)),"")</f>
        <v/>
      </c>
      <c r="F31" s="10"/>
      <c r="G31" s="9"/>
      <c r="H31" s="17"/>
      <c r="I31" s="15">
        <f>Table3102865951051291472[[#This Row],[*Unit Price]]*Table3102865951051291472[[#This Row],[*Quantity]]</f>
        <v>0</v>
      </c>
    </row>
    <row r="32" spans="2:10" ht="26.25" customHeight="1" x14ac:dyDescent="0.25">
      <c r="B32" s="9"/>
      <c r="C32" s="9"/>
      <c r="D32" s="2" t="str">
        <f>_xlfn.IFNA(INDEX(Program!A:A,MATCH(Table3102865951051291472[[#This Row],[*Program Code]],Program!B:B,0)),"")</f>
        <v/>
      </c>
      <c r="F32" s="10"/>
      <c r="G32" s="9"/>
      <c r="H32" s="17"/>
      <c r="I32" s="15">
        <f>Table3102865951051291472[[#This Row],[*Unit Price]]*Table3102865951051291472[[#This Row],[*Quantity]]</f>
        <v>0</v>
      </c>
    </row>
    <row r="33" spans="2:10" ht="26.25" customHeight="1" x14ac:dyDescent="0.25">
      <c r="B33" s="9"/>
      <c r="C33" s="9"/>
      <c r="D33" s="3" t="str">
        <f>_xlfn.IFNA(INDEX(Program!A:A,MATCH(Table3102865951051291472[[#This Row],[*Program Code]],Program!B:B,0)),"")</f>
        <v/>
      </c>
      <c r="F33" s="10"/>
      <c r="G33" s="9"/>
      <c r="H33" s="17"/>
      <c r="I33" s="15">
        <f>Table3102865951051291472[[#This Row],[*Unit Price]]*Table3102865951051291472[[#This Row],[*Quantity]]</f>
        <v>0</v>
      </c>
    </row>
    <row r="34" spans="2:10" ht="26.25" customHeight="1" x14ac:dyDescent="0.25">
      <c r="B34" s="9"/>
      <c r="C34" s="9"/>
      <c r="D34" s="3" t="str">
        <f>_xlfn.IFNA(INDEX(Program!A:A,MATCH(Table3102865951051291472[[#This Row],[*Program Code]],Program!B:B,0)),"")</f>
        <v/>
      </c>
      <c r="F34" s="10"/>
      <c r="G34" s="9"/>
      <c r="H34" s="17"/>
      <c r="I34" s="15">
        <f>Table3102865951051291472[[#This Row],[*Unit Price]]*Table3102865951051291472[[#This Row],[*Quantity]]</f>
        <v>0</v>
      </c>
    </row>
    <row r="35" spans="2:10" ht="26.25" customHeight="1" x14ac:dyDescent="0.25">
      <c r="B35" s="12" t="s">
        <v>5</v>
      </c>
      <c r="C35" s="13"/>
      <c r="D35" s="12"/>
      <c r="E35" s="12"/>
      <c r="F35" s="12"/>
      <c r="G35" s="12"/>
      <c r="H35" s="12"/>
      <c r="I35" s="14">
        <f>SUBTOTAL(109,Table3102865951051291472[Total Expenditure])</f>
        <v>0</v>
      </c>
      <c r="J35" s="12"/>
    </row>
    <row r="37" spans="2:10" ht="26.25" customHeight="1" x14ac:dyDescent="0.25">
      <c r="B37" s="4">
        <v>228007</v>
      </c>
      <c r="C37" s="5" t="s">
        <v>4448</v>
      </c>
      <c r="D37" s="6"/>
      <c r="E37" s="6"/>
      <c r="F37" s="16"/>
      <c r="G37" s="16"/>
      <c r="H37" s="16"/>
      <c r="I37" s="16"/>
      <c r="J37" s="16"/>
    </row>
    <row r="38" spans="2:10" ht="43.5" customHeight="1" x14ac:dyDescent="0.25">
      <c r="B38" s="8" t="s">
        <v>1</v>
      </c>
      <c r="C38" s="8" t="s">
        <v>4337</v>
      </c>
      <c r="D38" s="8" t="s">
        <v>2</v>
      </c>
      <c r="E38" s="8" t="s">
        <v>4453</v>
      </c>
      <c r="F38" s="8" t="s">
        <v>4447</v>
      </c>
      <c r="G38" s="8" t="s">
        <v>4344</v>
      </c>
      <c r="H38" s="8" t="s">
        <v>4346</v>
      </c>
      <c r="I38" s="8" t="s">
        <v>3</v>
      </c>
      <c r="J38" s="8" t="s">
        <v>4</v>
      </c>
    </row>
    <row r="39" spans="2:10" ht="26.25" customHeight="1" x14ac:dyDescent="0.25">
      <c r="B39" s="9"/>
      <c r="C39" s="9"/>
      <c r="D39" s="2" t="str">
        <f>_xlfn.IFNA(INDEX(Program!A:A,MATCH(Table3102865951051291473[[#This Row],[*Program Code]],Program!B:B,0)),"")</f>
        <v/>
      </c>
      <c r="F39" s="10"/>
      <c r="G39" s="9"/>
      <c r="H39" s="17"/>
      <c r="I39" s="15">
        <f>Table3102865951051291473[[#This Row],[*Unit Price]]*Table3102865951051291473[[#This Row],[*Quantity]]</f>
        <v>0</v>
      </c>
    </row>
    <row r="40" spans="2:10" ht="26.25" customHeight="1" x14ac:dyDescent="0.25">
      <c r="B40" s="9"/>
      <c r="C40" s="9"/>
      <c r="D40" s="2" t="str">
        <f>_xlfn.IFNA(INDEX(Program!A:A,MATCH(Table3102865951051291473[[#This Row],[*Program Code]],Program!B:B,0)),"")</f>
        <v/>
      </c>
      <c r="F40" s="10"/>
      <c r="G40" s="9"/>
      <c r="H40" s="17"/>
      <c r="I40" s="15">
        <f>Table3102865951051291473[[#This Row],[*Unit Price]]*Table3102865951051291473[[#This Row],[*Quantity]]</f>
        <v>0</v>
      </c>
    </row>
    <row r="41" spans="2:10" ht="26.25" customHeight="1" x14ac:dyDescent="0.25">
      <c r="B41" s="9"/>
      <c r="C41" s="9"/>
      <c r="D41" s="2" t="str">
        <f>_xlfn.IFNA(INDEX(Program!A:A,MATCH(Table3102865951051291473[[#This Row],[*Program Code]],Program!B:B,0)),"")</f>
        <v/>
      </c>
      <c r="F41" s="10"/>
      <c r="G41" s="9"/>
      <c r="H41" s="17"/>
      <c r="I41" s="15">
        <f>Table3102865951051291473[[#This Row],[*Unit Price]]*Table3102865951051291473[[#This Row],[*Quantity]]</f>
        <v>0</v>
      </c>
    </row>
    <row r="42" spans="2:10" ht="26.25" customHeight="1" x14ac:dyDescent="0.25">
      <c r="B42" s="9"/>
      <c r="C42" s="9"/>
      <c r="D42" s="2" t="str">
        <f>_xlfn.IFNA(INDEX(Program!A:A,MATCH(Table3102865951051291473[[#This Row],[*Program Code]],Program!B:B,0)),"")</f>
        <v/>
      </c>
      <c r="F42" s="10"/>
      <c r="G42" s="9"/>
      <c r="H42" s="17"/>
      <c r="I42" s="15">
        <f>Table3102865951051291473[[#This Row],[*Unit Price]]*Table3102865951051291473[[#This Row],[*Quantity]]</f>
        <v>0</v>
      </c>
    </row>
    <row r="43" spans="2:10" ht="26.25" customHeight="1" x14ac:dyDescent="0.25">
      <c r="B43" s="9"/>
      <c r="C43" s="9"/>
      <c r="D43" s="2" t="str">
        <f>_xlfn.IFNA(INDEX(Program!A:A,MATCH(Table3102865951051291473[[#This Row],[*Program Code]],Program!B:B,0)),"")</f>
        <v/>
      </c>
      <c r="F43" s="10"/>
      <c r="G43" s="9"/>
      <c r="H43" s="17"/>
      <c r="I43" s="15">
        <f>Table3102865951051291473[[#This Row],[*Unit Price]]*Table3102865951051291473[[#This Row],[*Quantity]]</f>
        <v>0</v>
      </c>
    </row>
    <row r="44" spans="2:10" ht="26.25" customHeight="1" x14ac:dyDescent="0.25">
      <c r="B44" s="9"/>
      <c r="C44" s="9"/>
      <c r="D44" s="3" t="str">
        <f>_xlfn.IFNA(INDEX(Program!A:A,MATCH(Table3102865951051291473[[#This Row],[*Program Code]],Program!B:B,0)),"")</f>
        <v/>
      </c>
      <c r="F44" s="10"/>
      <c r="G44" s="9"/>
      <c r="H44" s="17"/>
      <c r="I44" s="15">
        <f>Table3102865951051291473[[#This Row],[*Unit Price]]*Table3102865951051291473[[#This Row],[*Quantity]]</f>
        <v>0</v>
      </c>
    </row>
    <row r="45" spans="2:10" ht="26.25" customHeight="1" x14ac:dyDescent="0.25">
      <c r="B45" s="9"/>
      <c r="C45" s="9"/>
      <c r="D45" s="3" t="str">
        <f>_xlfn.IFNA(INDEX(Program!A:A,MATCH(Table3102865951051291473[[#This Row],[*Program Code]],Program!B:B,0)),"")</f>
        <v/>
      </c>
      <c r="F45" s="10"/>
      <c r="G45" s="9"/>
      <c r="H45" s="17"/>
      <c r="I45" s="15">
        <f>Table3102865951051291473[[#This Row],[*Unit Price]]*Table3102865951051291473[[#This Row],[*Quantity]]</f>
        <v>0</v>
      </c>
    </row>
    <row r="46" spans="2:10" ht="26.25" customHeight="1" x14ac:dyDescent="0.25">
      <c r="B46" s="12" t="s">
        <v>5</v>
      </c>
      <c r="C46" s="13"/>
      <c r="D46" s="12"/>
      <c r="E46" s="12"/>
      <c r="F46" s="12"/>
      <c r="G46" s="12"/>
      <c r="H46" s="12"/>
      <c r="I46" s="14">
        <f>SUBTOTAL(109,Table3102865951051291473[Total Expenditure])</f>
        <v>0</v>
      </c>
      <c r="J46" s="12"/>
    </row>
    <row r="48" spans="2:10" ht="26.25" customHeight="1" x14ac:dyDescent="0.25">
      <c r="B48" s="4">
        <v>228009</v>
      </c>
      <c r="C48" s="5" t="s">
        <v>4424</v>
      </c>
      <c r="D48" s="6"/>
      <c r="E48" s="6"/>
      <c r="F48" s="16"/>
      <c r="G48" s="16"/>
      <c r="H48" s="16"/>
      <c r="I48" s="16"/>
      <c r="J48" s="16"/>
    </row>
    <row r="49" spans="2:10" ht="43.5" customHeight="1" x14ac:dyDescent="0.25">
      <c r="B49" s="8" t="s">
        <v>1</v>
      </c>
      <c r="C49" s="8" t="s">
        <v>4337</v>
      </c>
      <c r="D49" s="8" t="s">
        <v>2</v>
      </c>
      <c r="E49" s="8" t="s">
        <v>4467</v>
      </c>
      <c r="F49" s="8" t="s">
        <v>4370</v>
      </c>
      <c r="G49" s="8" t="s">
        <v>4344</v>
      </c>
      <c r="H49" s="8" t="s">
        <v>4346</v>
      </c>
      <c r="I49" s="8" t="s">
        <v>3</v>
      </c>
      <c r="J49" s="8" t="s">
        <v>4</v>
      </c>
    </row>
    <row r="50" spans="2:10" ht="26.25" customHeight="1" x14ac:dyDescent="0.25">
      <c r="B50" s="9"/>
      <c r="C50" s="9"/>
      <c r="D50" s="2" t="str">
        <f>_xlfn.IFNA(INDEX(Program!A:A,MATCH(Table310286595105129147148[[#This Row],[*Program Code]],Program!B:B,0)),"")</f>
        <v/>
      </c>
      <c r="F50" s="10"/>
      <c r="G50" s="9"/>
      <c r="H50" s="17"/>
      <c r="I50" s="15">
        <f>Table310286595105129147148[[#This Row],[*Unit Price]]*Table310286595105129147148[[#This Row],[*Quantity]]</f>
        <v>0</v>
      </c>
    </row>
    <row r="51" spans="2:10" ht="26.25" customHeight="1" x14ac:dyDescent="0.25">
      <c r="B51" s="9"/>
      <c r="C51" s="9"/>
      <c r="D51" s="2" t="str">
        <f>_xlfn.IFNA(INDEX(Program!A:A,MATCH(Table310286595105129147148[[#This Row],[*Program Code]],Program!B:B,0)),"")</f>
        <v/>
      </c>
      <c r="F51" s="10"/>
      <c r="G51" s="9"/>
      <c r="H51" s="17"/>
      <c r="I51" s="15">
        <f>Table310286595105129147148[[#This Row],[*Unit Price]]*Table310286595105129147148[[#This Row],[*Quantity]]</f>
        <v>0</v>
      </c>
    </row>
    <row r="52" spans="2:10" ht="26.25" customHeight="1" x14ac:dyDescent="0.25">
      <c r="B52" s="9"/>
      <c r="C52" s="9"/>
      <c r="D52" s="2" t="str">
        <f>_xlfn.IFNA(INDEX(Program!A:A,MATCH(Table310286595105129147148[[#This Row],[*Program Code]],Program!B:B,0)),"")</f>
        <v/>
      </c>
      <c r="F52" s="10"/>
      <c r="G52" s="9"/>
      <c r="H52" s="17"/>
      <c r="I52" s="15">
        <f>Table310286595105129147148[[#This Row],[*Unit Price]]*Table310286595105129147148[[#This Row],[*Quantity]]</f>
        <v>0</v>
      </c>
    </row>
    <row r="53" spans="2:10" ht="26.25" customHeight="1" x14ac:dyDescent="0.25">
      <c r="B53" s="9"/>
      <c r="C53" s="9"/>
      <c r="D53" s="2" t="str">
        <f>_xlfn.IFNA(INDEX(Program!A:A,MATCH(Table310286595105129147148[[#This Row],[*Program Code]],Program!B:B,0)),"")</f>
        <v/>
      </c>
      <c r="F53" s="10"/>
      <c r="G53" s="9"/>
      <c r="H53" s="17"/>
      <c r="I53" s="15">
        <f>Table310286595105129147148[[#This Row],[*Unit Price]]*Table310286595105129147148[[#This Row],[*Quantity]]</f>
        <v>0</v>
      </c>
    </row>
    <row r="54" spans="2:10" ht="26.25" customHeight="1" x14ac:dyDescent="0.25">
      <c r="B54" s="9"/>
      <c r="C54" s="9"/>
      <c r="D54" s="2" t="str">
        <f>_xlfn.IFNA(INDEX(Program!A:A,MATCH(Table310286595105129147148[[#This Row],[*Program Code]],Program!B:B,0)),"")</f>
        <v/>
      </c>
      <c r="F54" s="10"/>
      <c r="G54" s="9"/>
      <c r="H54" s="17"/>
      <c r="I54" s="15">
        <f>Table310286595105129147148[[#This Row],[*Unit Price]]*Table310286595105129147148[[#This Row],[*Quantity]]</f>
        <v>0</v>
      </c>
    </row>
    <row r="55" spans="2:10" ht="26.25" customHeight="1" x14ac:dyDescent="0.25">
      <c r="B55" s="9"/>
      <c r="C55" s="9"/>
      <c r="D55" s="3" t="str">
        <f>_xlfn.IFNA(INDEX(Program!A:A,MATCH(Table310286595105129147148[[#This Row],[*Program Code]],Program!B:B,0)),"")</f>
        <v/>
      </c>
      <c r="F55" s="10"/>
      <c r="G55" s="9"/>
      <c r="H55" s="17"/>
      <c r="I55" s="15">
        <f>Table310286595105129147148[[#This Row],[*Unit Price]]*Table310286595105129147148[[#This Row],[*Quantity]]</f>
        <v>0</v>
      </c>
    </row>
    <row r="56" spans="2:10" ht="26.25" customHeight="1" x14ac:dyDescent="0.25">
      <c r="B56" s="9"/>
      <c r="C56" s="9"/>
      <c r="D56" s="3" t="str">
        <f>_xlfn.IFNA(INDEX(Program!A:A,MATCH(Table310286595105129147148[[#This Row],[*Program Code]],Program!B:B,0)),"")</f>
        <v/>
      </c>
      <c r="F56" s="10"/>
      <c r="G56" s="9"/>
      <c r="H56" s="17"/>
      <c r="I56" s="15">
        <f>Table310286595105129147148[[#This Row],[*Unit Price]]*Table310286595105129147148[[#This Row],[*Quantity]]</f>
        <v>0</v>
      </c>
    </row>
    <row r="57" spans="2:10" ht="26.25" customHeight="1" x14ac:dyDescent="0.25">
      <c r="B57" s="12" t="s">
        <v>5</v>
      </c>
      <c r="C57" s="13"/>
      <c r="D57" s="12"/>
      <c r="E57" s="12"/>
      <c r="F57" s="12"/>
      <c r="G57" s="12"/>
      <c r="H57" s="12"/>
      <c r="I57" s="14">
        <f>SUBTOTAL(109,Table310286595105129147148[Total Expenditure])</f>
        <v>0</v>
      </c>
      <c r="J57" s="12"/>
    </row>
    <row r="59" spans="2:10" ht="26.25" customHeight="1" x14ac:dyDescent="0.25">
      <c r="B59" s="4">
        <v>228010</v>
      </c>
      <c r="C59" s="5" t="s">
        <v>4425</v>
      </c>
      <c r="D59" s="6"/>
      <c r="E59" s="6"/>
      <c r="F59" s="16"/>
      <c r="G59" s="16"/>
      <c r="H59" s="16"/>
      <c r="I59" s="16"/>
      <c r="J59" s="16"/>
    </row>
    <row r="60" spans="2:10" ht="43.5" customHeight="1" x14ac:dyDescent="0.25">
      <c r="B60" s="8" t="s">
        <v>1</v>
      </c>
      <c r="C60" s="8" t="s">
        <v>4337</v>
      </c>
      <c r="D60" s="8" t="s">
        <v>2</v>
      </c>
      <c r="E60" s="8" t="s">
        <v>4468</v>
      </c>
      <c r="F60" s="8" t="s">
        <v>4370</v>
      </c>
      <c r="G60" s="8" t="s">
        <v>4344</v>
      </c>
      <c r="H60" s="8" t="s">
        <v>4346</v>
      </c>
      <c r="I60" s="8" t="s">
        <v>3</v>
      </c>
      <c r="J60" s="8" t="s">
        <v>4</v>
      </c>
    </row>
    <row r="61" spans="2:10" ht="26.25" customHeight="1" x14ac:dyDescent="0.25">
      <c r="B61" s="9"/>
      <c r="C61" s="9"/>
      <c r="D61" s="2" t="str">
        <f>_xlfn.IFNA(INDEX(Program!A:A,MATCH(Table310286595105129147148149[[#This Row],[*Program Code]],Program!B:B,0)),"")</f>
        <v/>
      </c>
      <c r="F61" s="10"/>
      <c r="G61" s="9"/>
      <c r="H61" s="17"/>
      <c r="I61" s="15">
        <f>Table310286595105129147148149[[#This Row],[*Unit Price]]*Table310286595105129147148149[[#This Row],[*Quantity]]</f>
        <v>0</v>
      </c>
    </row>
    <row r="62" spans="2:10" ht="26.25" customHeight="1" x14ac:dyDescent="0.25">
      <c r="B62" s="9"/>
      <c r="C62" s="9"/>
      <c r="D62" s="2" t="str">
        <f>_xlfn.IFNA(INDEX(Program!A:A,MATCH(Table310286595105129147148149[[#This Row],[*Program Code]],Program!B:B,0)),"")</f>
        <v/>
      </c>
      <c r="F62" s="10"/>
      <c r="G62" s="9"/>
      <c r="H62" s="17"/>
      <c r="I62" s="15">
        <f>Table310286595105129147148149[[#This Row],[*Unit Price]]*Table310286595105129147148149[[#This Row],[*Quantity]]</f>
        <v>0</v>
      </c>
    </row>
    <row r="63" spans="2:10" ht="26.25" customHeight="1" x14ac:dyDescent="0.25">
      <c r="B63" s="9"/>
      <c r="C63" s="9"/>
      <c r="D63" s="2" t="str">
        <f>_xlfn.IFNA(INDEX(Program!A:A,MATCH(Table310286595105129147148149[[#This Row],[*Program Code]],Program!B:B,0)),"")</f>
        <v/>
      </c>
      <c r="F63" s="10"/>
      <c r="G63" s="9"/>
      <c r="H63" s="17"/>
      <c r="I63" s="15">
        <f>Table310286595105129147148149[[#This Row],[*Unit Price]]*Table310286595105129147148149[[#This Row],[*Quantity]]</f>
        <v>0</v>
      </c>
    </row>
    <row r="64" spans="2:10" ht="26.25" customHeight="1" x14ac:dyDescent="0.25">
      <c r="B64" s="9"/>
      <c r="C64" s="9"/>
      <c r="D64" s="2" t="str">
        <f>_xlfn.IFNA(INDEX(Program!A:A,MATCH(Table310286595105129147148149[[#This Row],[*Program Code]],Program!B:B,0)),"")</f>
        <v/>
      </c>
      <c r="F64" s="10"/>
      <c r="G64" s="9"/>
      <c r="H64" s="17"/>
      <c r="I64" s="15">
        <f>Table310286595105129147148149[[#This Row],[*Unit Price]]*Table310286595105129147148149[[#This Row],[*Quantity]]</f>
        <v>0</v>
      </c>
    </row>
    <row r="65" spans="2:10" ht="26.25" customHeight="1" x14ac:dyDescent="0.25">
      <c r="B65" s="9"/>
      <c r="C65" s="9"/>
      <c r="D65" s="2" t="str">
        <f>_xlfn.IFNA(INDEX(Program!A:A,MATCH(Table310286595105129147148149[[#This Row],[*Program Code]],Program!B:B,0)),"")</f>
        <v/>
      </c>
      <c r="F65" s="10"/>
      <c r="G65" s="9"/>
      <c r="H65" s="17"/>
      <c r="I65" s="15">
        <f>Table310286595105129147148149[[#This Row],[*Unit Price]]*Table310286595105129147148149[[#This Row],[*Quantity]]</f>
        <v>0</v>
      </c>
    </row>
    <row r="66" spans="2:10" ht="26.25" customHeight="1" x14ac:dyDescent="0.25">
      <c r="B66" s="9"/>
      <c r="C66" s="9"/>
      <c r="D66" s="3" t="str">
        <f>_xlfn.IFNA(INDEX(Program!A:A,MATCH(Table310286595105129147148149[[#This Row],[*Program Code]],Program!B:B,0)),"")</f>
        <v/>
      </c>
      <c r="F66" s="10"/>
      <c r="G66" s="9"/>
      <c r="H66" s="17"/>
      <c r="I66" s="15">
        <f>Table310286595105129147148149[[#This Row],[*Unit Price]]*Table310286595105129147148149[[#This Row],[*Quantity]]</f>
        <v>0</v>
      </c>
    </row>
    <row r="67" spans="2:10" ht="26.25" customHeight="1" x14ac:dyDescent="0.25">
      <c r="B67" s="9"/>
      <c r="C67" s="9"/>
      <c r="D67" s="3" t="str">
        <f>_xlfn.IFNA(INDEX(Program!A:A,MATCH(Table310286595105129147148149[[#This Row],[*Program Code]],Program!B:B,0)),"")</f>
        <v/>
      </c>
      <c r="F67" s="10"/>
      <c r="G67" s="9"/>
      <c r="H67" s="17"/>
      <c r="I67" s="15">
        <f>Table310286595105129147148149[[#This Row],[*Unit Price]]*Table310286595105129147148149[[#This Row],[*Quantity]]</f>
        <v>0</v>
      </c>
    </row>
    <row r="68" spans="2:10" ht="26.25" customHeight="1" x14ac:dyDescent="0.25">
      <c r="B68" s="12" t="s">
        <v>5</v>
      </c>
      <c r="C68" s="13"/>
      <c r="D68" s="12"/>
      <c r="E68" s="12"/>
      <c r="F68" s="12"/>
      <c r="G68" s="12"/>
      <c r="H68" s="12"/>
      <c r="I68" s="14">
        <f>SUBTOTAL(109,Table310286595105129147148149[Total Expenditure])</f>
        <v>0</v>
      </c>
      <c r="J68" s="12"/>
    </row>
    <row r="70" spans="2:10" ht="26.25" customHeight="1" x14ac:dyDescent="0.25">
      <c r="B70" s="4">
        <v>228999</v>
      </c>
      <c r="C70" s="5" t="s">
        <v>4449</v>
      </c>
      <c r="D70" s="6"/>
      <c r="E70" s="6"/>
      <c r="F70" s="16"/>
      <c r="G70" s="16"/>
      <c r="H70" s="16"/>
      <c r="I70" s="16"/>
      <c r="J70" s="16"/>
    </row>
    <row r="71" spans="2:10" ht="43.5" customHeight="1" x14ac:dyDescent="0.25">
      <c r="B71" s="8" t="s">
        <v>1</v>
      </c>
      <c r="C71" s="8" t="s">
        <v>4337</v>
      </c>
      <c r="D71" s="8" t="s">
        <v>2</v>
      </c>
      <c r="E71" s="8" t="s">
        <v>4468</v>
      </c>
      <c r="F71" s="8" t="s">
        <v>4370</v>
      </c>
      <c r="G71" s="8" t="s">
        <v>4344</v>
      </c>
      <c r="H71" s="8" t="s">
        <v>4346</v>
      </c>
      <c r="I71" s="8" t="s">
        <v>3</v>
      </c>
      <c r="J71" s="8" t="s">
        <v>4</v>
      </c>
    </row>
    <row r="72" spans="2:10" ht="26.25" customHeight="1" x14ac:dyDescent="0.25">
      <c r="B72" s="9"/>
      <c r="C72" s="9"/>
      <c r="D72" s="2" t="str">
        <f>_xlfn.IFNA(INDEX(Program!A:A,MATCH(Table31028659510512914714814911[[#This Row],[*Program Code]],Program!B:B,0)),"")</f>
        <v/>
      </c>
      <c r="F72" s="10"/>
      <c r="G72" s="9"/>
      <c r="H72" s="17"/>
      <c r="I72" s="15">
        <f>Table31028659510512914714814911[[#This Row],[*Unit Price]]*Table31028659510512914714814911[[#This Row],[*Quantity]]</f>
        <v>0</v>
      </c>
    </row>
    <row r="73" spans="2:10" ht="26.25" customHeight="1" x14ac:dyDescent="0.25">
      <c r="B73" s="9"/>
      <c r="C73" s="9"/>
      <c r="D73" s="2" t="str">
        <f>_xlfn.IFNA(INDEX(Program!A:A,MATCH(Table31028659510512914714814911[[#This Row],[*Program Code]],Program!B:B,0)),"")</f>
        <v/>
      </c>
      <c r="F73" s="10"/>
      <c r="G73" s="9"/>
      <c r="H73" s="17"/>
      <c r="I73" s="15">
        <f>Table31028659510512914714814911[[#This Row],[*Unit Price]]*Table31028659510512914714814911[[#This Row],[*Quantity]]</f>
        <v>0</v>
      </c>
    </row>
    <row r="74" spans="2:10" ht="26.25" customHeight="1" x14ac:dyDescent="0.25">
      <c r="B74" s="9"/>
      <c r="C74" s="9"/>
      <c r="D74" s="2" t="str">
        <f>_xlfn.IFNA(INDEX(Program!A:A,MATCH(Table31028659510512914714814911[[#This Row],[*Program Code]],Program!B:B,0)),"")</f>
        <v/>
      </c>
      <c r="F74" s="10"/>
      <c r="G74" s="9"/>
      <c r="H74" s="17"/>
      <c r="I74" s="15">
        <f>Table31028659510512914714814911[[#This Row],[*Unit Price]]*Table31028659510512914714814911[[#This Row],[*Quantity]]</f>
        <v>0</v>
      </c>
    </row>
    <row r="75" spans="2:10" ht="26.25" customHeight="1" x14ac:dyDescent="0.25">
      <c r="B75" s="9"/>
      <c r="C75" s="9"/>
      <c r="D75" s="2" t="str">
        <f>_xlfn.IFNA(INDEX(Program!A:A,MATCH(Table31028659510512914714814911[[#This Row],[*Program Code]],Program!B:B,0)),"")</f>
        <v/>
      </c>
      <c r="F75" s="10"/>
      <c r="G75" s="9"/>
      <c r="H75" s="17"/>
      <c r="I75" s="15">
        <f>Table31028659510512914714814911[[#This Row],[*Unit Price]]*Table31028659510512914714814911[[#This Row],[*Quantity]]</f>
        <v>0</v>
      </c>
    </row>
    <row r="76" spans="2:10" ht="26.25" customHeight="1" x14ac:dyDescent="0.25">
      <c r="B76" s="9"/>
      <c r="C76" s="9"/>
      <c r="D76" s="2" t="str">
        <f>_xlfn.IFNA(INDEX(Program!A:A,MATCH(Table31028659510512914714814911[[#This Row],[*Program Code]],Program!B:B,0)),"")</f>
        <v/>
      </c>
      <c r="F76" s="10"/>
      <c r="G76" s="9"/>
      <c r="H76" s="17"/>
      <c r="I76" s="15">
        <f>Table31028659510512914714814911[[#This Row],[*Unit Price]]*Table31028659510512914714814911[[#This Row],[*Quantity]]</f>
        <v>0</v>
      </c>
    </row>
    <row r="77" spans="2:10" ht="26.25" customHeight="1" x14ac:dyDescent="0.25">
      <c r="B77" s="9"/>
      <c r="C77" s="9"/>
      <c r="D77" s="3" t="str">
        <f>_xlfn.IFNA(INDEX(Program!A:A,MATCH(Table31028659510512914714814911[[#This Row],[*Program Code]],Program!B:B,0)),"")</f>
        <v/>
      </c>
      <c r="F77" s="10"/>
      <c r="G77" s="9"/>
      <c r="H77" s="17"/>
      <c r="I77" s="15">
        <f>Table31028659510512914714814911[[#This Row],[*Unit Price]]*Table31028659510512914714814911[[#This Row],[*Quantity]]</f>
        <v>0</v>
      </c>
    </row>
    <row r="78" spans="2:10" ht="26.25" customHeight="1" x14ac:dyDescent="0.25">
      <c r="B78" s="9"/>
      <c r="C78" s="9"/>
      <c r="D78" s="3" t="str">
        <f>_xlfn.IFNA(INDEX(Program!A:A,MATCH(Table31028659510512914714814911[[#This Row],[*Program Code]],Program!B:B,0)),"")</f>
        <v/>
      </c>
      <c r="F78" s="10"/>
      <c r="G78" s="9"/>
      <c r="H78" s="17"/>
      <c r="I78" s="15">
        <f>Table31028659510512914714814911[[#This Row],[*Unit Price]]*Table31028659510512914714814911[[#This Row],[*Quantity]]</f>
        <v>0</v>
      </c>
    </row>
    <row r="79" spans="2:10" ht="26.25" customHeight="1" x14ac:dyDescent="0.25">
      <c r="B79" s="12" t="s">
        <v>5</v>
      </c>
      <c r="C79" s="13"/>
      <c r="D79" s="12"/>
      <c r="E79" s="12"/>
      <c r="F79" s="12"/>
      <c r="G79" s="12"/>
      <c r="H79" s="12"/>
      <c r="I79" s="14">
        <f>SUBTOTAL(109,Table31028659510512914714814911[Total Expenditure])</f>
        <v>0</v>
      </c>
      <c r="J79" s="12"/>
    </row>
  </sheetData>
  <sheetProtection formatColumns="0" insertRows="0" deleteRows="0"/>
  <pageMargins left="0.7" right="0.7" top="0.75" bottom="0.75" header="0.3" footer="0.3"/>
  <customProperties>
    <customPr name="_pios_id" r:id="rId1"/>
  </customProperties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B2:J135"/>
  <sheetViews>
    <sheetView zoomScale="85" zoomScaleNormal="85" workbookViewId="0">
      <selection activeCell="D10" sqref="D10"/>
    </sheetView>
  </sheetViews>
  <sheetFormatPr defaultRowHeight="26.25" customHeight="1" x14ac:dyDescent="0.25"/>
  <cols>
    <col min="1" max="2" width="9.140625" style="7"/>
    <col min="3" max="3" width="22" style="7" customWidth="1"/>
    <col min="4" max="4" width="33.42578125" style="7" customWidth="1"/>
    <col min="5" max="5" width="37.140625" style="7" customWidth="1"/>
    <col min="6" max="6" width="13.42578125" style="7" customWidth="1"/>
    <col min="7" max="7" width="20.42578125" style="7" customWidth="1"/>
    <col min="8" max="8" width="14.5703125" style="7" customWidth="1"/>
    <col min="9" max="9" width="21.5703125" style="7" customWidth="1"/>
    <col min="10" max="10" width="48.7109375" style="7" customWidth="1"/>
    <col min="11" max="16384" width="9.140625" style="7"/>
  </cols>
  <sheetData>
    <row r="2" spans="2:10" ht="26.25" customHeight="1" x14ac:dyDescent="0.25">
      <c r="B2" s="18" t="s">
        <v>4450</v>
      </c>
    </row>
    <row r="4" spans="2:10" ht="26.25" customHeight="1" x14ac:dyDescent="0.25">
      <c r="B4" s="4">
        <v>423001</v>
      </c>
      <c r="C4" s="5" t="s">
        <v>4426</v>
      </c>
      <c r="D4" s="6"/>
      <c r="E4" s="6"/>
      <c r="F4" s="16"/>
      <c r="G4" s="16"/>
      <c r="H4" s="16"/>
      <c r="I4" s="16"/>
      <c r="J4" s="16"/>
    </row>
    <row r="5" spans="2:10" ht="43.5" customHeight="1" x14ac:dyDescent="0.25">
      <c r="B5" s="8" t="s">
        <v>1</v>
      </c>
      <c r="C5" s="8" t="s">
        <v>4337</v>
      </c>
      <c r="D5" s="8" t="s">
        <v>2</v>
      </c>
      <c r="E5" s="8" t="s">
        <v>4453</v>
      </c>
      <c r="F5" s="8" t="s">
        <v>4436</v>
      </c>
      <c r="G5" s="8" t="s">
        <v>4344</v>
      </c>
      <c r="H5" s="8" t="s">
        <v>4346</v>
      </c>
      <c r="I5" s="8" t="s">
        <v>3</v>
      </c>
      <c r="J5" s="8" t="s">
        <v>4</v>
      </c>
    </row>
    <row r="6" spans="2:10" ht="26.25" customHeight="1" x14ac:dyDescent="0.25">
      <c r="B6" s="9"/>
      <c r="C6" s="9"/>
      <c r="D6" s="2" t="str">
        <f>_xlfn.IFNA(INDEX(Program!A:A,MATCH(Table310286595105129150[[#This Row],[*Program Code]],Program!B:B,0)),"")</f>
        <v/>
      </c>
      <c r="F6" s="10"/>
      <c r="G6" s="9"/>
      <c r="H6" s="17"/>
      <c r="I6" s="19">
        <f>Table310286595105129150[[#This Row],[*Unit Price]]*Table310286595105129150[[#This Row],[*Quantity]]</f>
        <v>0</v>
      </c>
    </row>
    <row r="7" spans="2:10" ht="26.25" customHeight="1" x14ac:dyDescent="0.25">
      <c r="B7" s="9"/>
      <c r="C7" s="9"/>
      <c r="D7" s="2" t="str">
        <f>_xlfn.IFNA(INDEX(Program!A:A,MATCH(Table310286595105129150[[#This Row],[*Program Code]],Program!B:B,0)),"")</f>
        <v/>
      </c>
      <c r="F7" s="10"/>
      <c r="G7" s="9"/>
      <c r="H7" s="17"/>
      <c r="I7" s="19">
        <f>Table310286595105129150[[#This Row],[*Unit Price]]*Table310286595105129150[[#This Row],[*Quantity]]</f>
        <v>0</v>
      </c>
    </row>
    <row r="8" spans="2:10" ht="26.25" customHeight="1" x14ac:dyDescent="0.25">
      <c r="B8" s="9"/>
      <c r="C8" s="9"/>
      <c r="D8" s="2" t="str">
        <f>_xlfn.IFNA(INDEX(Program!A:A,MATCH(Table310286595105129150[[#This Row],[*Program Code]],Program!B:B,0)),"")</f>
        <v/>
      </c>
      <c r="F8" s="10"/>
      <c r="G8" s="9"/>
      <c r="H8" s="17"/>
      <c r="I8" s="19">
        <f>Table310286595105129150[[#This Row],[*Unit Price]]*Table310286595105129150[[#This Row],[*Quantity]]</f>
        <v>0</v>
      </c>
    </row>
    <row r="9" spans="2:10" ht="26.25" customHeight="1" x14ac:dyDescent="0.25">
      <c r="B9" s="9"/>
      <c r="C9" s="9"/>
      <c r="D9" s="2" t="str">
        <f>_xlfn.IFNA(INDEX(Program!A:A,MATCH(Table310286595105129150[[#This Row],[*Program Code]],Program!B:B,0)),"")</f>
        <v/>
      </c>
      <c r="F9" s="10"/>
      <c r="G9" s="9"/>
      <c r="H9" s="17"/>
      <c r="I9" s="19">
        <f>Table310286595105129150[[#This Row],[*Unit Price]]*Table310286595105129150[[#This Row],[*Quantity]]</f>
        <v>0</v>
      </c>
    </row>
    <row r="10" spans="2:10" ht="26.25" customHeight="1" x14ac:dyDescent="0.25">
      <c r="B10" s="9"/>
      <c r="C10" s="9"/>
      <c r="D10" s="2" t="str">
        <f>_xlfn.IFNA(INDEX(Program!A:A,MATCH(Table310286595105129150[[#This Row],[*Program Code]],Program!B:B,0)),"")</f>
        <v/>
      </c>
      <c r="F10" s="10"/>
      <c r="G10" s="9"/>
      <c r="H10" s="17"/>
      <c r="I10" s="19">
        <f>Table310286595105129150[[#This Row],[*Unit Price]]*Table310286595105129150[[#This Row],[*Quantity]]</f>
        <v>0</v>
      </c>
    </row>
    <row r="11" spans="2:10" ht="26.25" customHeight="1" x14ac:dyDescent="0.25">
      <c r="B11" s="9"/>
      <c r="C11" s="9"/>
      <c r="D11" s="2" t="str">
        <f>_xlfn.IFNA(INDEX(Program!A:A,MATCH(Table310286595105129150[[#This Row],[*Program Code]],Program!B:B,0)),"")</f>
        <v/>
      </c>
      <c r="F11" s="10"/>
      <c r="G11" s="9"/>
      <c r="H11" s="17"/>
      <c r="I11" s="19">
        <f>Table310286595105129150[[#This Row],[*Unit Price]]*Table310286595105129150[[#This Row],[*Quantity]]</f>
        <v>0</v>
      </c>
    </row>
    <row r="12" spans="2:10" ht="26.25" customHeight="1" x14ac:dyDescent="0.25">
      <c r="B12" s="9"/>
      <c r="C12" s="9"/>
      <c r="D12" s="3" t="str">
        <f>_xlfn.IFNA(INDEX(Program!A:A,MATCH(Table310286595105129150[[#This Row],[*Program Code]],Program!B:B,0)),"")</f>
        <v/>
      </c>
      <c r="F12" s="10"/>
      <c r="G12" s="9"/>
      <c r="H12" s="17"/>
      <c r="I12" s="19">
        <f>Table310286595105129150[[#This Row],[*Unit Price]]*Table310286595105129150[[#This Row],[*Quantity]]</f>
        <v>0</v>
      </c>
    </row>
    <row r="13" spans="2:10" ht="26.25" customHeight="1" x14ac:dyDescent="0.25">
      <c r="B13" s="9"/>
      <c r="C13" s="9"/>
      <c r="D13" s="3" t="str">
        <f>_xlfn.IFNA(INDEX(Program!A:A,MATCH(Table310286595105129150[[#This Row],[*Program Code]],Program!B:B,0)),"")</f>
        <v/>
      </c>
      <c r="F13" s="10"/>
      <c r="G13" s="9"/>
      <c r="H13" s="17"/>
      <c r="I13" s="19">
        <f>Table310286595105129150[[#This Row],[*Unit Price]]*Table310286595105129150[[#This Row],[*Quantity]]</f>
        <v>0</v>
      </c>
    </row>
    <row r="14" spans="2:10" ht="26.25" customHeight="1" x14ac:dyDescent="0.25">
      <c r="B14" s="12" t="s">
        <v>5</v>
      </c>
      <c r="C14" s="13"/>
      <c r="D14" s="12"/>
      <c r="E14" s="12"/>
      <c r="F14" s="12"/>
      <c r="G14" s="12"/>
      <c r="H14" s="12"/>
      <c r="I14" s="14">
        <f>SUBTOTAL(109,Table310286595105129150[Total Expenditure])</f>
        <v>0</v>
      </c>
      <c r="J14" s="12"/>
    </row>
    <row r="16" spans="2:10" ht="26.25" customHeight="1" x14ac:dyDescent="0.25">
      <c r="B16" s="4">
        <v>423002</v>
      </c>
      <c r="C16" s="5" t="s">
        <v>4427</v>
      </c>
      <c r="D16" s="6"/>
      <c r="E16" s="6"/>
      <c r="F16" s="16"/>
      <c r="G16" s="16"/>
      <c r="H16" s="16"/>
      <c r="I16" s="16"/>
      <c r="J16" s="16"/>
    </row>
    <row r="17" spans="2:10" ht="43.5" customHeight="1" x14ac:dyDescent="0.25">
      <c r="B17" s="8" t="s">
        <v>1</v>
      </c>
      <c r="C17" s="8" t="s">
        <v>4337</v>
      </c>
      <c r="D17" s="8" t="s">
        <v>2</v>
      </c>
      <c r="E17" s="8" t="s">
        <v>4453</v>
      </c>
      <c r="F17" s="8" t="s">
        <v>4436</v>
      </c>
      <c r="G17" s="8" t="s">
        <v>4344</v>
      </c>
      <c r="H17" s="8" t="s">
        <v>4346</v>
      </c>
      <c r="I17" s="8" t="s">
        <v>3</v>
      </c>
      <c r="J17" s="8" t="s">
        <v>4</v>
      </c>
    </row>
    <row r="18" spans="2:10" ht="26.25" customHeight="1" x14ac:dyDescent="0.25">
      <c r="B18" s="9"/>
      <c r="C18" s="9"/>
      <c r="D18" s="2" t="str">
        <f>_xlfn.IFNA(INDEX(Program!A:A,MATCH(Table310286595105129150154[[#This Row],[*Program Code]],Program!B:B,0)),"")</f>
        <v/>
      </c>
      <c r="F18" s="10"/>
      <c r="G18" s="9"/>
      <c r="H18" s="17"/>
      <c r="I18" s="15">
        <f>Table310286595105129150154[[#This Row],[*Unit Price]]*Table310286595105129150154[[#This Row],[*Quantity]]</f>
        <v>0</v>
      </c>
    </row>
    <row r="19" spans="2:10" ht="26.25" customHeight="1" x14ac:dyDescent="0.25">
      <c r="B19" s="9"/>
      <c r="C19" s="9"/>
      <c r="D19" s="2" t="str">
        <f>_xlfn.IFNA(INDEX(Program!A:A,MATCH(Table310286595105129150154[[#This Row],[*Program Code]],Program!B:B,0)),"")</f>
        <v/>
      </c>
      <c r="F19" s="10"/>
      <c r="G19" s="9"/>
      <c r="H19" s="17"/>
      <c r="I19" s="15">
        <f>Table310286595105129150154[[#This Row],[*Unit Price]]*Table310286595105129150154[[#This Row],[*Quantity]]</f>
        <v>0</v>
      </c>
    </row>
    <row r="20" spans="2:10" ht="26.25" customHeight="1" x14ac:dyDescent="0.25">
      <c r="B20" s="9"/>
      <c r="C20" s="9"/>
      <c r="D20" s="2" t="str">
        <f>_xlfn.IFNA(INDEX(Program!A:A,MATCH(Table310286595105129150154[[#This Row],[*Program Code]],Program!B:B,0)),"")</f>
        <v/>
      </c>
      <c r="F20" s="10"/>
      <c r="G20" s="9"/>
      <c r="H20" s="17"/>
      <c r="I20" s="15">
        <f>Table310286595105129150154[[#This Row],[*Unit Price]]*Table310286595105129150154[[#This Row],[*Quantity]]</f>
        <v>0</v>
      </c>
    </row>
    <row r="21" spans="2:10" ht="26.25" customHeight="1" x14ac:dyDescent="0.25">
      <c r="B21" s="9"/>
      <c r="C21" s="9"/>
      <c r="D21" s="2" t="str">
        <f>_xlfn.IFNA(INDEX(Program!A:A,MATCH(Table310286595105129150154[[#This Row],[*Program Code]],Program!B:B,0)),"")</f>
        <v/>
      </c>
      <c r="F21" s="10"/>
      <c r="G21" s="9"/>
      <c r="H21" s="17"/>
      <c r="I21" s="15">
        <f>Table310286595105129150154[[#This Row],[*Unit Price]]*Table310286595105129150154[[#This Row],[*Quantity]]</f>
        <v>0</v>
      </c>
    </row>
    <row r="22" spans="2:10" ht="26.25" customHeight="1" x14ac:dyDescent="0.25">
      <c r="B22" s="9"/>
      <c r="C22" s="9"/>
      <c r="D22" s="2" t="str">
        <f>_xlfn.IFNA(INDEX(Program!A:A,MATCH(Table310286595105129150154[[#This Row],[*Program Code]],Program!B:B,0)),"")</f>
        <v/>
      </c>
      <c r="F22" s="10"/>
      <c r="G22" s="9"/>
      <c r="H22" s="17"/>
      <c r="I22" s="15">
        <f>Table310286595105129150154[[#This Row],[*Unit Price]]*Table310286595105129150154[[#This Row],[*Quantity]]</f>
        <v>0</v>
      </c>
    </row>
    <row r="23" spans="2:10" ht="26.25" customHeight="1" x14ac:dyDescent="0.25">
      <c r="B23" s="9"/>
      <c r="C23" s="9"/>
      <c r="D23" s="3" t="str">
        <f>_xlfn.IFNA(INDEX(Program!A:A,MATCH(Table310286595105129150154[[#This Row],[*Program Code]],Program!B:B,0)),"")</f>
        <v/>
      </c>
      <c r="F23" s="10"/>
      <c r="G23" s="9"/>
      <c r="H23" s="17"/>
      <c r="I23" s="15">
        <f>Table310286595105129150154[[#This Row],[*Unit Price]]*Table310286595105129150154[[#This Row],[*Quantity]]</f>
        <v>0</v>
      </c>
    </row>
    <row r="24" spans="2:10" ht="26.25" customHeight="1" x14ac:dyDescent="0.25">
      <c r="B24" s="9"/>
      <c r="C24" s="9"/>
      <c r="D24" s="3" t="str">
        <f>_xlfn.IFNA(INDEX(Program!A:A,MATCH(Table310286595105129150154[[#This Row],[*Program Code]],Program!B:B,0)),"")</f>
        <v/>
      </c>
      <c r="F24" s="10"/>
      <c r="G24" s="9"/>
      <c r="H24" s="17"/>
      <c r="I24" s="15">
        <f>Table310286595105129150154[[#This Row],[*Unit Price]]*Table310286595105129150154[[#This Row],[*Quantity]]</f>
        <v>0</v>
      </c>
    </row>
    <row r="25" spans="2:10" ht="26.25" customHeight="1" x14ac:dyDescent="0.25">
      <c r="B25" s="12" t="s">
        <v>5</v>
      </c>
      <c r="C25" s="13"/>
      <c r="D25" s="12"/>
      <c r="E25" s="12"/>
      <c r="F25" s="12"/>
      <c r="G25" s="12"/>
      <c r="H25" s="12"/>
      <c r="I25" s="14">
        <f>SUBTOTAL(109,Table310286595105129150154[Total Expenditure])</f>
        <v>0</v>
      </c>
      <c r="J25" s="12"/>
    </row>
    <row r="27" spans="2:10" ht="26.25" customHeight="1" x14ac:dyDescent="0.25">
      <c r="B27" s="4">
        <v>423003</v>
      </c>
      <c r="C27" s="5" t="s">
        <v>4428</v>
      </c>
      <c r="D27" s="6"/>
      <c r="E27" s="6"/>
      <c r="F27" s="16"/>
      <c r="G27" s="16"/>
      <c r="H27" s="16"/>
      <c r="I27" s="16"/>
      <c r="J27" s="16"/>
    </row>
    <row r="28" spans="2:10" ht="43.5" customHeight="1" x14ac:dyDescent="0.25">
      <c r="B28" s="8" t="s">
        <v>1</v>
      </c>
      <c r="C28" s="8" t="s">
        <v>4337</v>
      </c>
      <c r="D28" s="8" t="s">
        <v>2</v>
      </c>
      <c r="E28" s="8" t="s">
        <v>4453</v>
      </c>
      <c r="F28" s="8" t="s">
        <v>4436</v>
      </c>
      <c r="G28" s="8" t="s">
        <v>4344</v>
      </c>
      <c r="H28" s="8" t="s">
        <v>4346</v>
      </c>
      <c r="I28" s="8" t="s">
        <v>3</v>
      </c>
      <c r="J28" s="8" t="s">
        <v>4</v>
      </c>
    </row>
    <row r="29" spans="2:10" ht="26.25" customHeight="1" x14ac:dyDescent="0.25">
      <c r="B29" s="9"/>
      <c r="C29" s="9"/>
      <c r="D29" s="2" t="str">
        <f>_xlfn.IFNA(INDEX(Program!A:A,MATCH(Table310286595105129150154155[[#This Row],[*Program Code]],Program!B:B,0)),"")</f>
        <v/>
      </c>
      <c r="F29" s="10"/>
      <c r="G29" s="9"/>
      <c r="H29" s="17"/>
      <c r="I29" s="15">
        <f>Table310286595105129150154155[[#This Row],[*Unit Price]]*Table310286595105129150154155[[#This Row],[*Quantity]]</f>
        <v>0</v>
      </c>
    </row>
    <row r="30" spans="2:10" ht="26.25" customHeight="1" x14ac:dyDescent="0.25">
      <c r="B30" s="9"/>
      <c r="C30" s="9"/>
      <c r="D30" s="2" t="str">
        <f>_xlfn.IFNA(INDEX(Program!A:A,MATCH(Table310286595105129150154155[[#This Row],[*Program Code]],Program!B:B,0)),"")</f>
        <v/>
      </c>
      <c r="F30" s="10"/>
      <c r="G30" s="9"/>
      <c r="H30" s="17"/>
      <c r="I30" s="15">
        <f>Table310286595105129150154155[[#This Row],[*Unit Price]]*Table310286595105129150154155[[#This Row],[*Quantity]]</f>
        <v>0</v>
      </c>
    </row>
    <row r="31" spans="2:10" ht="26.25" customHeight="1" x14ac:dyDescent="0.25">
      <c r="B31" s="9"/>
      <c r="C31" s="9"/>
      <c r="D31" s="2" t="str">
        <f>_xlfn.IFNA(INDEX(Program!A:A,MATCH(Table310286595105129150154155[[#This Row],[*Program Code]],Program!B:B,0)),"")</f>
        <v/>
      </c>
      <c r="F31" s="10"/>
      <c r="G31" s="9"/>
      <c r="H31" s="17"/>
      <c r="I31" s="15">
        <f>Table310286595105129150154155[[#This Row],[*Unit Price]]*Table310286595105129150154155[[#This Row],[*Quantity]]</f>
        <v>0</v>
      </c>
    </row>
    <row r="32" spans="2:10" ht="26.25" customHeight="1" x14ac:dyDescent="0.25">
      <c r="B32" s="9"/>
      <c r="C32" s="9"/>
      <c r="D32" s="2" t="str">
        <f>_xlfn.IFNA(INDEX(Program!A:A,MATCH(Table310286595105129150154155[[#This Row],[*Program Code]],Program!B:B,0)),"")</f>
        <v/>
      </c>
      <c r="F32" s="10"/>
      <c r="G32" s="9"/>
      <c r="H32" s="17"/>
      <c r="I32" s="15">
        <f>Table310286595105129150154155[[#This Row],[*Unit Price]]*Table310286595105129150154155[[#This Row],[*Quantity]]</f>
        <v>0</v>
      </c>
    </row>
    <row r="33" spans="2:10" ht="26.25" customHeight="1" x14ac:dyDescent="0.25">
      <c r="B33" s="9"/>
      <c r="C33" s="9"/>
      <c r="D33" s="2" t="str">
        <f>_xlfn.IFNA(INDEX(Program!A:A,MATCH(Table310286595105129150154155[[#This Row],[*Program Code]],Program!B:B,0)),"")</f>
        <v/>
      </c>
      <c r="F33" s="10"/>
      <c r="G33" s="9"/>
      <c r="H33" s="17"/>
      <c r="I33" s="15">
        <f>Table310286595105129150154155[[#This Row],[*Unit Price]]*Table310286595105129150154155[[#This Row],[*Quantity]]</f>
        <v>0</v>
      </c>
    </row>
    <row r="34" spans="2:10" ht="26.25" customHeight="1" x14ac:dyDescent="0.25">
      <c r="B34" s="9"/>
      <c r="C34" s="9"/>
      <c r="D34" s="3" t="str">
        <f>_xlfn.IFNA(INDEX(Program!A:A,MATCH(Table310286595105129150154155[[#This Row],[*Program Code]],Program!B:B,0)),"")</f>
        <v/>
      </c>
      <c r="F34" s="10"/>
      <c r="G34" s="9"/>
      <c r="H34" s="17"/>
      <c r="I34" s="15">
        <f>Table310286595105129150154155[[#This Row],[*Unit Price]]*Table310286595105129150154155[[#This Row],[*Quantity]]</f>
        <v>0</v>
      </c>
    </row>
    <row r="35" spans="2:10" ht="26.25" customHeight="1" x14ac:dyDescent="0.25">
      <c r="B35" s="9"/>
      <c r="C35" s="9"/>
      <c r="D35" s="3" t="str">
        <f>_xlfn.IFNA(INDEX(Program!A:A,MATCH(Table310286595105129150154155[[#This Row],[*Program Code]],Program!B:B,0)),"")</f>
        <v/>
      </c>
      <c r="F35" s="10"/>
      <c r="G35" s="9"/>
      <c r="H35" s="17"/>
      <c r="I35" s="15">
        <f>Table310286595105129150154155[[#This Row],[*Unit Price]]*Table310286595105129150154155[[#This Row],[*Quantity]]</f>
        <v>0</v>
      </c>
    </row>
    <row r="36" spans="2:10" ht="26.25" customHeight="1" x14ac:dyDescent="0.25">
      <c r="B36" s="12" t="s">
        <v>5</v>
      </c>
      <c r="C36" s="13"/>
      <c r="D36" s="12"/>
      <c r="E36" s="12"/>
      <c r="F36" s="12"/>
      <c r="G36" s="12"/>
      <c r="H36" s="12"/>
      <c r="I36" s="14">
        <f>SUBTOTAL(109,Table310286595105129150154155[Total Expenditure])</f>
        <v>0</v>
      </c>
      <c r="J36" s="12"/>
    </row>
    <row r="38" spans="2:10" ht="26.25" customHeight="1" x14ac:dyDescent="0.25">
      <c r="B38" s="4">
        <v>423004</v>
      </c>
      <c r="C38" s="5" t="s">
        <v>4429</v>
      </c>
      <c r="D38" s="6"/>
      <c r="E38" s="6"/>
      <c r="F38" s="16"/>
      <c r="G38" s="16"/>
      <c r="H38" s="16"/>
      <c r="I38" s="16"/>
      <c r="J38" s="16"/>
    </row>
    <row r="39" spans="2:10" ht="43.5" customHeight="1" x14ac:dyDescent="0.25">
      <c r="B39" s="8" t="s">
        <v>1</v>
      </c>
      <c r="C39" s="8" t="s">
        <v>4337</v>
      </c>
      <c r="D39" s="8" t="s">
        <v>2</v>
      </c>
      <c r="E39" s="8" t="s">
        <v>4453</v>
      </c>
      <c r="F39" s="8" t="s">
        <v>4436</v>
      </c>
      <c r="G39" s="8" t="s">
        <v>4344</v>
      </c>
      <c r="H39" s="8" t="s">
        <v>4346</v>
      </c>
      <c r="I39" s="8" t="s">
        <v>3</v>
      </c>
      <c r="J39" s="8" t="s">
        <v>4</v>
      </c>
    </row>
    <row r="40" spans="2:10" ht="26.25" customHeight="1" x14ac:dyDescent="0.25">
      <c r="B40" s="9"/>
      <c r="C40" s="9"/>
      <c r="D40" s="2" t="str">
        <f>_xlfn.IFNA(INDEX(Program!A:A,MATCH(Table310286595105129150154155156[[#This Row],[*Program Code]],Program!B:B,0)),"")</f>
        <v/>
      </c>
      <c r="F40" s="10"/>
      <c r="G40" s="9"/>
      <c r="H40" s="17"/>
      <c r="I40" s="15">
        <f>Table310286595105129150154155156[[#This Row],[*Unit Price]]*Table310286595105129150154155156[[#This Row],[*Quantity]]</f>
        <v>0</v>
      </c>
    </row>
    <row r="41" spans="2:10" ht="26.25" customHeight="1" x14ac:dyDescent="0.25">
      <c r="B41" s="9"/>
      <c r="C41" s="9"/>
      <c r="D41" s="2" t="str">
        <f>_xlfn.IFNA(INDEX(Program!A:A,MATCH(Table310286595105129150154155156[[#This Row],[*Program Code]],Program!B:B,0)),"")</f>
        <v/>
      </c>
      <c r="F41" s="10"/>
      <c r="G41" s="9"/>
      <c r="H41" s="17"/>
      <c r="I41" s="15">
        <f>Table310286595105129150154155156[[#This Row],[*Unit Price]]*Table310286595105129150154155156[[#This Row],[*Quantity]]</f>
        <v>0</v>
      </c>
    </row>
    <row r="42" spans="2:10" ht="26.25" customHeight="1" x14ac:dyDescent="0.25">
      <c r="B42" s="9"/>
      <c r="C42" s="9"/>
      <c r="D42" s="2" t="str">
        <f>_xlfn.IFNA(INDEX(Program!A:A,MATCH(Table310286595105129150154155156[[#This Row],[*Program Code]],Program!B:B,0)),"")</f>
        <v/>
      </c>
      <c r="F42" s="10"/>
      <c r="G42" s="9"/>
      <c r="H42" s="17"/>
      <c r="I42" s="15">
        <f>Table310286595105129150154155156[[#This Row],[*Unit Price]]*Table310286595105129150154155156[[#This Row],[*Quantity]]</f>
        <v>0</v>
      </c>
    </row>
    <row r="43" spans="2:10" ht="26.25" customHeight="1" x14ac:dyDescent="0.25">
      <c r="B43" s="9"/>
      <c r="C43" s="9"/>
      <c r="D43" s="2" t="str">
        <f>_xlfn.IFNA(INDEX(Program!A:A,MATCH(Table310286595105129150154155156[[#This Row],[*Program Code]],Program!B:B,0)),"")</f>
        <v/>
      </c>
      <c r="F43" s="10"/>
      <c r="G43" s="9"/>
      <c r="H43" s="17"/>
      <c r="I43" s="15">
        <f>Table310286595105129150154155156[[#This Row],[*Unit Price]]*Table310286595105129150154155156[[#This Row],[*Quantity]]</f>
        <v>0</v>
      </c>
    </row>
    <row r="44" spans="2:10" ht="26.25" customHeight="1" x14ac:dyDescent="0.25">
      <c r="B44" s="9"/>
      <c r="C44" s="9"/>
      <c r="D44" s="2" t="str">
        <f>_xlfn.IFNA(INDEX(Program!A:A,MATCH(Table310286595105129150154155156[[#This Row],[*Program Code]],Program!B:B,0)),"")</f>
        <v/>
      </c>
      <c r="F44" s="10"/>
      <c r="G44" s="9"/>
      <c r="H44" s="17"/>
      <c r="I44" s="15">
        <f>Table310286595105129150154155156[[#This Row],[*Unit Price]]*Table310286595105129150154155156[[#This Row],[*Quantity]]</f>
        <v>0</v>
      </c>
    </row>
    <row r="45" spans="2:10" ht="26.25" customHeight="1" x14ac:dyDescent="0.25">
      <c r="B45" s="9"/>
      <c r="C45" s="9"/>
      <c r="D45" s="3" t="str">
        <f>_xlfn.IFNA(INDEX(Program!A:A,MATCH(Table310286595105129150154155156[[#This Row],[*Program Code]],Program!B:B,0)),"")</f>
        <v/>
      </c>
      <c r="F45" s="10"/>
      <c r="G45" s="9"/>
      <c r="H45" s="17"/>
      <c r="I45" s="15">
        <f>Table310286595105129150154155156[[#This Row],[*Unit Price]]*Table310286595105129150154155156[[#This Row],[*Quantity]]</f>
        <v>0</v>
      </c>
    </row>
    <row r="46" spans="2:10" ht="26.25" customHeight="1" x14ac:dyDescent="0.25">
      <c r="B46" s="9"/>
      <c r="C46" s="9"/>
      <c r="D46" s="3" t="str">
        <f>_xlfn.IFNA(INDEX(Program!A:A,MATCH(Table310286595105129150154155156[[#This Row],[*Program Code]],Program!B:B,0)),"")</f>
        <v/>
      </c>
      <c r="F46" s="10"/>
      <c r="G46" s="9"/>
      <c r="H46" s="17"/>
      <c r="I46" s="15">
        <f>Table310286595105129150154155156[[#This Row],[*Unit Price]]*Table310286595105129150154155156[[#This Row],[*Quantity]]</f>
        <v>0</v>
      </c>
    </row>
    <row r="47" spans="2:10" ht="26.25" customHeight="1" x14ac:dyDescent="0.25">
      <c r="B47" s="12" t="s">
        <v>5</v>
      </c>
      <c r="C47" s="13"/>
      <c r="D47" s="12"/>
      <c r="E47" s="12"/>
      <c r="F47" s="12"/>
      <c r="G47" s="12"/>
      <c r="H47" s="12"/>
      <c r="I47" s="14">
        <f>SUBTOTAL(109,Table310286595105129150154155156[Total Expenditure])</f>
        <v>0</v>
      </c>
      <c r="J47" s="12"/>
    </row>
    <row r="49" spans="2:10" ht="26.25" customHeight="1" x14ac:dyDescent="0.25">
      <c r="B49" s="4">
        <v>423005</v>
      </c>
      <c r="C49" s="5" t="s">
        <v>4430</v>
      </c>
      <c r="D49" s="6"/>
      <c r="E49" s="6"/>
      <c r="F49" s="16"/>
      <c r="G49" s="16"/>
      <c r="H49" s="16"/>
      <c r="I49" s="16"/>
      <c r="J49" s="16"/>
    </row>
    <row r="50" spans="2:10" ht="43.5" customHeight="1" x14ac:dyDescent="0.25">
      <c r="B50" s="8" t="s">
        <v>1</v>
      </c>
      <c r="C50" s="8" t="s">
        <v>4337</v>
      </c>
      <c r="D50" s="8" t="s">
        <v>2</v>
      </c>
      <c r="E50" s="8" t="s">
        <v>4453</v>
      </c>
      <c r="F50" s="8" t="s">
        <v>4436</v>
      </c>
      <c r="G50" s="8" t="s">
        <v>4344</v>
      </c>
      <c r="H50" s="8" t="s">
        <v>4346</v>
      </c>
      <c r="I50" s="8" t="s">
        <v>3</v>
      </c>
      <c r="J50" s="8" t="s">
        <v>4</v>
      </c>
    </row>
    <row r="51" spans="2:10" ht="26.25" customHeight="1" x14ac:dyDescent="0.25">
      <c r="B51" s="9"/>
      <c r="C51" s="9"/>
      <c r="D51" s="2" t="str">
        <f>_xlfn.IFNA(INDEX(Program!A:A,MATCH(Table310286595105129150154155156157[[#This Row],[*Program Code]],Program!B:B,0)),"")</f>
        <v/>
      </c>
      <c r="F51" s="10"/>
      <c r="G51" s="9"/>
      <c r="H51" s="17"/>
      <c r="I51" s="15">
        <f>Table310286595105129150154155156157[[#This Row],[*Unit Price]]*Table310286595105129150154155156157[[#This Row],[*Quantity]]</f>
        <v>0</v>
      </c>
    </row>
    <row r="52" spans="2:10" ht="26.25" customHeight="1" x14ac:dyDescent="0.25">
      <c r="B52" s="9"/>
      <c r="C52" s="9"/>
      <c r="D52" s="2" t="str">
        <f>_xlfn.IFNA(INDEX(Program!A:A,MATCH(Table310286595105129150154155156157[[#This Row],[*Program Code]],Program!B:B,0)),"")</f>
        <v/>
      </c>
      <c r="F52" s="10"/>
      <c r="G52" s="9"/>
      <c r="H52" s="17"/>
      <c r="I52" s="15">
        <f>Table310286595105129150154155156157[[#This Row],[*Unit Price]]*Table310286595105129150154155156157[[#This Row],[*Quantity]]</f>
        <v>0</v>
      </c>
    </row>
    <row r="53" spans="2:10" ht="26.25" customHeight="1" x14ac:dyDescent="0.25">
      <c r="B53" s="9"/>
      <c r="C53" s="9"/>
      <c r="D53" s="2" t="str">
        <f>_xlfn.IFNA(INDEX(Program!A:A,MATCH(Table310286595105129150154155156157[[#This Row],[*Program Code]],Program!B:B,0)),"")</f>
        <v/>
      </c>
      <c r="F53" s="10"/>
      <c r="G53" s="9"/>
      <c r="H53" s="17"/>
      <c r="I53" s="15">
        <f>Table310286595105129150154155156157[[#This Row],[*Unit Price]]*Table310286595105129150154155156157[[#This Row],[*Quantity]]</f>
        <v>0</v>
      </c>
    </row>
    <row r="54" spans="2:10" ht="26.25" customHeight="1" x14ac:dyDescent="0.25">
      <c r="B54" s="9"/>
      <c r="C54" s="9"/>
      <c r="D54" s="2" t="str">
        <f>_xlfn.IFNA(INDEX(Program!A:A,MATCH(Table310286595105129150154155156157[[#This Row],[*Program Code]],Program!B:B,0)),"")</f>
        <v/>
      </c>
      <c r="F54" s="10"/>
      <c r="G54" s="9"/>
      <c r="H54" s="17"/>
      <c r="I54" s="15">
        <f>Table310286595105129150154155156157[[#This Row],[*Unit Price]]*Table310286595105129150154155156157[[#This Row],[*Quantity]]</f>
        <v>0</v>
      </c>
    </row>
    <row r="55" spans="2:10" ht="26.25" customHeight="1" x14ac:dyDescent="0.25">
      <c r="B55" s="9"/>
      <c r="C55" s="9"/>
      <c r="D55" s="2" t="str">
        <f>_xlfn.IFNA(INDEX(Program!A:A,MATCH(Table310286595105129150154155156157[[#This Row],[*Program Code]],Program!B:B,0)),"")</f>
        <v/>
      </c>
      <c r="F55" s="10"/>
      <c r="G55" s="9"/>
      <c r="H55" s="17"/>
      <c r="I55" s="15">
        <f>Table310286595105129150154155156157[[#This Row],[*Unit Price]]*Table310286595105129150154155156157[[#This Row],[*Quantity]]</f>
        <v>0</v>
      </c>
    </row>
    <row r="56" spans="2:10" ht="26.25" customHeight="1" x14ac:dyDescent="0.25">
      <c r="B56" s="9"/>
      <c r="C56" s="9"/>
      <c r="D56" s="3" t="str">
        <f>_xlfn.IFNA(INDEX(Program!A:A,MATCH(Table310286595105129150154155156157[[#This Row],[*Program Code]],Program!B:B,0)),"")</f>
        <v/>
      </c>
      <c r="F56" s="10"/>
      <c r="G56" s="9"/>
      <c r="H56" s="17"/>
      <c r="I56" s="15">
        <f>Table310286595105129150154155156157[[#This Row],[*Unit Price]]*Table310286595105129150154155156157[[#This Row],[*Quantity]]</f>
        <v>0</v>
      </c>
    </row>
    <row r="57" spans="2:10" ht="26.25" customHeight="1" x14ac:dyDescent="0.25">
      <c r="B57" s="9"/>
      <c r="C57" s="9"/>
      <c r="D57" s="3" t="str">
        <f>_xlfn.IFNA(INDEX(Program!A:A,MATCH(Table310286595105129150154155156157[[#This Row],[*Program Code]],Program!B:B,0)),"")</f>
        <v/>
      </c>
      <c r="F57" s="10"/>
      <c r="G57" s="9"/>
      <c r="H57" s="17"/>
      <c r="I57" s="15">
        <f>Table310286595105129150154155156157[[#This Row],[*Unit Price]]*Table310286595105129150154155156157[[#This Row],[*Quantity]]</f>
        <v>0</v>
      </c>
    </row>
    <row r="58" spans="2:10" ht="26.25" customHeight="1" x14ac:dyDescent="0.25">
      <c r="B58" s="12" t="s">
        <v>5</v>
      </c>
      <c r="C58" s="13"/>
      <c r="D58" s="12"/>
      <c r="E58" s="12"/>
      <c r="F58" s="12"/>
      <c r="G58" s="12"/>
      <c r="H58" s="12"/>
      <c r="I58" s="14">
        <f>SUBTOTAL(109,Table310286595105129150154155156157[Total Expenditure])</f>
        <v>0</v>
      </c>
      <c r="J58" s="12"/>
    </row>
    <row r="60" spans="2:10" ht="26.25" customHeight="1" x14ac:dyDescent="0.25">
      <c r="B60" s="4">
        <v>423006</v>
      </c>
      <c r="C60" s="5" t="s">
        <v>4431</v>
      </c>
      <c r="D60" s="6"/>
      <c r="E60" s="6"/>
      <c r="F60" s="16"/>
      <c r="G60" s="16"/>
      <c r="H60" s="16"/>
      <c r="I60" s="16"/>
      <c r="J60" s="16"/>
    </row>
    <row r="61" spans="2:10" ht="43.5" customHeight="1" x14ac:dyDescent="0.25">
      <c r="B61" s="8" t="s">
        <v>1</v>
      </c>
      <c r="C61" s="8" t="s">
        <v>4337</v>
      </c>
      <c r="D61" s="8" t="s">
        <v>2</v>
      </c>
      <c r="E61" s="8" t="s">
        <v>4453</v>
      </c>
      <c r="F61" s="8" t="s">
        <v>4436</v>
      </c>
      <c r="G61" s="8" t="s">
        <v>4344</v>
      </c>
      <c r="H61" s="8" t="s">
        <v>4346</v>
      </c>
      <c r="I61" s="8" t="s">
        <v>3</v>
      </c>
      <c r="J61" s="8" t="s">
        <v>4</v>
      </c>
    </row>
    <row r="62" spans="2:10" ht="26.25" customHeight="1" x14ac:dyDescent="0.25">
      <c r="B62" s="9"/>
      <c r="C62" s="9"/>
      <c r="D62" s="2" t="str">
        <f>_xlfn.IFNA(INDEX(Program!A:A,MATCH(Table310286595105129150154155156157158[[#This Row],[*Program Code]],Program!B:B,0)),"")</f>
        <v/>
      </c>
      <c r="F62" s="10"/>
      <c r="G62" s="9"/>
      <c r="H62" s="17"/>
      <c r="I62" s="15">
        <f>Table310286595105129150154155156157158[[#This Row],[*Unit Price]]*Table310286595105129150154155156157158[[#This Row],[*Quantity]]</f>
        <v>0</v>
      </c>
    </row>
    <row r="63" spans="2:10" ht="26.25" customHeight="1" x14ac:dyDescent="0.25">
      <c r="B63" s="9"/>
      <c r="C63" s="9"/>
      <c r="D63" s="2" t="str">
        <f>_xlfn.IFNA(INDEX(Program!A:A,MATCH(Table310286595105129150154155156157158[[#This Row],[*Program Code]],Program!B:B,0)),"")</f>
        <v/>
      </c>
      <c r="F63" s="10"/>
      <c r="G63" s="9"/>
      <c r="H63" s="17"/>
      <c r="I63" s="15">
        <f>Table310286595105129150154155156157158[[#This Row],[*Unit Price]]*Table310286595105129150154155156157158[[#This Row],[*Quantity]]</f>
        <v>0</v>
      </c>
    </row>
    <row r="64" spans="2:10" ht="26.25" customHeight="1" x14ac:dyDescent="0.25">
      <c r="B64" s="9"/>
      <c r="C64" s="9"/>
      <c r="D64" s="2" t="str">
        <f>_xlfn.IFNA(INDEX(Program!A:A,MATCH(Table310286595105129150154155156157158[[#This Row],[*Program Code]],Program!B:B,0)),"")</f>
        <v/>
      </c>
      <c r="F64" s="10"/>
      <c r="G64" s="9"/>
      <c r="H64" s="17"/>
      <c r="I64" s="15">
        <f>Table310286595105129150154155156157158[[#This Row],[*Unit Price]]*Table310286595105129150154155156157158[[#This Row],[*Quantity]]</f>
        <v>0</v>
      </c>
    </row>
    <row r="65" spans="2:10" ht="26.25" customHeight="1" x14ac:dyDescent="0.25">
      <c r="B65" s="9"/>
      <c r="C65" s="9"/>
      <c r="D65" s="2" t="str">
        <f>_xlfn.IFNA(INDEX(Program!A:A,MATCH(Table310286595105129150154155156157158[[#This Row],[*Program Code]],Program!B:B,0)),"")</f>
        <v/>
      </c>
      <c r="F65" s="10"/>
      <c r="G65" s="9"/>
      <c r="H65" s="17"/>
      <c r="I65" s="15">
        <f>Table310286595105129150154155156157158[[#This Row],[*Unit Price]]*Table310286595105129150154155156157158[[#This Row],[*Quantity]]</f>
        <v>0</v>
      </c>
    </row>
    <row r="66" spans="2:10" ht="26.25" customHeight="1" x14ac:dyDescent="0.25">
      <c r="B66" s="9"/>
      <c r="C66" s="9"/>
      <c r="D66" s="2" t="str">
        <f>_xlfn.IFNA(INDEX(Program!A:A,MATCH(Table310286595105129150154155156157158[[#This Row],[*Program Code]],Program!B:B,0)),"")</f>
        <v/>
      </c>
      <c r="F66" s="10"/>
      <c r="G66" s="9"/>
      <c r="H66" s="17"/>
      <c r="I66" s="15">
        <f>Table310286595105129150154155156157158[[#This Row],[*Unit Price]]*Table310286595105129150154155156157158[[#This Row],[*Quantity]]</f>
        <v>0</v>
      </c>
    </row>
    <row r="67" spans="2:10" ht="26.25" customHeight="1" x14ac:dyDescent="0.25">
      <c r="B67" s="9"/>
      <c r="C67" s="9"/>
      <c r="D67" s="3" t="str">
        <f>_xlfn.IFNA(INDEX(Program!A:A,MATCH(Table310286595105129150154155156157158[[#This Row],[*Program Code]],Program!B:B,0)),"")</f>
        <v/>
      </c>
      <c r="F67" s="10"/>
      <c r="G67" s="9"/>
      <c r="H67" s="17"/>
      <c r="I67" s="15">
        <f>Table310286595105129150154155156157158[[#This Row],[*Unit Price]]*Table310286595105129150154155156157158[[#This Row],[*Quantity]]</f>
        <v>0</v>
      </c>
    </row>
    <row r="68" spans="2:10" ht="26.25" customHeight="1" x14ac:dyDescent="0.25">
      <c r="B68" s="9"/>
      <c r="C68" s="9"/>
      <c r="D68" s="3" t="str">
        <f>_xlfn.IFNA(INDEX(Program!A:A,MATCH(Table310286595105129150154155156157158[[#This Row],[*Program Code]],Program!B:B,0)),"")</f>
        <v/>
      </c>
      <c r="F68" s="10"/>
      <c r="G68" s="9"/>
      <c r="H68" s="17"/>
      <c r="I68" s="15">
        <f>Table310286595105129150154155156157158[[#This Row],[*Unit Price]]*Table310286595105129150154155156157158[[#This Row],[*Quantity]]</f>
        <v>0</v>
      </c>
    </row>
    <row r="69" spans="2:10" ht="26.25" customHeight="1" x14ac:dyDescent="0.25">
      <c r="B69" s="12" t="s">
        <v>5</v>
      </c>
      <c r="C69" s="13"/>
      <c r="D69" s="12"/>
      <c r="E69" s="12"/>
      <c r="F69" s="12"/>
      <c r="G69" s="12"/>
      <c r="H69" s="12"/>
      <c r="I69" s="14">
        <f>SUBTOTAL(109,Table310286595105129150154155156157158[Total Expenditure])</f>
        <v>0</v>
      </c>
      <c r="J69" s="12"/>
    </row>
    <row r="71" spans="2:10" ht="26.25" customHeight="1" x14ac:dyDescent="0.25">
      <c r="B71" s="4">
        <v>423007</v>
      </c>
      <c r="C71" s="5" t="s">
        <v>4432</v>
      </c>
      <c r="D71" s="6"/>
      <c r="E71" s="6"/>
      <c r="F71" s="16"/>
      <c r="G71" s="16"/>
      <c r="H71" s="16"/>
      <c r="I71" s="16"/>
      <c r="J71" s="16"/>
    </row>
    <row r="72" spans="2:10" ht="43.5" customHeight="1" x14ac:dyDescent="0.25">
      <c r="B72" s="8" t="s">
        <v>1</v>
      </c>
      <c r="C72" s="8" t="s">
        <v>4337</v>
      </c>
      <c r="D72" s="8" t="s">
        <v>2</v>
      </c>
      <c r="E72" s="8" t="s">
        <v>4453</v>
      </c>
      <c r="F72" s="8" t="s">
        <v>4436</v>
      </c>
      <c r="G72" s="8" t="s">
        <v>4344</v>
      </c>
      <c r="H72" s="8" t="s">
        <v>4346</v>
      </c>
      <c r="I72" s="8" t="s">
        <v>3</v>
      </c>
      <c r="J72" s="8" t="s">
        <v>4</v>
      </c>
    </row>
    <row r="73" spans="2:10" ht="26.25" customHeight="1" x14ac:dyDescent="0.25">
      <c r="B73" s="9"/>
      <c r="C73" s="9"/>
      <c r="D73" s="2" t="str">
        <f>_xlfn.IFNA(INDEX(Program!A:A,MATCH(Table310286595105129150154155156157158159[[#This Row],[*Program Code]],Program!B:B,0)),"")</f>
        <v/>
      </c>
      <c r="F73" s="10"/>
      <c r="G73" s="9"/>
      <c r="H73" s="17"/>
      <c r="I73" s="15">
        <f>Table310286595105129150154155156157158159[[#This Row],[*Unit Price]]*Table310286595105129150154155156157158159[[#This Row],[*Quantity]]</f>
        <v>0</v>
      </c>
    </row>
    <row r="74" spans="2:10" ht="26.25" customHeight="1" x14ac:dyDescent="0.25">
      <c r="B74" s="9"/>
      <c r="C74" s="9"/>
      <c r="D74" s="2" t="str">
        <f>_xlfn.IFNA(INDEX(Program!A:A,MATCH(Table310286595105129150154155156157158159[[#This Row],[*Program Code]],Program!B:B,0)),"")</f>
        <v/>
      </c>
      <c r="F74" s="10"/>
      <c r="G74" s="9"/>
      <c r="H74" s="17"/>
      <c r="I74" s="15">
        <f>Table310286595105129150154155156157158159[[#This Row],[*Unit Price]]*Table310286595105129150154155156157158159[[#This Row],[*Quantity]]</f>
        <v>0</v>
      </c>
    </row>
    <row r="75" spans="2:10" ht="26.25" customHeight="1" x14ac:dyDescent="0.25">
      <c r="B75" s="9"/>
      <c r="C75" s="9"/>
      <c r="D75" s="2" t="str">
        <f>_xlfn.IFNA(INDEX(Program!A:A,MATCH(Table310286595105129150154155156157158159[[#This Row],[*Program Code]],Program!B:B,0)),"")</f>
        <v/>
      </c>
      <c r="F75" s="10"/>
      <c r="G75" s="9"/>
      <c r="H75" s="17"/>
      <c r="I75" s="15">
        <f>Table310286595105129150154155156157158159[[#This Row],[*Unit Price]]*Table310286595105129150154155156157158159[[#This Row],[*Quantity]]</f>
        <v>0</v>
      </c>
    </row>
    <row r="76" spans="2:10" ht="26.25" customHeight="1" x14ac:dyDescent="0.25">
      <c r="B76" s="9"/>
      <c r="C76" s="9"/>
      <c r="D76" s="2" t="str">
        <f>_xlfn.IFNA(INDEX(Program!A:A,MATCH(Table310286595105129150154155156157158159[[#This Row],[*Program Code]],Program!B:B,0)),"")</f>
        <v/>
      </c>
      <c r="F76" s="10"/>
      <c r="G76" s="9"/>
      <c r="H76" s="17"/>
      <c r="I76" s="15">
        <f>Table310286595105129150154155156157158159[[#This Row],[*Unit Price]]*Table310286595105129150154155156157158159[[#This Row],[*Quantity]]</f>
        <v>0</v>
      </c>
    </row>
    <row r="77" spans="2:10" ht="26.25" customHeight="1" x14ac:dyDescent="0.25">
      <c r="B77" s="9"/>
      <c r="C77" s="9"/>
      <c r="D77" s="2" t="str">
        <f>_xlfn.IFNA(INDEX(Program!A:A,MATCH(Table310286595105129150154155156157158159[[#This Row],[*Program Code]],Program!B:B,0)),"")</f>
        <v/>
      </c>
      <c r="F77" s="10"/>
      <c r="G77" s="9"/>
      <c r="H77" s="17"/>
      <c r="I77" s="15">
        <f>Table310286595105129150154155156157158159[[#This Row],[*Unit Price]]*Table310286595105129150154155156157158159[[#This Row],[*Quantity]]</f>
        <v>0</v>
      </c>
    </row>
    <row r="78" spans="2:10" ht="26.25" customHeight="1" x14ac:dyDescent="0.25">
      <c r="B78" s="9"/>
      <c r="C78" s="9"/>
      <c r="D78" s="3" t="str">
        <f>_xlfn.IFNA(INDEX(Program!A:A,MATCH(Table310286595105129150154155156157158159[[#This Row],[*Program Code]],Program!B:B,0)),"")</f>
        <v/>
      </c>
      <c r="F78" s="10"/>
      <c r="G78" s="9"/>
      <c r="H78" s="17"/>
      <c r="I78" s="15">
        <f>Table310286595105129150154155156157158159[[#This Row],[*Unit Price]]*Table310286595105129150154155156157158159[[#This Row],[*Quantity]]</f>
        <v>0</v>
      </c>
    </row>
    <row r="79" spans="2:10" ht="26.25" customHeight="1" x14ac:dyDescent="0.25">
      <c r="B79" s="9"/>
      <c r="C79" s="9"/>
      <c r="D79" s="3" t="str">
        <f>_xlfn.IFNA(INDEX(Program!A:A,MATCH(Table310286595105129150154155156157158159[[#This Row],[*Program Code]],Program!B:B,0)),"")</f>
        <v/>
      </c>
      <c r="F79" s="10"/>
      <c r="G79" s="9"/>
      <c r="H79" s="17"/>
      <c r="I79" s="15">
        <f>Table310286595105129150154155156157158159[[#This Row],[*Unit Price]]*Table310286595105129150154155156157158159[[#This Row],[*Quantity]]</f>
        <v>0</v>
      </c>
    </row>
    <row r="80" spans="2:10" ht="26.25" customHeight="1" x14ac:dyDescent="0.25">
      <c r="B80" s="12" t="s">
        <v>5</v>
      </c>
      <c r="C80" s="13"/>
      <c r="D80" s="12"/>
      <c r="E80" s="12"/>
      <c r="F80" s="12"/>
      <c r="G80" s="12"/>
      <c r="H80" s="12"/>
      <c r="I80" s="14">
        <f>SUBTOTAL(109,Table310286595105129150154155156157158159[Total Expenditure])</f>
        <v>0</v>
      </c>
      <c r="J80" s="12"/>
    </row>
    <row r="82" spans="2:10" ht="26.25" customHeight="1" x14ac:dyDescent="0.25">
      <c r="B82" s="4">
        <v>423008</v>
      </c>
      <c r="C82" s="5" t="s">
        <v>4433</v>
      </c>
      <c r="D82" s="6"/>
      <c r="E82" s="6"/>
      <c r="F82" s="16"/>
      <c r="G82" s="16"/>
      <c r="H82" s="16"/>
      <c r="I82" s="16"/>
      <c r="J82" s="16"/>
    </row>
    <row r="83" spans="2:10" ht="43.5" customHeight="1" x14ac:dyDescent="0.25">
      <c r="B83" s="8" t="s">
        <v>1</v>
      </c>
      <c r="C83" s="8" t="s">
        <v>4337</v>
      </c>
      <c r="D83" s="8" t="s">
        <v>2</v>
      </c>
      <c r="E83" s="8" t="s">
        <v>4453</v>
      </c>
      <c r="F83" s="8" t="s">
        <v>4436</v>
      </c>
      <c r="G83" s="8" t="s">
        <v>4344</v>
      </c>
      <c r="H83" s="8" t="s">
        <v>4346</v>
      </c>
      <c r="I83" s="8" t="s">
        <v>3</v>
      </c>
      <c r="J83" s="8" t="s">
        <v>4</v>
      </c>
    </row>
    <row r="84" spans="2:10" ht="26.25" customHeight="1" x14ac:dyDescent="0.25">
      <c r="B84" s="9"/>
      <c r="C84" s="9"/>
      <c r="D84" s="2" t="str">
        <f>_xlfn.IFNA(INDEX(Program!A:A,MATCH(Table310286595105129150154155156157158159160[[#This Row],[*Program Code]],Program!B:B,0)),"")</f>
        <v/>
      </c>
      <c r="F84" s="10"/>
      <c r="G84" s="9"/>
      <c r="H84" s="17"/>
      <c r="I84" s="15">
        <f>Table310286595105129150154155156157158159160[[#This Row],[*Unit Price]]*Table310286595105129150154155156157158159160[[#This Row],[*Quantity]]</f>
        <v>0</v>
      </c>
    </row>
    <row r="85" spans="2:10" ht="26.25" customHeight="1" x14ac:dyDescent="0.25">
      <c r="B85" s="9"/>
      <c r="C85" s="9"/>
      <c r="D85" s="2" t="str">
        <f>_xlfn.IFNA(INDEX(Program!A:A,MATCH(Table310286595105129150154155156157158159160[[#This Row],[*Program Code]],Program!B:B,0)),"")</f>
        <v/>
      </c>
      <c r="F85" s="10"/>
      <c r="G85" s="9"/>
      <c r="H85" s="17"/>
      <c r="I85" s="15">
        <f>Table310286595105129150154155156157158159160[[#This Row],[*Unit Price]]*Table310286595105129150154155156157158159160[[#This Row],[*Quantity]]</f>
        <v>0</v>
      </c>
    </row>
    <row r="86" spans="2:10" ht="26.25" customHeight="1" x14ac:dyDescent="0.25">
      <c r="B86" s="9"/>
      <c r="C86" s="9"/>
      <c r="D86" s="2" t="str">
        <f>_xlfn.IFNA(INDEX(Program!A:A,MATCH(Table310286595105129150154155156157158159160[[#This Row],[*Program Code]],Program!B:B,0)),"")</f>
        <v/>
      </c>
      <c r="F86" s="10"/>
      <c r="G86" s="9"/>
      <c r="H86" s="17"/>
      <c r="I86" s="15">
        <f>Table310286595105129150154155156157158159160[[#This Row],[*Unit Price]]*Table310286595105129150154155156157158159160[[#This Row],[*Quantity]]</f>
        <v>0</v>
      </c>
    </row>
    <row r="87" spans="2:10" ht="26.25" customHeight="1" x14ac:dyDescent="0.25">
      <c r="B87" s="9"/>
      <c r="C87" s="9"/>
      <c r="D87" s="2" t="str">
        <f>_xlfn.IFNA(INDEX(Program!A:A,MATCH(Table310286595105129150154155156157158159160[[#This Row],[*Program Code]],Program!B:B,0)),"")</f>
        <v/>
      </c>
      <c r="F87" s="10"/>
      <c r="G87" s="9"/>
      <c r="H87" s="17"/>
      <c r="I87" s="15">
        <f>Table310286595105129150154155156157158159160[[#This Row],[*Unit Price]]*Table310286595105129150154155156157158159160[[#This Row],[*Quantity]]</f>
        <v>0</v>
      </c>
    </row>
    <row r="88" spans="2:10" ht="26.25" customHeight="1" x14ac:dyDescent="0.25">
      <c r="B88" s="9"/>
      <c r="C88" s="9"/>
      <c r="D88" s="2" t="str">
        <f>_xlfn.IFNA(INDEX(Program!A:A,MATCH(Table310286595105129150154155156157158159160[[#This Row],[*Program Code]],Program!B:B,0)),"")</f>
        <v/>
      </c>
      <c r="F88" s="10"/>
      <c r="G88" s="9"/>
      <c r="H88" s="17"/>
      <c r="I88" s="15">
        <f>Table310286595105129150154155156157158159160[[#This Row],[*Unit Price]]*Table310286595105129150154155156157158159160[[#This Row],[*Quantity]]</f>
        <v>0</v>
      </c>
    </row>
    <row r="89" spans="2:10" ht="26.25" customHeight="1" x14ac:dyDescent="0.25">
      <c r="B89" s="9"/>
      <c r="C89" s="9"/>
      <c r="D89" s="3" t="str">
        <f>_xlfn.IFNA(INDEX(Program!A:A,MATCH(Table310286595105129150154155156157158159160[[#This Row],[*Program Code]],Program!B:B,0)),"")</f>
        <v/>
      </c>
      <c r="F89" s="10"/>
      <c r="G89" s="9"/>
      <c r="H89" s="17"/>
      <c r="I89" s="15">
        <f>Table310286595105129150154155156157158159160[[#This Row],[*Unit Price]]*Table310286595105129150154155156157158159160[[#This Row],[*Quantity]]</f>
        <v>0</v>
      </c>
    </row>
    <row r="90" spans="2:10" ht="26.25" customHeight="1" x14ac:dyDescent="0.25">
      <c r="B90" s="9"/>
      <c r="C90" s="9"/>
      <c r="D90" s="3" t="str">
        <f>_xlfn.IFNA(INDEX(Program!A:A,MATCH(Table310286595105129150154155156157158159160[[#This Row],[*Program Code]],Program!B:B,0)),"")</f>
        <v/>
      </c>
      <c r="F90" s="10"/>
      <c r="G90" s="9"/>
      <c r="H90" s="17"/>
      <c r="I90" s="15">
        <f>Table310286595105129150154155156157158159160[[#This Row],[*Unit Price]]*Table310286595105129150154155156157158159160[[#This Row],[*Quantity]]</f>
        <v>0</v>
      </c>
    </row>
    <row r="91" spans="2:10" ht="26.25" customHeight="1" x14ac:dyDescent="0.25">
      <c r="B91" s="12" t="s">
        <v>5</v>
      </c>
      <c r="C91" s="13"/>
      <c r="D91" s="12"/>
      <c r="E91" s="12"/>
      <c r="F91" s="12"/>
      <c r="G91" s="12"/>
      <c r="H91" s="12"/>
      <c r="I91" s="14">
        <f>SUBTOTAL(109,Table310286595105129150154155156157158159160[Total Expenditure])</f>
        <v>0</v>
      </c>
      <c r="J91" s="12"/>
    </row>
    <row r="93" spans="2:10" ht="26.25" customHeight="1" x14ac:dyDescent="0.25">
      <c r="B93" s="4">
        <v>423999</v>
      </c>
      <c r="C93" s="5" t="s">
        <v>4434</v>
      </c>
      <c r="D93" s="6"/>
      <c r="E93" s="6"/>
      <c r="F93" s="16"/>
      <c r="G93" s="16"/>
      <c r="H93" s="16"/>
      <c r="I93" s="16"/>
      <c r="J93" s="16"/>
    </row>
    <row r="94" spans="2:10" ht="43.5" customHeight="1" x14ac:dyDescent="0.25">
      <c r="B94" s="8" t="s">
        <v>1</v>
      </c>
      <c r="C94" s="8" t="s">
        <v>4337</v>
      </c>
      <c r="D94" s="8" t="s">
        <v>2</v>
      </c>
      <c r="E94" s="8" t="s">
        <v>4453</v>
      </c>
      <c r="F94" s="8" t="s">
        <v>4436</v>
      </c>
      <c r="G94" s="8" t="s">
        <v>4344</v>
      </c>
      <c r="H94" s="8" t="s">
        <v>4346</v>
      </c>
      <c r="I94" s="8" t="s">
        <v>3</v>
      </c>
      <c r="J94" s="8" t="s">
        <v>4</v>
      </c>
    </row>
    <row r="95" spans="2:10" ht="26.25" customHeight="1" x14ac:dyDescent="0.25">
      <c r="B95" s="9"/>
      <c r="C95" s="9"/>
      <c r="D95" s="2" t="str">
        <f>_xlfn.IFNA(INDEX(Program!A:A,MATCH(Table310286595105129150154155156157158159160161[[#This Row],[*Program Code]],Program!B:B,0)),"")</f>
        <v/>
      </c>
      <c r="F95" s="10"/>
      <c r="G95" s="9"/>
      <c r="H95" s="17"/>
      <c r="I95" s="15">
        <f>Table310286595105129150154155156157158159160161[[#This Row],[*Unit Price]]*Table310286595105129150154155156157158159160161[[#This Row],[*Quantity]]</f>
        <v>0</v>
      </c>
    </row>
    <row r="96" spans="2:10" ht="26.25" customHeight="1" x14ac:dyDescent="0.25">
      <c r="B96" s="9"/>
      <c r="C96" s="9"/>
      <c r="D96" s="2" t="str">
        <f>_xlfn.IFNA(INDEX(Program!A:A,MATCH(Table310286595105129150154155156157158159160161[[#This Row],[*Program Code]],Program!B:B,0)),"")</f>
        <v/>
      </c>
      <c r="F96" s="10"/>
      <c r="G96" s="9"/>
      <c r="H96" s="17"/>
      <c r="I96" s="15">
        <f>Table310286595105129150154155156157158159160161[[#This Row],[*Unit Price]]*Table310286595105129150154155156157158159160161[[#This Row],[*Quantity]]</f>
        <v>0</v>
      </c>
    </row>
    <row r="97" spans="2:10" ht="26.25" customHeight="1" x14ac:dyDescent="0.25">
      <c r="B97" s="9"/>
      <c r="C97" s="9"/>
      <c r="D97" s="2" t="str">
        <f>_xlfn.IFNA(INDEX(Program!A:A,MATCH(Table310286595105129150154155156157158159160161[[#This Row],[*Program Code]],Program!B:B,0)),"")</f>
        <v/>
      </c>
      <c r="F97" s="10"/>
      <c r="G97" s="9"/>
      <c r="H97" s="17"/>
      <c r="I97" s="15">
        <f>Table310286595105129150154155156157158159160161[[#This Row],[*Unit Price]]*Table310286595105129150154155156157158159160161[[#This Row],[*Quantity]]</f>
        <v>0</v>
      </c>
    </row>
    <row r="98" spans="2:10" ht="26.25" customHeight="1" x14ac:dyDescent="0.25">
      <c r="B98" s="9"/>
      <c r="C98" s="9"/>
      <c r="D98" s="2" t="str">
        <f>_xlfn.IFNA(INDEX(Program!A:A,MATCH(Table310286595105129150154155156157158159160161[[#This Row],[*Program Code]],Program!B:B,0)),"")</f>
        <v/>
      </c>
      <c r="F98" s="10"/>
      <c r="G98" s="9"/>
      <c r="H98" s="17"/>
      <c r="I98" s="15">
        <f>Table310286595105129150154155156157158159160161[[#This Row],[*Unit Price]]*Table310286595105129150154155156157158159160161[[#This Row],[*Quantity]]</f>
        <v>0</v>
      </c>
    </row>
    <row r="99" spans="2:10" ht="26.25" customHeight="1" x14ac:dyDescent="0.25">
      <c r="B99" s="9"/>
      <c r="C99" s="9"/>
      <c r="D99" s="2" t="str">
        <f>_xlfn.IFNA(INDEX(Program!A:A,MATCH(Table310286595105129150154155156157158159160161[[#This Row],[*Program Code]],Program!B:B,0)),"")</f>
        <v/>
      </c>
      <c r="F99" s="10"/>
      <c r="G99" s="9"/>
      <c r="H99" s="17"/>
      <c r="I99" s="15">
        <f>Table310286595105129150154155156157158159160161[[#This Row],[*Unit Price]]*Table310286595105129150154155156157158159160161[[#This Row],[*Quantity]]</f>
        <v>0</v>
      </c>
    </row>
    <row r="100" spans="2:10" ht="26.25" customHeight="1" x14ac:dyDescent="0.25">
      <c r="B100" s="9"/>
      <c r="C100" s="9"/>
      <c r="D100" s="3" t="str">
        <f>_xlfn.IFNA(INDEX(Program!A:A,MATCH(Table310286595105129150154155156157158159160161[[#This Row],[*Program Code]],Program!B:B,0)),"")</f>
        <v/>
      </c>
      <c r="F100" s="10"/>
      <c r="G100" s="9"/>
      <c r="H100" s="17"/>
      <c r="I100" s="15">
        <f>Table310286595105129150154155156157158159160161[[#This Row],[*Unit Price]]*Table310286595105129150154155156157158159160161[[#This Row],[*Quantity]]</f>
        <v>0</v>
      </c>
    </row>
    <row r="101" spans="2:10" ht="26.25" customHeight="1" x14ac:dyDescent="0.25">
      <c r="B101" s="9"/>
      <c r="C101" s="9"/>
      <c r="D101" s="3" t="str">
        <f>_xlfn.IFNA(INDEX(Program!A:A,MATCH(Table310286595105129150154155156157158159160161[[#This Row],[*Program Code]],Program!B:B,0)),"")</f>
        <v/>
      </c>
      <c r="F101" s="10"/>
      <c r="G101" s="9"/>
      <c r="H101" s="17"/>
      <c r="I101" s="15">
        <f>Table310286595105129150154155156157158159160161[[#This Row],[*Unit Price]]*Table310286595105129150154155156157158159160161[[#This Row],[*Quantity]]</f>
        <v>0</v>
      </c>
    </row>
    <row r="102" spans="2:10" ht="26.25" customHeight="1" x14ac:dyDescent="0.25">
      <c r="B102" s="12" t="s">
        <v>5</v>
      </c>
      <c r="C102" s="13"/>
      <c r="D102" s="12"/>
      <c r="E102" s="12"/>
      <c r="F102" s="12"/>
      <c r="G102" s="12"/>
      <c r="H102" s="12"/>
      <c r="I102" s="14">
        <f>SUBTOTAL(109,Table310286595105129150154155156157158159160161[Total Expenditure])</f>
        <v>0</v>
      </c>
      <c r="J102" s="12"/>
    </row>
    <row r="104" spans="2:10" ht="26.25" customHeight="1" x14ac:dyDescent="0.25">
      <c r="B104" s="4">
        <v>424001</v>
      </c>
      <c r="C104" s="5" t="s">
        <v>4470</v>
      </c>
      <c r="D104" s="6"/>
      <c r="E104" s="6"/>
      <c r="F104" s="16"/>
      <c r="G104" s="16"/>
      <c r="H104" s="16"/>
      <c r="I104" s="16"/>
      <c r="J104" s="16"/>
    </row>
    <row r="105" spans="2:10" ht="43.5" customHeight="1" x14ac:dyDescent="0.25">
      <c r="B105" s="8" t="s">
        <v>1</v>
      </c>
      <c r="C105" s="8" t="s">
        <v>4337</v>
      </c>
      <c r="D105" s="8" t="s">
        <v>2</v>
      </c>
      <c r="E105" s="8" t="s">
        <v>4453</v>
      </c>
      <c r="F105" s="8" t="s">
        <v>4436</v>
      </c>
      <c r="G105" s="8" t="s">
        <v>4344</v>
      </c>
      <c r="H105" s="8" t="s">
        <v>4346</v>
      </c>
      <c r="I105" s="8" t="s">
        <v>3</v>
      </c>
      <c r="J105" s="8" t="s">
        <v>4</v>
      </c>
    </row>
    <row r="106" spans="2:10" ht="26.25" customHeight="1" x14ac:dyDescent="0.25">
      <c r="B106" s="9"/>
      <c r="C106" s="9"/>
      <c r="D106" s="2" t="str">
        <f>_xlfn.IFNA(INDEX(Program!A:A,MATCH(Table31028659510512915015415515615715815916016113[[#This Row],[*Program Code]],Program!B:B,0)),"")</f>
        <v/>
      </c>
      <c r="F106" s="10"/>
      <c r="G106" s="9"/>
      <c r="H106" s="17"/>
      <c r="I106" s="15">
        <f>Table31028659510512915015415515615715815916016113[[#This Row],[*Unit Price]]*Table31028659510512915015415515615715815916016113[[#This Row],[*Quantity]]</f>
        <v>0</v>
      </c>
    </row>
    <row r="107" spans="2:10" ht="26.25" customHeight="1" x14ac:dyDescent="0.25">
      <c r="B107" s="9"/>
      <c r="C107" s="9"/>
      <c r="D107" s="2" t="str">
        <f>_xlfn.IFNA(INDEX(Program!A:A,MATCH(Table31028659510512915015415515615715815916016113[[#This Row],[*Program Code]],Program!B:B,0)),"")</f>
        <v/>
      </c>
      <c r="F107" s="10"/>
      <c r="G107" s="9"/>
      <c r="H107" s="17"/>
      <c r="I107" s="15">
        <f>Table31028659510512915015415515615715815916016113[[#This Row],[*Unit Price]]*Table31028659510512915015415515615715815916016113[[#This Row],[*Quantity]]</f>
        <v>0</v>
      </c>
    </row>
    <row r="108" spans="2:10" ht="26.25" customHeight="1" x14ac:dyDescent="0.25">
      <c r="B108" s="9"/>
      <c r="C108" s="9"/>
      <c r="D108" s="2" t="str">
        <f>_xlfn.IFNA(INDEX(Program!A:A,MATCH(Table31028659510512915015415515615715815916016113[[#This Row],[*Program Code]],Program!B:B,0)),"")</f>
        <v/>
      </c>
      <c r="F108" s="10"/>
      <c r="G108" s="9"/>
      <c r="H108" s="17"/>
      <c r="I108" s="15">
        <f>Table31028659510512915015415515615715815916016113[[#This Row],[*Unit Price]]*Table31028659510512915015415515615715815916016113[[#This Row],[*Quantity]]</f>
        <v>0</v>
      </c>
    </row>
    <row r="109" spans="2:10" ht="26.25" customHeight="1" x14ac:dyDescent="0.25">
      <c r="B109" s="9"/>
      <c r="C109" s="9"/>
      <c r="D109" s="2" t="str">
        <f>_xlfn.IFNA(INDEX(Program!A:A,MATCH(Table31028659510512915015415515615715815916016113[[#This Row],[*Program Code]],Program!B:B,0)),"")</f>
        <v/>
      </c>
      <c r="F109" s="10"/>
      <c r="G109" s="9"/>
      <c r="H109" s="17"/>
      <c r="I109" s="15">
        <f>Table31028659510512915015415515615715815916016113[[#This Row],[*Unit Price]]*Table31028659510512915015415515615715815916016113[[#This Row],[*Quantity]]</f>
        <v>0</v>
      </c>
    </row>
    <row r="110" spans="2:10" ht="26.25" customHeight="1" x14ac:dyDescent="0.25">
      <c r="B110" s="9"/>
      <c r="C110" s="9"/>
      <c r="D110" s="2" t="str">
        <f>_xlfn.IFNA(INDEX(Program!A:A,MATCH(Table31028659510512915015415515615715815916016113[[#This Row],[*Program Code]],Program!B:B,0)),"")</f>
        <v/>
      </c>
      <c r="F110" s="10"/>
      <c r="G110" s="9"/>
      <c r="H110" s="17"/>
      <c r="I110" s="15">
        <f>Table31028659510512915015415515615715815916016113[[#This Row],[*Unit Price]]*Table31028659510512915015415515615715815916016113[[#This Row],[*Quantity]]</f>
        <v>0</v>
      </c>
    </row>
    <row r="111" spans="2:10" ht="26.25" customHeight="1" x14ac:dyDescent="0.25">
      <c r="B111" s="9"/>
      <c r="C111" s="9"/>
      <c r="D111" s="3" t="str">
        <f>_xlfn.IFNA(INDEX(Program!A:A,MATCH(Table31028659510512915015415515615715815916016113[[#This Row],[*Program Code]],Program!B:B,0)),"")</f>
        <v/>
      </c>
      <c r="F111" s="10"/>
      <c r="G111" s="9"/>
      <c r="H111" s="17"/>
      <c r="I111" s="15">
        <f>Table31028659510512915015415515615715815916016113[[#This Row],[*Unit Price]]*Table31028659510512915015415515615715815916016113[[#This Row],[*Quantity]]</f>
        <v>0</v>
      </c>
    </row>
    <row r="112" spans="2:10" ht="26.25" customHeight="1" x14ac:dyDescent="0.25">
      <c r="B112" s="9"/>
      <c r="C112" s="9"/>
      <c r="D112" s="3" t="str">
        <f>_xlfn.IFNA(INDEX(Program!A:A,MATCH(Table31028659510512915015415515615715815916016113[[#This Row],[*Program Code]],Program!B:B,0)),"")</f>
        <v/>
      </c>
      <c r="F112" s="10"/>
      <c r="G112" s="9"/>
      <c r="H112" s="17"/>
      <c r="I112" s="15">
        <f>Table31028659510512915015415515615715815916016113[[#This Row],[*Unit Price]]*Table31028659510512915015415515615715815916016113[[#This Row],[*Quantity]]</f>
        <v>0</v>
      </c>
    </row>
    <row r="113" spans="2:10" ht="26.25" customHeight="1" x14ac:dyDescent="0.25">
      <c r="B113" s="12" t="s">
        <v>5</v>
      </c>
      <c r="C113" s="13"/>
      <c r="D113" s="12"/>
      <c r="E113" s="12"/>
      <c r="F113" s="12"/>
      <c r="G113" s="12"/>
      <c r="H113" s="12"/>
      <c r="I113" s="14">
        <f>SUBTOTAL(109,Table31028659510512915015415515615715815916016113[Total Expenditure])</f>
        <v>0</v>
      </c>
      <c r="J113" s="12"/>
    </row>
    <row r="115" spans="2:10" ht="26.25" customHeight="1" x14ac:dyDescent="0.25">
      <c r="B115" s="4">
        <v>424002</v>
      </c>
      <c r="C115" s="5" t="s">
        <v>4471</v>
      </c>
      <c r="D115" s="6"/>
      <c r="E115" s="6"/>
      <c r="F115" s="16"/>
      <c r="G115" s="16"/>
      <c r="H115" s="16"/>
      <c r="I115" s="16"/>
      <c r="J115" s="16"/>
    </row>
    <row r="116" spans="2:10" ht="43.5" customHeight="1" x14ac:dyDescent="0.25">
      <c r="B116" s="8" t="s">
        <v>1</v>
      </c>
      <c r="C116" s="8" t="s">
        <v>4337</v>
      </c>
      <c r="D116" s="8" t="s">
        <v>2</v>
      </c>
      <c r="E116" s="8" t="s">
        <v>4453</v>
      </c>
      <c r="F116" s="8" t="s">
        <v>4436</v>
      </c>
      <c r="G116" s="8" t="s">
        <v>4344</v>
      </c>
      <c r="H116" s="8" t="s">
        <v>4346</v>
      </c>
      <c r="I116" s="8" t="s">
        <v>3</v>
      </c>
      <c r="J116" s="8" t="s">
        <v>4</v>
      </c>
    </row>
    <row r="117" spans="2:10" ht="26.25" customHeight="1" x14ac:dyDescent="0.25">
      <c r="B117" s="9"/>
      <c r="C117" s="9"/>
      <c r="D117" s="2" t="str">
        <f>_xlfn.IFNA(INDEX(Program!A:A,MATCH(Table3102865951051291501541551561571581591601611314[[#This Row],[*Program Code]],Program!B:B,0)),"")</f>
        <v/>
      </c>
      <c r="F117" s="10"/>
      <c r="G117" s="9"/>
      <c r="H117" s="17"/>
      <c r="I117" s="15">
        <f>Table3102865951051291501541551561571581591601611314[[#This Row],[*Unit Price]]*Table3102865951051291501541551561571581591601611314[[#This Row],[*Quantity]]</f>
        <v>0</v>
      </c>
    </row>
    <row r="118" spans="2:10" ht="26.25" customHeight="1" x14ac:dyDescent="0.25">
      <c r="B118" s="9"/>
      <c r="C118" s="9"/>
      <c r="D118" s="2" t="str">
        <f>_xlfn.IFNA(INDEX(Program!A:A,MATCH(Table3102865951051291501541551561571581591601611314[[#This Row],[*Program Code]],Program!B:B,0)),"")</f>
        <v/>
      </c>
      <c r="F118" s="10"/>
      <c r="G118" s="9"/>
      <c r="H118" s="17"/>
      <c r="I118" s="15">
        <f>Table3102865951051291501541551561571581591601611314[[#This Row],[*Unit Price]]*Table3102865951051291501541551561571581591601611314[[#This Row],[*Quantity]]</f>
        <v>0</v>
      </c>
    </row>
    <row r="119" spans="2:10" ht="26.25" customHeight="1" x14ac:dyDescent="0.25">
      <c r="B119" s="9"/>
      <c r="C119" s="9"/>
      <c r="D119" s="2" t="str">
        <f>_xlfn.IFNA(INDEX(Program!A:A,MATCH(Table3102865951051291501541551561571581591601611314[[#This Row],[*Program Code]],Program!B:B,0)),"")</f>
        <v/>
      </c>
      <c r="F119" s="10"/>
      <c r="G119" s="9"/>
      <c r="H119" s="17"/>
      <c r="I119" s="15">
        <f>Table3102865951051291501541551561571581591601611314[[#This Row],[*Unit Price]]*Table3102865951051291501541551561571581591601611314[[#This Row],[*Quantity]]</f>
        <v>0</v>
      </c>
    </row>
    <row r="120" spans="2:10" ht="26.25" customHeight="1" x14ac:dyDescent="0.25">
      <c r="B120" s="9"/>
      <c r="C120" s="9"/>
      <c r="D120" s="2" t="str">
        <f>_xlfn.IFNA(INDEX(Program!A:A,MATCH(Table3102865951051291501541551561571581591601611314[[#This Row],[*Program Code]],Program!B:B,0)),"")</f>
        <v/>
      </c>
      <c r="F120" s="10"/>
      <c r="G120" s="9"/>
      <c r="H120" s="17"/>
      <c r="I120" s="15">
        <f>Table3102865951051291501541551561571581591601611314[[#This Row],[*Unit Price]]*Table3102865951051291501541551561571581591601611314[[#This Row],[*Quantity]]</f>
        <v>0</v>
      </c>
    </row>
    <row r="121" spans="2:10" ht="26.25" customHeight="1" x14ac:dyDescent="0.25">
      <c r="B121" s="9"/>
      <c r="C121" s="9"/>
      <c r="D121" s="2" t="str">
        <f>_xlfn.IFNA(INDEX(Program!A:A,MATCH(Table3102865951051291501541551561571581591601611314[[#This Row],[*Program Code]],Program!B:B,0)),"")</f>
        <v/>
      </c>
      <c r="F121" s="10"/>
      <c r="G121" s="9"/>
      <c r="H121" s="17"/>
      <c r="I121" s="15">
        <f>Table3102865951051291501541551561571581591601611314[[#This Row],[*Unit Price]]*Table3102865951051291501541551561571581591601611314[[#This Row],[*Quantity]]</f>
        <v>0</v>
      </c>
    </row>
    <row r="122" spans="2:10" ht="26.25" customHeight="1" x14ac:dyDescent="0.25">
      <c r="B122" s="9"/>
      <c r="C122" s="9"/>
      <c r="D122" s="3" t="str">
        <f>_xlfn.IFNA(INDEX(Program!A:A,MATCH(Table3102865951051291501541551561571581591601611314[[#This Row],[*Program Code]],Program!B:B,0)),"")</f>
        <v/>
      </c>
      <c r="F122" s="10"/>
      <c r="G122" s="9"/>
      <c r="H122" s="17"/>
      <c r="I122" s="15">
        <f>Table3102865951051291501541551561571581591601611314[[#This Row],[*Unit Price]]*Table3102865951051291501541551561571581591601611314[[#This Row],[*Quantity]]</f>
        <v>0</v>
      </c>
    </row>
    <row r="123" spans="2:10" ht="26.25" customHeight="1" x14ac:dyDescent="0.25">
      <c r="B123" s="9"/>
      <c r="C123" s="9"/>
      <c r="D123" s="3" t="str">
        <f>_xlfn.IFNA(INDEX(Program!A:A,MATCH(Table3102865951051291501541551561571581591601611314[[#This Row],[*Program Code]],Program!B:B,0)),"")</f>
        <v/>
      </c>
      <c r="F123" s="10"/>
      <c r="G123" s="9"/>
      <c r="H123" s="17"/>
      <c r="I123" s="15">
        <f>Table3102865951051291501541551561571581591601611314[[#This Row],[*Unit Price]]*Table3102865951051291501541551561571581591601611314[[#This Row],[*Quantity]]</f>
        <v>0</v>
      </c>
    </row>
    <row r="124" spans="2:10" ht="26.25" customHeight="1" x14ac:dyDescent="0.25">
      <c r="B124" s="12" t="s">
        <v>5</v>
      </c>
      <c r="C124" s="13"/>
      <c r="D124" s="12"/>
      <c r="E124" s="12"/>
      <c r="F124" s="12"/>
      <c r="G124" s="12"/>
      <c r="H124" s="12"/>
      <c r="I124" s="14">
        <f>SUBTOTAL(109,Table3102865951051291501541551561571581591601611314[Total Expenditure])</f>
        <v>0</v>
      </c>
      <c r="J124" s="12"/>
    </row>
    <row r="126" spans="2:10" ht="26.25" customHeight="1" x14ac:dyDescent="0.25">
      <c r="B126" s="4">
        <v>424003</v>
      </c>
      <c r="C126" s="5" t="s">
        <v>4472</v>
      </c>
      <c r="D126" s="6"/>
      <c r="E126" s="6"/>
      <c r="F126" s="16"/>
      <c r="G126" s="16"/>
      <c r="H126" s="16"/>
      <c r="I126" s="16"/>
      <c r="J126" s="16"/>
    </row>
    <row r="127" spans="2:10" ht="43.5" customHeight="1" x14ac:dyDescent="0.25">
      <c r="B127" s="8" t="s">
        <v>1</v>
      </c>
      <c r="C127" s="8" t="s">
        <v>4337</v>
      </c>
      <c r="D127" s="8" t="s">
        <v>2</v>
      </c>
      <c r="E127" s="8" t="s">
        <v>4453</v>
      </c>
      <c r="F127" s="8" t="s">
        <v>4436</v>
      </c>
      <c r="G127" s="8" t="s">
        <v>4344</v>
      </c>
      <c r="H127" s="8" t="s">
        <v>4346</v>
      </c>
      <c r="I127" s="8" t="s">
        <v>3</v>
      </c>
      <c r="J127" s="8" t="s">
        <v>4</v>
      </c>
    </row>
    <row r="128" spans="2:10" ht="26.25" customHeight="1" x14ac:dyDescent="0.25">
      <c r="B128" s="9"/>
      <c r="C128" s="9"/>
      <c r="D128" s="2" t="str">
        <f>_xlfn.IFNA(INDEX(Program!A:A,MATCH(Table3102865951051291501541551561571581591601611315[[#This Row],[*Program Code]],Program!B:B,0)),"")</f>
        <v/>
      </c>
      <c r="F128" s="10"/>
      <c r="G128" s="9"/>
      <c r="H128" s="17"/>
      <c r="I128" s="15">
        <f>Table3102865951051291501541551561571581591601611315[[#This Row],[*Unit Price]]*Table3102865951051291501541551561571581591601611315[[#This Row],[*Quantity]]</f>
        <v>0</v>
      </c>
    </row>
    <row r="129" spans="2:10" ht="26.25" customHeight="1" x14ac:dyDescent="0.25">
      <c r="B129" s="9"/>
      <c r="C129" s="9"/>
      <c r="D129" s="2" t="str">
        <f>_xlfn.IFNA(INDEX(Program!A:A,MATCH(Table3102865951051291501541551561571581591601611315[[#This Row],[*Program Code]],Program!B:B,0)),"")</f>
        <v/>
      </c>
      <c r="F129" s="10"/>
      <c r="G129" s="9"/>
      <c r="H129" s="17"/>
      <c r="I129" s="15">
        <f>Table3102865951051291501541551561571581591601611315[[#This Row],[*Unit Price]]*Table3102865951051291501541551561571581591601611315[[#This Row],[*Quantity]]</f>
        <v>0</v>
      </c>
    </row>
    <row r="130" spans="2:10" ht="26.25" customHeight="1" x14ac:dyDescent="0.25">
      <c r="B130" s="9"/>
      <c r="C130" s="9"/>
      <c r="D130" s="2" t="str">
        <f>_xlfn.IFNA(INDEX(Program!A:A,MATCH(Table3102865951051291501541551561571581591601611315[[#This Row],[*Program Code]],Program!B:B,0)),"")</f>
        <v/>
      </c>
      <c r="F130" s="10"/>
      <c r="G130" s="9"/>
      <c r="H130" s="17"/>
      <c r="I130" s="15">
        <f>Table3102865951051291501541551561571581591601611315[[#This Row],[*Unit Price]]*Table3102865951051291501541551561571581591601611315[[#This Row],[*Quantity]]</f>
        <v>0</v>
      </c>
    </row>
    <row r="131" spans="2:10" ht="26.25" customHeight="1" x14ac:dyDescent="0.25">
      <c r="B131" s="9"/>
      <c r="C131" s="9"/>
      <c r="D131" s="2" t="str">
        <f>_xlfn.IFNA(INDEX(Program!A:A,MATCH(Table3102865951051291501541551561571581591601611315[[#This Row],[*Program Code]],Program!B:B,0)),"")</f>
        <v/>
      </c>
      <c r="F131" s="10"/>
      <c r="G131" s="9"/>
      <c r="H131" s="17"/>
      <c r="I131" s="15">
        <f>Table3102865951051291501541551561571581591601611315[[#This Row],[*Unit Price]]*Table3102865951051291501541551561571581591601611315[[#This Row],[*Quantity]]</f>
        <v>0</v>
      </c>
    </row>
    <row r="132" spans="2:10" ht="26.25" customHeight="1" x14ac:dyDescent="0.25">
      <c r="B132" s="9"/>
      <c r="C132" s="9"/>
      <c r="D132" s="2" t="str">
        <f>_xlfn.IFNA(INDEX(Program!A:A,MATCH(Table3102865951051291501541551561571581591601611315[[#This Row],[*Program Code]],Program!B:B,0)),"")</f>
        <v/>
      </c>
      <c r="F132" s="10"/>
      <c r="G132" s="9"/>
      <c r="H132" s="17"/>
      <c r="I132" s="15">
        <f>Table3102865951051291501541551561571581591601611315[[#This Row],[*Unit Price]]*Table3102865951051291501541551561571581591601611315[[#This Row],[*Quantity]]</f>
        <v>0</v>
      </c>
    </row>
    <row r="133" spans="2:10" ht="26.25" customHeight="1" x14ac:dyDescent="0.25">
      <c r="B133" s="9"/>
      <c r="C133" s="9"/>
      <c r="D133" s="3" t="str">
        <f>_xlfn.IFNA(INDEX(Program!A:A,MATCH(Table3102865951051291501541551561571581591601611315[[#This Row],[*Program Code]],Program!B:B,0)),"")</f>
        <v/>
      </c>
      <c r="F133" s="10"/>
      <c r="G133" s="9"/>
      <c r="H133" s="17"/>
      <c r="I133" s="15">
        <f>Table3102865951051291501541551561571581591601611315[[#This Row],[*Unit Price]]*Table3102865951051291501541551561571581591601611315[[#This Row],[*Quantity]]</f>
        <v>0</v>
      </c>
    </row>
    <row r="134" spans="2:10" ht="26.25" customHeight="1" x14ac:dyDescent="0.25">
      <c r="B134" s="9"/>
      <c r="C134" s="9"/>
      <c r="D134" s="3" t="str">
        <f>_xlfn.IFNA(INDEX(Program!A:A,MATCH(Table3102865951051291501541551561571581591601611315[[#This Row],[*Program Code]],Program!B:B,0)),"")</f>
        <v/>
      </c>
      <c r="F134" s="10"/>
      <c r="G134" s="9"/>
      <c r="H134" s="17"/>
      <c r="I134" s="15">
        <f>Table3102865951051291501541551561571581591601611315[[#This Row],[*Unit Price]]*Table3102865951051291501541551561571581591601611315[[#This Row],[*Quantity]]</f>
        <v>0</v>
      </c>
    </row>
    <row r="135" spans="2:10" ht="26.25" customHeight="1" x14ac:dyDescent="0.25">
      <c r="B135" s="12" t="s">
        <v>5</v>
      </c>
      <c r="C135" s="13"/>
      <c r="D135" s="12"/>
      <c r="E135" s="12"/>
      <c r="F135" s="12"/>
      <c r="G135" s="12"/>
      <c r="H135" s="12"/>
      <c r="I135" s="14">
        <f>SUBTOTAL(109,Table3102865951051291501541551561571581591601611315[Total Expenditure])</f>
        <v>0</v>
      </c>
      <c r="J135" s="12"/>
    </row>
  </sheetData>
  <sheetProtection formatColumns="0" insertRows="0" deleteRows="0"/>
  <pageMargins left="0.7" right="0.7" top="0.75" bottom="0.75" header="0.3" footer="0.3"/>
  <pageSetup paperSize="9" orientation="portrait" r:id="rId1"/>
  <customProperties>
    <customPr name="_pios_id" r:id="rId2"/>
  </customProperties>
  <tableParts count="1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221</vt:lpstr>
      <vt:lpstr>222</vt:lpstr>
      <vt:lpstr>223</vt:lpstr>
      <vt:lpstr>224</vt:lpstr>
      <vt:lpstr>225</vt:lpstr>
      <vt:lpstr>226</vt:lpstr>
      <vt:lpstr>228</vt:lpstr>
      <vt:lpstr>423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2023-05-31T15:55:56Z</dcterms:created>
  <dcterms:modified xsi:type="dcterms:W3CDTF">2023-06-12T03:36:56Z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