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9735" activeTab="1"/>
  </bookViews>
  <sheets>
    <sheet name="Cover" sheetId="3" r:id="rId1"/>
    <sheet name="Summary" sheetId="2" r:id="rId2"/>
    <sheet name="Boq" sheetId="1" r:id="rId3"/>
  </sheets>
  <definedNames>
    <definedName name="_xlnm.Print_Area" localSheetId="2">Boq!$A$1:$G$1221</definedName>
    <definedName name="_xlnm.Print_Area" localSheetId="0">Cover!$A$1:$A$36</definedName>
    <definedName name="_xlnm.Print_Area" localSheetId="1">Summary!$A$1:$C$21</definedName>
    <definedName name="_xlnm.Print_Titles" localSheetId="2">Boq!$3:$3</definedName>
  </definedNames>
  <calcPr calcId="152511"/>
</workbook>
</file>

<file path=xl/calcChain.xml><?xml version="1.0" encoding="utf-8"?>
<calcChain xmlns="http://schemas.openxmlformats.org/spreadsheetml/2006/main">
  <c r="D1011" i="1" l="1"/>
  <c r="D976" i="1"/>
  <c r="G997" i="1"/>
  <c r="G962" i="1"/>
  <c r="D941" i="1"/>
  <c r="G927" i="1"/>
  <c r="I456" i="1" l="1"/>
  <c r="I488" i="1"/>
  <c r="L490" i="1"/>
  <c r="I490" i="1"/>
  <c r="J490" i="1" s="1"/>
  <c r="I100" i="1" l="1"/>
  <c r="I99" i="1"/>
  <c r="I66" i="1"/>
  <c r="K254" i="1"/>
  <c r="I169" i="1"/>
  <c r="I168" i="1"/>
  <c r="P98" i="1"/>
  <c r="O98" i="1"/>
  <c r="N98" i="1"/>
  <c r="M98" i="1"/>
  <c r="L98" i="1"/>
  <c r="K98" i="1"/>
  <c r="J98" i="1"/>
  <c r="I98" i="1"/>
  <c r="P65" i="1"/>
  <c r="O65" i="1"/>
  <c r="M65" i="1"/>
  <c r="N65" i="1"/>
  <c r="L65" i="1"/>
  <c r="K65" i="1"/>
  <c r="J65" i="1"/>
  <c r="I65" i="1"/>
  <c r="G713" i="1"/>
  <c r="G712" i="1"/>
  <c r="J711" i="1"/>
  <c r="I710" i="1"/>
  <c r="J710" i="1" s="1"/>
  <c r="G710" i="1"/>
  <c r="I709" i="1"/>
  <c r="J709" i="1" s="1"/>
  <c r="G709" i="1"/>
  <c r="I708" i="1"/>
  <c r="J708" i="1" s="1"/>
  <c r="G708" i="1"/>
  <c r="I707" i="1"/>
  <c r="J707" i="1" s="1"/>
  <c r="G707" i="1"/>
  <c r="J706" i="1"/>
  <c r="I705" i="1"/>
  <c r="J705" i="1" s="1"/>
  <c r="G705" i="1"/>
  <c r="I704" i="1"/>
  <c r="J704" i="1" s="1"/>
  <c r="G704" i="1"/>
  <c r="L707" i="1" l="1"/>
  <c r="Q65" i="1"/>
  <c r="R65" i="1" s="1"/>
  <c r="J712" i="1"/>
  <c r="K712" i="1" s="1"/>
  <c r="K704" i="1"/>
  <c r="L712" i="1"/>
  <c r="I810" i="1"/>
  <c r="I814" i="1"/>
  <c r="I809" i="1"/>
  <c r="D1017" i="1"/>
  <c r="G1017" i="1" s="1"/>
  <c r="D1016" i="1"/>
  <c r="G1016" i="1" s="1"/>
  <c r="D1015" i="1"/>
  <c r="G1015" i="1" s="1"/>
  <c r="D1014" i="1"/>
  <c r="G1014" i="1" s="1"/>
  <c r="D1013" i="1"/>
  <c r="G1013" i="1" s="1"/>
  <c r="D1012" i="1"/>
  <c r="G1012" i="1" s="1"/>
  <c r="G1011" i="1"/>
  <c r="D1010" i="1"/>
  <c r="G1010" i="1" s="1"/>
  <c r="G1009" i="1"/>
  <c r="G1008" i="1"/>
  <c r="G1007" i="1"/>
  <c r="G1006" i="1"/>
  <c r="G1005" i="1"/>
  <c r="G1004" i="1"/>
  <c r="G1003" i="1"/>
  <c r="D1002" i="1"/>
  <c r="G1002" i="1" s="1"/>
  <c r="G1001" i="1"/>
  <c r="G1000" i="1"/>
  <c r="G999" i="1"/>
  <c r="G998" i="1"/>
  <c r="G996" i="1"/>
  <c r="G995" i="1"/>
  <c r="G994" i="1"/>
  <c r="G993" i="1"/>
  <c r="G992" i="1"/>
  <c r="G991" i="1"/>
  <c r="G990" i="1"/>
  <c r="G989" i="1"/>
  <c r="G988" i="1"/>
  <c r="G987" i="1"/>
  <c r="G985" i="1"/>
  <c r="G976" i="1"/>
  <c r="G958" i="1"/>
  <c r="G957" i="1"/>
  <c r="G956" i="1"/>
  <c r="G955" i="1"/>
  <c r="D982" i="1"/>
  <c r="G982" i="1" s="1"/>
  <c r="D981" i="1"/>
  <c r="G981" i="1" s="1"/>
  <c r="D980" i="1"/>
  <c r="G980" i="1" s="1"/>
  <c r="D979" i="1"/>
  <c r="G979" i="1" s="1"/>
  <c r="D978" i="1"/>
  <c r="G978" i="1" s="1"/>
  <c r="D977" i="1"/>
  <c r="G977" i="1" s="1"/>
  <c r="D975" i="1"/>
  <c r="G975" i="1" s="1"/>
  <c r="G974" i="1"/>
  <c r="G973" i="1"/>
  <c r="G972" i="1"/>
  <c r="G971" i="1"/>
  <c r="G970" i="1"/>
  <c r="G969" i="1"/>
  <c r="G968" i="1"/>
  <c r="D967" i="1"/>
  <c r="G967" i="1" s="1"/>
  <c r="G966" i="1"/>
  <c r="G965" i="1"/>
  <c r="G964" i="1"/>
  <c r="G963" i="1"/>
  <c r="G961" i="1"/>
  <c r="G960" i="1"/>
  <c r="G959" i="1"/>
  <c r="G954" i="1"/>
  <c r="D945" i="1"/>
  <c r="G945" i="1" s="1"/>
  <c r="D944" i="1"/>
  <c r="G944" i="1" s="1"/>
  <c r="D943" i="1"/>
  <c r="D947" i="1"/>
  <c r="G947" i="1" s="1"/>
  <c r="D946" i="1"/>
  <c r="G946" i="1" s="1"/>
  <c r="D942" i="1"/>
  <c r="D932" i="1"/>
  <c r="G928" i="1"/>
  <c r="G953" i="1"/>
  <c r="G952" i="1"/>
  <c r="G917" i="1"/>
  <c r="G916" i="1"/>
  <c r="G892" i="1" l="1"/>
  <c r="G891" i="1"/>
  <c r="G890" i="1"/>
  <c r="G889" i="1"/>
  <c r="G888" i="1"/>
  <c r="D887" i="1"/>
  <c r="G887" i="1" s="1"/>
  <c r="G886" i="1"/>
  <c r="D885" i="1"/>
  <c r="G885" i="1" s="1"/>
  <c r="D884" i="1"/>
  <c r="G884" i="1" s="1"/>
  <c r="D883" i="1"/>
  <c r="G883" i="1" s="1"/>
  <c r="D882" i="1"/>
  <c r="G882" i="1" s="1"/>
  <c r="G881" i="1"/>
  <c r="G880" i="1"/>
  <c r="G879" i="1"/>
  <c r="G874" i="1"/>
  <c r="G873" i="1"/>
  <c r="G872" i="1"/>
  <c r="G871" i="1"/>
  <c r="G870" i="1"/>
  <c r="D869" i="1"/>
  <c r="G869" i="1" s="1"/>
  <c r="G868" i="1"/>
  <c r="D867" i="1"/>
  <c r="G867" i="1" s="1"/>
  <c r="D866" i="1"/>
  <c r="G866" i="1" s="1"/>
  <c r="D865" i="1"/>
  <c r="G865" i="1" s="1"/>
  <c r="D864" i="1"/>
  <c r="G864" i="1" s="1"/>
  <c r="G863" i="1"/>
  <c r="G862" i="1"/>
  <c r="G861" i="1"/>
  <c r="G843" i="1"/>
  <c r="G845" i="1"/>
  <c r="D837" i="1"/>
  <c r="I801" i="1"/>
  <c r="I795" i="1"/>
  <c r="D773" i="1"/>
  <c r="I769" i="1"/>
  <c r="N769" i="1"/>
  <c r="J769" i="1"/>
  <c r="M769" i="1"/>
  <c r="O769" i="1"/>
  <c r="L769" i="1"/>
  <c r="K769" i="1"/>
  <c r="L764" i="1"/>
  <c r="J764" i="1"/>
  <c r="I764" i="1"/>
  <c r="L759" i="1"/>
  <c r="J759" i="1"/>
  <c r="I759" i="1"/>
  <c r="D768" i="1"/>
  <c r="D767" i="1"/>
  <c r="D763" i="1"/>
  <c r="D762" i="1"/>
  <c r="D758" i="1"/>
  <c r="D757" i="1"/>
  <c r="I739" i="1"/>
  <c r="I736" i="1"/>
  <c r="I735" i="1"/>
  <c r="N735" i="1"/>
  <c r="M735" i="1"/>
  <c r="L735" i="1"/>
  <c r="K735" i="1"/>
  <c r="J735" i="1"/>
  <c r="I734" i="1"/>
  <c r="J734" i="1"/>
  <c r="L734" i="1"/>
  <c r="L733" i="1"/>
  <c r="J733" i="1"/>
  <c r="I733" i="1"/>
  <c r="D730" i="1"/>
  <c r="K764" i="1" l="1"/>
  <c r="M764" i="1" s="1"/>
  <c r="K733" i="1"/>
  <c r="M733" i="1" s="1"/>
  <c r="K759" i="1"/>
  <c r="M759" i="1" s="1"/>
  <c r="K734" i="1"/>
  <c r="M734" i="1" s="1"/>
  <c r="P769" i="1"/>
  <c r="O735" i="1"/>
  <c r="G700" i="1"/>
  <c r="G699" i="1"/>
  <c r="J698" i="1"/>
  <c r="I697" i="1"/>
  <c r="J697" i="1" s="1"/>
  <c r="G697" i="1"/>
  <c r="I696" i="1"/>
  <c r="J696" i="1" s="1"/>
  <c r="G696" i="1"/>
  <c r="I695" i="1"/>
  <c r="J695" i="1" s="1"/>
  <c r="G695" i="1"/>
  <c r="I694" i="1"/>
  <c r="J694" i="1" s="1"/>
  <c r="G694" i="1"/>
  <c r="J693" i="1"/>
  <c r="I692" i="1"/>
  <c r="J692" i="1" s="1"/>
  <c r="G692" i="1"/>
  <c r="I691" i="1"/>
  <c r="G691" i="1"/>
  <c r="J612" i="1"/>
  <c r="I612" i="1"/>
  <c r="G612" i="1"/>
  <c r="J573" i="1"/>
  <c r="J595" i="1"/>
  <c r="I595" i="1"/>
  <c r="I573" i="1"/>
  <c r="G573" i="1"/>
  <c r="D593" i="1"/>
  <c r="I533" i="1"/>
  <c r="D616" i="1"/>
  <c r="G602" i="1"/>
  <c r="D600" i="1"/>
  <c r="D599" i="1"/>
  <c r="G604" i="1"/>
  <c r="G584" i="1"/>
  <c r="D582" i="1"/>
  <c r="D617" i="1" s="1"/>
  <c r="D578" i="1"/>
  <c r="G580" i="1"/>
  <c r="G579" i="1"/>
  <c r="I609" i="1"/>
  <c r="J609" i="1" s="1"/>
  <c r="I610" i="1"/>
  <c r="G610" i="1"/>
  <c r="G609" i="1"/>
  <c r="K608" i="1"/>
  <c r="I608" i="1"/>
  <c r="J608" i="1" s="1"/>
  <c r="G608" i="1"/>
  <c r="I589" i="1"/>
  <c r="G589" i="1"/>
  <c r="I588" i="1"/>
  <c r="J588" i="1" s="1"/>
  <c r="G588" i="1"/>
  <c r="K587" i="1"/>
  <c r="I587" i="1"/>
  <c r="J587" i="1" s="1"/>
  <c r="G587" i="1"/>
  <c r="I571" i="1"/>
  <c r="G571" i="1"/>
  <c r="I570" i="1"/>
  <c r="J570" i="1" s="1"/>
  <c r="G570" i="1"/>
  <c r="K569" i="1"/>
  <c r="I569" i="1"/>
  <c r="J569" i="1" s="1"/>
  <c r="G569" i="1"/>
  <c r="K573" i="1" l="1"/>
  <c r="K612" i="1"/>
  <c r="L569" i="1"/>
  <c r="L699" i="1"/>
  <c r="L694" i="1"/>
  <c r="J691" i="1"/>
  <c r="K691" i="1" s="1"/>
  <c r="K595" i="1"/>
  <c r="L587" i="1"/>
  <c r="L608" i="1"/>
  <c r="J699" i="1" l="1"/>
  <c r="K699" i="1" s="1"/>
  <c r="G566" i="1"/>
  <c r="G564" i="1"/>
  <c r="G563" i="1"/>
  <c r="G561" i="1"/>
  <c r="G559" i="1"/>
  <c r="G558" i="1"/>
  <c r="G547" i="1"/>
  <c r="G542" i="1"/>
  <c r="G546" i="1"/>
  <c r="G545" i="1"/>
  <c r="G544" i="1"/>
  <c r="I540" i="1"/>
  <c r="G540" i="1"/>
  <c r="I531" i="1"/>
  <c r="G531" i="1"/>
  <c r="G538" i="1"/>
  <c r="J541" i="1"/>
  <c r="I541" i="1"/>
  <c r="I539" i="1"/>
  <c r="L538" i="1"/>
  <c r="K538" i="1"/>
  <c r="J538" i="1"/>
  <c r="I538" i="1"/>
  <c r="I537" i="1"/>
  <c r="J530" i="1"/>
  <c r="I530" i="1"/>
  <c r="J532" i="1"/>
  <c r="I532" i="1"/>
  <c r="L529" i="1"/>
  <c r="K529" i="1"/>
  <c r="J529" i="1"/>
  <c r="I529" i="1"/>
  <c r="I528" i="1"/>
  <c r="I419" i="1"/>
  <c r="P94" i="1"/>
  <c r="I94" i="1"/>
  <c r="D76" i="1"/>
  <c r="D425" i="1"/>
  <c r="K532" i="1" l="1"/>
  <c r="K530" i="1"/>
  <c r="M529" i="1"/>
  <c r="M538" i="1"/>
  <c r="K497" i="1"/>
  <c r="M500" i="1"/>
  <c r="N500" i="1" s="1"/>
  <c r="I500" i="1"/>
  <c r="K503" i="1"/>
  <c r="I503" i="1"/>
  <c r="J503" i="1" s="1"/>
  <c r="L502" i="1"/>
  <c r="M502" i="1" s="1"/>
  <c r="N502" i="1" s="1"/>
  <c r="I502" i="1"/>
  <c r="J502" i="1" s="1"/>
  <c r="P500" i="1"/>
  <c r="P499" i="1"/>
  <c r="Q499" i="1" s="1"/>
  <c r="I499" i="1"/>
  <c r="J499" i="1" s="1"/>
  <c r="L496" i="1"/>
  <c r="M496" i="1" s="1"/>
  <c r="I496" i="1"/>
  <c r="J496" i="1" s="1"/>
  <c r="P494" i="1"/>
  <c r="K493" i="1"/>
  <c r="M494" i="1"/>
  <c r="N494" i="1" s="1"/>
  <c r="P493" i="1"/>
  <c r="Q493" i="1" s="1"/>
  <c r="I494" i="1"/>
  <c r="I489" i="1"/>
  <c r="I493" i="1"/>
  <c r="J493" i="1" s="1"/>
  <c r="K491" i="1"/>
  <c r="I491" i="1"/>
  <c r="J491" i="1" s="1"/>
  <c r="M490" i="1"/>
  <c r="P489" i="1"/>
  <c r="P488" i="1"/>
  <c r="Q488" i="1" s="1"/>
  <c r="N488" i="1"/>
  <c r="K488" i="1"/>
  <c r="J488" i="1"/>
  <c r="I497" i="1"/>
  <c r="J497" i="1" s="1"/>
  <c r="L497" i="1" s="1"/>
  <c r="G497" i="1"/>
  <c r="G496" i="1"/>
  <c r="G495" i="1"/>
  <c r="G494" i="1"/>
  <c r="G491" i="1"/>
  <c r="G490" i="1"/>
  <c r="G489" i="1"/>
  <c r="G488" i="1"/>
  <c r="I474" i="1"/>
  <c r="J474" i="1" s="1"/>
  <c r="L474" i="1" s="1"/>
  <c r="I470" i="1"/>
  <c r="J470" i="1" s="1"/>
  <c r="L470" i="1" s="1"/>
  <c r="I466" i="1"/>
  <c r="J466" i="1" s="1"/>
  <c r="I464" i="1"/>
  <c r="G474" i="1"/>
  <c r="I473" i="1"/>
  <c r="J473" i="1" s="1"/>
  <c r="G473" i="1"/>
  <c r="G472" i="1"/>
  <c r="I471" i="1"/>
  <c r="G471" i="1"/>
  <c r="M470" i="1"/>
  <c r="G470" i="1"/>
  <c r="G469" i="1"/>
  <c r="I467" i="1"/>
  <c r="J467" i="1" s="1"/>
  <c r="L467" i="1" s="1"/>
  <c r="I460" i="1"/>
  <c r="J460" i="1" s="1"/>
  <c r="I459" i="1"/>
  <c r="J459" i="1" s="1"/>
  <c r="I457" i="1"/>
  <c r="M463" i="1"/>
  <c r="I463" i="1"/>
  <c r="J463" i="1" s="1"/>
  <c r="L463" i="1" s="1"/>
  <c r="I679" i="1"/>
  <c r="J679" i="1" s="1"/>
  <c r="I684" i="1"/>
  <c r="J684" i="1" s="1"/>
  <c r="I681" i="1"/>
  <c r="J681" i="1" s="1"/>
  <c r="I682" i="1"/>
  <c r="J682" i="1" s="1"/>
  <c r="I683" i="1"/>
  <c r="J683" i="1" s="1"/>
  <c r="I678" i="1"/>
  <c r="J678" i="1" s="1"/>
  <c r="J456" i="1"/>
  <c r="L456" i="1" s="1"/>
  <c r="M456" i="1" s="1"/>
  <c r="I670" i="1"/>
  <c r="J670" i="1" s="1"/>
  <c r="I668" i="1"/>
  <c r="J668" i="1" s="1"/>
  <c r="I666" i="1"/>
  <c r="J666" i="1" s="1"/>
  <c r="I667" i="1"/>
  <c r="J667" i="1" s="1"/>
  <c r="G687" i="1"/>
  <c r="G686" i="1"/>
  <c r="J685" i="1"/>
  <c r="G684" i="1"/>
  <c r="G683" i="1"/>
  <c r="G682" i="1"/>
  <c r="G681" i="1"/>
  <c r="J680" i="1"/>
  <c r="G679" i="1"/>
  <c r="G678" i="1"/>
  <c r="G675" i="1"/>
  <c r="G674" i="1"/>
  <c r="I672" i="1"/>
  <c r="J672" i="1" s="1"/>
  <c r="G672" i="1"/>
  <c r="I671" i="1"/>
  <c r="J671" i="1" s="1"/>
  <c r="G671" i="1"/>
  <c r="G670" i="1"/>
  <c r="G668" i="1"/>
  <c r="G667" i="1"/>
  <c r="G666" i="1"/>
  <c r="K460" i="1"/>
  <c r="G460" i="1"/>
  <c r="G459" i="1"/>
  <c r="G458" i="1"/>
  <c r="G457" i="1"/>
  <c r="G456" i="1"/>
  <c r="G455" i="1"/>
  <c r="I423" i="1"/>
  <c r="J423" i="1"/>
  <c r="J419" i="1"/>
  <c r="I417" i="1"/>
  <c r="J417" i="1" s="1"/>
  <c r="K417" i="1" s="1"/>
  <c r="I415" i="1"/>
  <c r="J415" i="1"/>
  <c r="K415" i="1"/>
  <c r="G427" i="1"/>
  <c r="G426" i="1"/>
  <c r="G424" i="1"/>
  <c r="G423" i="1"/>
  <c r="G422" i="1"/>
  <c r="G421" i="1"/>
  <c r="G420" i="1"/>
  <c r="G419" i="1"/>
  <c r="G418" i="1"/>
  <c r="G417" i="1"/>
  <c r="G416" i="1"/>
  <c r="G415" i="1"/>
  <c r="G414" i="1"/>
  <c r="G413" i="1"/>
  <c r="N463" i="1" l="1"/>
  <c r="L491" i="1"/>
  <c r="L460" i="1"/>
  <c r="L488" i="1"/>
  <c r="M488" i="1" s="1"/>
  <c r="O488" i="1" s="1"/>
  <c r="Q489" i="1" s="1"/>
  <c r="J673" i="1"/>
  <c r="K673" i="1" s="1"/>
  <c r="N490" i="1"/>
  <c r="N491" i="1" s="1"/>
  <c r="O491" i="1" s="1"/>
  <c r="N496" i="1"/>
  <c r="N497" i="1" s="1"/>
  <c r="O497" i="1" s="1"/>
  <c r="N470" i="1"/>
  <c r="K419" i="1"/>
  <c r="L669" i="1"/>
  <c r="L686" i="1"/>
  <c r="L493" i="1"/>
  <c r="M493" i="1" s="1"/>
  <c r="K494" i="1" s="1"/>
  <c r="L503" i="1"/>
  <c r="N503" i="1" s="1"/>
  <c r="O503" i="1" s="1"/>
  <c r="L499" i="1"/>
  <c r="M499" i="1" s="1"/>
  <c r="K500" i="1" s="1"/>
  <c r="K423" i="1"/>
  <c r="J686" i="1"/>
  <c r="K686" i="1" s="1"/>
  <c r="L681" i="1"/>
  <c r="M415" i="1"/>
  <c r="K666" i="1"/>
  <c r="K678" i="1"/>
  <c r="L401" i="1" l="1"/>
  <c r="I383" i="1"/>
  <c r="I384" i="1" s="1"/>
  <c r="D382" i="1" s="1"/>
  <c r="G383" i="1"/>
  <c r="K382" i="1"/>
  <c r="L382" i="1" s="1"/>
  <c r="M382" i="1" s="1"/>
  <c r="N382" i="1" s="1"/>
  <c r="I380" i="1"/>
  <c r="G380" i="1"/>
  <c r="I379" i="1"/>
  <c r="G379" i="1"/>
  <c r="K378" i="1"/>
  <c r="L378" i="1" s="1"/>
  <c r="I378" i="1"/>
  <c r="G378" i="1"/>
  <c r="I375" i="1"/>
  <c r="G375" i="1"/>
  <c r="K374" i="1"/>
  <c r="L374" i="1" s="1"/>
  <c r="I374" i="1"/>
  <c r="G374" i="1"/>
  <c r="I371" i="1"/>
  <c r="G371" i="1"/>
  <c r="I370" i="1"/>
  <c r="G370" i="1"/>
  <c r="K369" i="1"/>
  <c r="L369" i="1" s="1"/>
  <c r="I369" i="1"/>
  <c r="G369" i="1"/>
  <c r="I366" i="1"/>
  <c r="G366" i="1"/>
  <c r="J365" i="1"/>
  <c r="K365" i="1" s="1"/>
  <c r="L365" i="1" s="1"/>
  <c r="I365" i="1"/>
  <c r="G365" i="1"/>
  <c r="I362" i="1"/>
  <c r="G362" i="1"/>
  <c r="J361" i="1"/>
  <c r="K361" i="1" s="1"/>
  <c r="L361" i="1" s="1"/>
  <c r="I361" i="1"/>
  <c r="G361" i="1"/>
  <c r="I358" i="1"/>
  <c r="G358" i="1"/>
  <c r="J357" i="1"/>
  <c r="L357" i="1" s="1"/>
  <c r="M357" i="1" s="1"/>
  <c r="I357" i="1"/>
  <c r="G357" i="1"/>
  <c r="J335" i="1"/>
  <c r="J331" i="1"/>
  <c r="K326" i="1"/>
  <c r="L326" i="1" s="1"/>
  <c r="M326" i="1" s="1"/>
  <c r="N326" i="1" s="1"/>
  <c r="J309" i="1"/>
  <c r="K309" i="1" s="1"/>
  <c r="K294" i="1"/>
  <c r="L294" i="1" s="1"/>
  <c r="M294" i="1" s="1"/>
  <c r="J283" i="1"/>
  <c r="K279" i="1"/>
  <c r="L279" i="1" s="1"/>
  <c r="J272" i="1"/>
  <c r="J264" i="1"/>
  <c r="I264" i="1"/>
  <c r="K258" i="1"/>
  <c r="G1221" i="1"/>
  <c r="I372" i="1" l="1"/>
  <c r="D368" i="1" s="1"/>
  <c r="D372" i="1" s="1"/>
  <c r="G372" i="1" s="1"/>
  <c r="I381" i="1"/>
  <c r="D377" i="1" s="1"/>
  <c r="D381" i="1" s="1"/>
  <c r="G381" i="1" s="1"/>
  <c r="I359" i="1"/>
  <c r="D356" i="1" s="1"/>
  <c r="D359" i="1" s="1"/>
  <c r="G359" i="1" s="1"/>
  <c r="I376" i="1"/>
  <c r="D373" i="1" s="1"/>
  <c r="G373" i="1" s="1"/>
  <c r="I363" i="1"/>
  <c r="D360" i="1" s="1"/>
  <c r="G360" i="1" s="1"/>
  <c r="I367" i="1"/>
  <c r="D364" i="1" s="1"/>
  <c r="D367" i="1" s="1"/>
  <c r="G367" i="1" s="1"/>
  <c r="G382" i="1"/>
  <c r="D384" i="1"/>
  <c r="G384" i="1" s="1"/>
  <c r="I295" i="1"/>
  <c r="I296" i="1" s="1"/>
  <c r="D294" i="1" s="1"/>
  <c r="G295" i="1"/>
  <c r="I292" i="1"/>
  <c r="G292" i="1"/>
  <c r="K291" i="1"/>
  <c r="L291" i="1" s="1"/>
  <c r="I291" i="1"/>
  <c r="G291" i="1"/>
  <c r="I288" i="1"/>
  <c r="G288" i="1"/>
  <c r="J287" i="1"/>
  <c r="K287" i="1" s="1"/>
  <c r="L287" i="1" s="1"/>
  <c r="I287" i="1"/>
  <c r="G287" i="1"/>
  <c r="I284" i="1"/>
  <c r="G284" i="1"/>
  <c r="L283" i="1"/>
  <c r="M283" i="1" s="1"/>
  <c r="I283" i="1"/>
  <c r="G283" i="1"/>
  <c r="I327" i="1"/>
  <c r="I258" i="1"/>
  <c r="J116" i="1"/>
  <c r="I279" i="1"/>
  <c r="M264" i="1"/>
  <c r="L264" i="1"/>
  <c r="L258" i="1"/>
  <c r="L254" i="1"/>
  <c r="J251" i="1"/>
  <c r="P167" i="1"/>
  <c r="O167" i="1"/>
  <c r="N167" i="1"/>
  <c r="M167" i="1"/>
  <c r="L167" i="1"/>
  <c r="K167" i="1"/>
  <c r="J167" i="1"/>
  <c r="I167" i="1"/>
  <c r="J397" i="1"/>
  <c r="I396" i="1"/>
  <c r="G396" i="1"/>
  <c r="J395" i="1"/>
  <c r="I395" i="1"/>
  <c r="G395" i="1"/>
  <c r="J392" i="1"/>
  <c r="K392" i="1" s="1"/>
  <c r="I392" i="1"/>
  <c r="G392" i="1"/>
  <c r="K391" i="1"/>
  <c r="M391" i="1" s="1"/>
  <c r="J391" i="1"/>
  <c r="I391" i="1"/>
  <c r="G391" i="1"/>
  <c r="I388" i="1"/>
  <c r="G388" i="1"/>
  <c r="M387" i="1"/>
  <c r="N387" i="1" s="1"/>
  <c r="L387" i="1"/>
  <c r="J387" i="1"/>
  <c r="I387" i="1"/>
  <c r="G387" i="1"/>
  <c r="M331" i="1"/>
  <c r="J341" i="1"/>
  <c r="J339" i="1"/>
  <c r="J336" i="1"/>
  <c r="K336" i="1" s="1"/>
  <c r="K272" i="1"/>
  <c r="L272" i="1" s="1"/>
  <c r="I232" i="1"/>
  <c r="J232" i="1" s="1"/>
  <c r="I230" i="1"/>
  <c r="I226" i="1"/>
  <c r="G226" i="1"/>
  <c r="I225" i="1"/>
  <c r="G225" i="1"/>
  <c r="I224" i="1"/>
  <c r="G224" i="1"/>
  <c r="I201" i="1"/>
  <c r="I200" i="1"/>
  <c r="I199" i="1"/>
  <c r="J221" i="1"/>
  <c r="I221" i="1"/>
  <c r="G221" i="1"/>
  <c r="J197" i="1"/>
  <c r="I197" i="1"/>
  <c r="I209" i="1"/>
  <c r="J209" i="1" s="1"/>
  <c r="G209" i="1"/>
  <c r="G208" i="1"/>
  <c r="I207" i="1"/>
  <c r="J207" i="1" s="1"/>
  <c r="G207" i="1"/>
  <c r="I206" i="1"/>
  <c r="J206" i="1" s="1"/>
  <c r="G206" i="1"/>
  <c r="I205" i="1"/>
  <c r="J205" i="1" s="1"/>
  <c r="G205" i="1"/>
  <c r="G204" i="1"/>
  <c r="I182" i="1"/>
  <c r="J182" i="1" s="1"/>
  <c r="I178" i="1"/>
  <c r="J178" i="1" s="1"/>
  <c r="I218" i="1"/>
  <c r="J218" i="1" s="1"/>
  <c r="G218" i="1"/>
  <c r="J217" i="1"/>
  <c r="G217" i="1"/>
  <c r="J216" i="1"/>
  <c r="G216" i="1"/>
  <c r="I215" i="1"/>
  <c r="J215" i="1" s="1"/>
  <c r="G215" i="1"/>
  <c r="I214" i="1"/>
  <c r="J214" i="1" s="1"/>
  <c r="G214" i="1"/>
  <c r="I213" i="1"/>
  <c r="J213" i="1" s="1"/>
  <c r="G213" i="1"/>
  <c r="J194" i="1"/>
  <c r="I195" i="1"/>
  <c r="J195" i="1" s="1"/>
  <c r="I192" i="1"/>
  <c r="I191" i="1"/>
  <c r="I190" i="1"/>
  <c r="J190" i="1" s="1"/>
  <c r="I148" i="1"/>
  <c r="J148" i="1" s="1"/>
  <c r="G148" i="1"/>
  <c r="J147" i="1"/>
  <c r="G147" i="1"/>
  <c r="J146" i="1"/>
  <c r="G146" i="1"/>
  <c r="I145" i="1"/>
  <c r="J145" i="1" s="1"/>
  <c r="G145" i="1"/>
  <c r="I144" i="1"/>
  <c r="J144" i="1" s="1"/>
  <c r="G144" i="1"/>
  <c r="I143" i="1"/>
  <c r="J143" i="1" s="1"/>
  <c r="G143" i="1"/>
  <c r="G182" i="1"/>
  <c r="G181" i="1"/>
  <c r="I180" i="1"/>
  <c r="J180" i="1" s="1"/>
  <c r="G180" i="1"/>
  <c r="I179" i="1"/>
  <c r="J179" i="1" s="1"/>
  <c r="G179" i="1"/>
  <c r="G178" i="1"/>
  <c r="G177" i="1"/>
  <c r="I174" i="1"/>
  <c r="I173" i="1"/>
  <c r="I172" i="1"/>
  <c r="J168" i="1"/>
  <c r="J169" i="1"/>
  <c r="I157" i="1"/>
  <c r="J157" i="1" s="1"/>
  <c r="I159" i="1"/>
  <c r="J159" i="1" s="1"/>
  <c r="I139" i="1"/>
  <c r="J139" i="1" s="1"/>
  <c r="I136" i="1"/>
  <c r="J136" i="1" s="1"/>
  <c r="I135" i="1"/>
  <c r="J135" i="1" s="1"/>
  <c r="G139" i="1"/>
  <c r="G138" i="1"/>
  <c r="I137" i="1"/>
  <c r="J137" i="1" s="1"/>
  <c r="G137" i="1"/>
  <c r="G136" i="1"/>
  <c r="G135" i="1"/>
  <c r="G134" i="1"/>
  <c r="I131" i="1"/>
  <c r="I130" i="1"/>
  <c r="I129" i="1"/>
  <c r="J127" i="1"/>
  <c r="I127" i="1"/>
  <c r="J124" i="1"/>
  <c r="I125" i="1"/>
  <c r="J125" i="1" s="1"/>
  <c r="I122" i="1"/>
  <c r="I121" i="1"/>
  <c r="I120" i="1"/>
  <c r="K116" i="1" l="1"/>
  <c r="L116" i="1" s="1"/>
  <c r="D363" i="1"/>
  <c r="G363" i="1" s="1"/>
  <c r="G377" i="1"/>
  <c r="G356" i="1"/>
  <c r="G368" i="1"/>
  <c r="G364" i="1"/>
  <c r="D376" i="1"/>
  <c r="G376" i="1" s="1"/>
  <c r="I293" i="1"/>
  <c r="D290" i="1" s="1"/>
  <c r="D293" i="1" s="1"/>
  <c r="G293" i="1" s="1"/>
  <c r="D296" i="1"/>
  <c r="G296" i="1" s="1"/>
  <c r="G294" i="1"/>
  <c r="I285" i="1"/>
  <c r="D282" i="1" s="1"/>
  <c r="D285" i="1" s="1"/>
  <c r="G285" i="1" s="1"/>
  <c r="K221" i="1"/>
  <c r="I289" i="1"/>
  <c r="D286" i="1" s="1"/>
  <c r="G286" i="1" s="1"/>
  <c r="I397" i="1"/>
  <c r="D394" i="1" s="1"/>
  <c r="D397" i="1" s="1"/>
  <c r="G397" i="1" s="1"/>
  <c r="I389" i="1"/>
  <c r="D386" i="1" s="1"/>
  <c r="D389" i="1" s="1"/>
  <c r="G389" i="1" s="1"/>
  <c r="L391" i="1"/>
  <c r="I393" i="1"/>
  <c r="D390" i="1" s="1"/>
  <c r="D393" i="1" s="1"/>
  <c r="G393" i="1" s="1"/>
  <c r="K197" i="1"/>
  <c r="Q167" i="1"/>
  <c r="K127" i="1"/>
  <c r="L127" i="1" s="1"/>
  <c r="I114" i="1"/>
  <c r="J114" i="1" s="1"/>
  <c r="I112" i="1"/>
  <c r="J112" i="1" s="1"/>
  <c r="I111" i="1"/>
  <c r="J111" i="1" s="1"/>
  <c r="I110" i="1"/>
  <c r="J110" i="1" s="1"/>
  <c r="K250" i="1"/>
  <c r="G394" i="1" l="1"/>
  <c r="G290" i="1"/>
  <c r="G386" i="1"/>
  <c r="D289" i="1"/>
  <c r="G289" i="1" s="1"/>
  <c r="G390" i="1"/>
  <c r="G282" i="1"/>
  <c r="G112" i="1"/>
  <c r="G111" i="1"/>
  <c r="G110" i="1"/>
  <c r="G114" i="1"/>
  <c r="G113" i="1"/>
  <c r="G109" i="1"/>
  <c r="I153" i="1" l="1"/>
  <c r="I154" i="1"/>
  <c r="G154" i="1"/>
  <c r="G153" i="1"/>
  <c r="I152" i="1"/>
  <c r="G152" i="1"/>
  <c r="I106" i="1"/>
  <c r="I105" i="1"/>
  <c r="I104" i="1"/>
  <c r="Q98" i="1"/>
  <c r="K95" i="1"/>
  <c r="I95" i="1"/>
  <c r="O94" i="1"/>
  <c r="N94" i="1"/>
  <c r="M94" i="1"/>
  <c r="L94" i="1"/>
  <c r="K94" i="1"/>
  <c r="J94" i="1"/>
  <c r="K66" i="1"/>
  <c r="L66" i="1" s="1"/>
  <c r="J66" i="1"/>
  <c r="J95" i="1" l="1"/>
  <c r="I453" i="1"/>
  <c r="M66" i="1"/>
  <c r="L95" i="1"/>
  <c r="Q94" i="1"/>
  <c r="R94" i="1" s="1"/>
  <c r="M95" i="1" l="1"/>
  <c r="G849" i="1"/>
  <c r="G1092" i="1" l="1"/>
  <c r="G1091" i="1"/>
  <c r="G1090" i="1"/>
  <c r="G1089" i="1"/>
  <c r="G1088" i="1"/>
  <c r="G1087" i="1"/>
  <c r="G1086" i="1"/>
  <c r="G1083" i="1"/>
  <c r="G1082" i="1"/>
  <c r="G1081" i="1"/>
  <c r="G1080" i="1"/>
  <c r="G1079" i="1"/>
  <c r="G1078" i="1"/>
  <c r="G1077" i="1"/>
  <c r="G1074" i="1"/>
  <c r="G1073" i="1"/>
  <c r="G1072" i="1"/>
  <c r="G1071" i="1"/>
  <c r="G1070" i="1"/>
  <c r="G1069" i="1"/>
  <c r="G1068" i="1"/>
  <c r="G1067" i="1"/>
  <c r="G1066" i="1"/>
  <c r="G1103" i="1" l="1"/>
  <c r="G799" i="1"/>
  <c r="G798" i="1"/>
  <c r="G795" i="1"/>
  <c r="D940" i="1"/>
  <c r="G938" i="1"/>
  <c r="G937" i="1"/>
  <c r="G936" i="1"/>
  <c r="G920" i="1"/>
  <c r="G921" i="1"/>
  <c r="G878" i="1"/>
  <c r="G877" i="1"/>
  <c r="G860" i="1"/>
  <c r="G859" i="1"/>
  <c r="G844" i="1"/>
  <c r="D842" i="1"/>
  <c r="G842" i="1" s="1"/>
  <c r="G841" i="1"/>
  <c r="D840" i="1"/>
  <c r="G840" i="1" s="1"/>
  <c r="D839" i="1"/>
  <c r="G839" i="1" s="1"/>
  <c r="D838" i="1"/>
  <c r="G838" i="1" s="1"/>
  <c r="G837" i="1"/>
  <c r="G836" i="1"/>
  <c r="G835" i="1"/>
  <c r="G834" i="1"/>
  <c r="D812" i="1" l="1"/>
  <c r="G812" i="1" s="1"/>
  <c r="G815" i="1"/>
  <c r="G814" i="1"/>
  <c r="G813" i="1"/>
  <c r="D811" i="1"/>
  <c r="G811" i="1" s="1"/>
  <c r="G810" i="1"/>
  <c r="J809" i="1"/>
  <c r="G809" i="1"/>
  <c r="G808" i="1"/>
  <c r="G807" i="1"/>
  <c r="G806" i="1"/>
  <c r="G773" i="1"/>
  <c r="G764" i="1"/>
  <c r="G804" i="1"/>
  <c r="G801" i="1"/>
  <c r="G734" i="1"/>
  <c r="G735" i="1"/>
  <c r="G736" i="1"/>
  <c r="G733" i="1"/>
  <c r="I729" i="1"/>
  <c r="I728" i="1"/>
  <c r="G600" i="1"/>
  <c r="G599" i="1"/>
  <c r="J582" i="1"/>
  <c r="I582" i="1"/>
  <c r="G541" i="1"/>
  <c r="G539" i="1"/>
  <c r="G537" i="1"/>
  <c r="G533" i="1"/>
  <c r="G534" i="1"/>
  <c r="G503" i="1"/>
  <c r="G502" i="1"/>
  <c r="G501" i="1"/>
  <c r="G500" i="1"/>
  <c r="D486" i="1"/>
  <c r="G467" i="1"/>
  <c r="G466" i="1"/>
  <c r="G465" i="1"/>
  <c r="G464" i="1"/>
  <c r="G463" i="1"/>
  <c r="G462" i="1"/>
  <c r="J409" i="1"/>
  <c r="K409" i="1" s="1"/>
  <c r="L409" i="1" s="1"/>
  <c r="I409" i="1"/>
  <c r="I410" i="1"/>
  <c r="G410" i="1"/>
  <c r="G409" i="1"/>
  <c r="J405" i="1"/>
  <c r="K405" i="1" s="1"/>
  <c r="L405" i="1" s="1"/>
  <c r="M401" i="1"/>
  <c r="I406" i="1"/>
  <c r="G406" i="1"/>
  <c r="I405" i="1"/>
  <c r="G405" i="1"/>
  <c r="I402" i="1"/>
  <c r="G402" i="1"/>
  <c r="I401" i="1"/>
  <c r="G401" i="1"/>
  <c r="G398" i="1"/>
  <c r="G354" i="1"/>
  <c r="K322" i="1"/>
  <c r="L322" i="1" s="1"/>
  <c r="K318" i="1"/>
  <c r="L318" i="1" s="1"/>
  <c r="K313" i="1"/>
  <c r="L313" i="1" s="1"/>
  <c r="I313" i="1"/>
  <c r="I314" i="1"/>
  <c r="G314" i="1"/>
  <c r="G313" i="1"/>
  <c r="I309" i="1"/>
  <c r="G309" i="1"/>
  <c r="L309" i="1"/>
  <c r="J305" i="1"/>
  <c r="K305" i="1" s="1"/>
  <c r="L305" i="1" s="1"/>
  <c r="J301" i="1"/>
  <c r="L301" i="1" s="1"/>
  <c r="M301" i="1" s="1"/>
  <c r="I323" i="1"/>
  <c r="G323" i="1"/>
  <c r="I322" i="1"/>
  <c r="G322" i="1"/>
  <c r="I315" i="1"/>
  <c r="I310" i="1"/>
  <c r="I306" i="1"/>
  <c r="I305" i="1"/>
  <c r="I302" i="1"/>
  <c r="I301" i="1"/>
  <c r="I318" i="1"/>
  <c r="I324" i="1"/>
  <c r="G324" i="1"/>
  <c r="I319" i="1"/>
  <c r="G319" i="1"/>
  <c r="G318" i="1"/>
  <c r="G315" i="1"/>
  <c r="G310" i="1"/>
  <c r="G306" i="1"/>
  <c r="G305" i="1"/>
  <c r="I343" i="1"/>
  <c r="I344" i="1" s="1"/>
  <c r="D342" i="1" s="1"/>
  <c r="G343" i="1"/>
  <c r="I340" i="1"/>
  <c r="G340" i="1"/>
  <c r="I339" i="1"/>
  <c r="G339" i="1"/>
  <c r="I336" i="1"/>
  <c r="G336" i="1"/>
  <c r="K335" i="1"/>
  <c r="M335" i="1" s="1"/>
  <c r="I335" i="1"/>
  <c r="G335" i="1"/>
  <c r="I332" i="1"/>
  <c r="G332" i="1"/>
  <c r="N331" i="1"/>
  <c r="L331" i="1"/>
  <c r="I331" i="1"/>
  <c r="G331" i="1"/>
  <c r="I337" i="1" l="1"/>
  <c r="D334" i="1" s="1"/>
  <c r="D337" i="1" s="1"/>
  <c r="G337" i="1" s="1"/>
  <c r="K541" i="1"/>
  <c r="K582" i="1"/>
  <c r="I411" i="1"/>
  <c r="D408" i="1" s="1"/>
  <c r="D411" i="1" s="1"/>
  <c r="G411" i="1" s="1"/>
  <c r="I320" i="1"/>
  <c r="D317" i="1" s="1"/>
  <c r="D320" i="1" s="1"/>
  <c r="G320" i="1" s="1"/>
  <c r="I403" i="1"/>
  <c r="D400" i="1" s="1"/>
  <c r="D403" i="1" s="1"/>
  <c r="G403" i="1" s="1"/>
  <c r="I407" i="1"/>
  <c r="D404" i="1" s="1"/>
  <c r="D407" i="1" s="1"/>
  <c r="G407" i="1" s="1"/>
  <c r="P382" i="1"/>
  <c r="Q382" i="1" s="1"/>
  <c r="I341" i="1"/>
  <c r="D338" i="1" s="1"/>
  <c r="D341" i="1" s="1"/>
  <c r="G341" i="1" s="1"/>
  <c r="I316" i="1"/>
  <c r="D312" i="1" s="1"/>
  <c r="I325" i="1"/>
  <c r="D321" i="1" s="1"/>
  <c r="G321" i="1" s="1"/>
  <c r="I333" i="1"/>
  <c r="D330" i="1" s="1"/>
  <c r="G330" i="1" s="1"/>
  <c r="G342" i="1"/>
  <c r="D344" i="1"/>
  <c r="G344" i="1" s="1"/>
  <c r="L335" i="1"/>
  <c r="I328" i="1"/>
  <c r="D326" i="1" s="1"/>
  <c r="G327" i="1"/>
  <c r="I303" i="1"/>
  <c r="D300" i="1" s="1"/>
  <c r="D303" i="1" s="1"/>
  <c r="G303" i="1" s="1"/>
  <c r="G302" i="1"/>
  <c r="G301" i="1"/>
  <c r="G298" i="1"/>
  <c r="N264" i="1"/>
  <c r="I268" i="1"/>
  <c r="G268" i="1"/>
  <c r="I250" i="1"/>
  <c r="I251" i="1"/>
  <c r="G251" i="1"/>
  <c r="G250" i="1"/>
  <c r="I231" i="1"/>
  <c r="J231" i="1" s="1"/>
  <c r="J230" i="1"/>
  <c r="I158" i="1"/>
  <c r="J158" i="1" s="1"/>
  <c r="J123" i="1"/>
  <c r="J122" i="1"/>
  <c r="J121" i="1"/>
  <c r="J120" i="1"/>
  <c r="J193" i="1"/>
  <c r="L221" i="1"/>
  <c r="I203" i="1"/>
  <c r="J203" i="1" s="1"/>
  <c r="K203" i="1" s="1"/>
  <c r="J192" i="1"/>
  <c r="J191" i="1"/>
  <c r="G232" i="1"/>
  <c r="G231" i="1"/>
  <c r="G230" i="1"/>
  <c r="G220" i="1"/>
  <c r="G203" i="1"/>
  <c r="G202" i="1"/>
  <c r="G201" i="1"/>
  <c r="G200" i="1"/>
  <c r="G199" i="1"/>
  <c r="G197" i="1"/>
  <c r="G196" i="1"/>
  <c r="G195" i="1"/>
  <c r="G194" i="1"/>
  <c r="G193" i="1"/>
  <c r="G192" i="1"/>
  <c r="G191" i="1"/>
  <c r="G190" i="1"/>
  <c r="G176" i="1"/>
  <c r="G175" i="1"/>
  <c r="G174" i="1"/>
  <c r="G173" i="1"/>
  <c r="G172" i="1"/>
  <c r="G169" i="1"/>
  <c r="G168" i="1"/>
  <c r="G167" i="1"/>
  <c r="G127" i="1"/>
  <c r="G126" i="1"/>
  <c r="G159" i="1"/>
  <c r="G158" i="1"/>
  <c r="G157" i="1"/>
  <c r="K150" i="1"/>
  <c r="L150" i="1" s="1"/>
  <c r="G150" i="1"/>
  <c r="G149" i="1"/>
  <c r="G125" i="1"/>
  <c r="G124" i="1"/>
  <c r="G123" i="1"/>
  <c r="G122" i="1"/>
  <c r="G121" i="1"/>
  <c r="G120" i="1"/>
  <c r="G133" i="1"/>
  <c r="G132" i="1"/>
  <c r="G116" i="1"/>
  <c r="G115" i="1"/>
  <c r="G131" i="1"/>
  <c r="G130" i="1"/>
  <c r="G129" i="1"/>
  <c r="J100" i="1"/>
  <c r="J99" i="1"/>
  <c r="I72" i="1"/>
  <c r="I59" i="1"/>
  <c r="G334" i="1" l="1"/>
  <c r="G408" i="1"/>
  <c r="J453" i="1"/>
  <c r="D333" i="1"/>
  <c r="G333" i="1" s="1"/>
  <c r="G317" i="1"/>
  <c r="G400" i="1"/>
  <c r="I252" i="1"/>
  <c r="G404" i="1"/>
  <c r="G312" i="1"/>
  <c r="D316" i="1"/>
  <c r="G316" i="1" s="1"/>
  <c r="G338" i="1"/>
  <c r="D325" i="1"/>
  <c r="G325" i="1" s="1"/>
  <c r="I311" i="1"/>
  <c r="D308" i="1" s="1"/>
  <c r="I307" i="1"/>
  <c r="D304" i="1" s="1"/>
  <c r="D328" i="1"/>
  <c r="G328" i="1" s="1"/>
  <c r="G326" i="1"/>
  <c r="G300" i="1"/>
  <c r="L520" i="1"/>
  <c r="K520" i="1"/>
  <c r="K521" i="1"/>
  <c r="D311" i="1" l="1"/>
  <c r="G311" i="1" s="1"/>
  <c r="G308" i="1"/>
  <c r="G304" i="1"/>
  <c r="D307" i="1"/>
  <c r="G307" i="1" s="1"/>
  <c r="M520" i="1"/>
  <c r="N521" i="1" s="1"/>
  <c r="O521" i="1" s="1"/>
  <c r="K522" i="1"/>
  <c r="L522" i="1" s="1"/>
  <c r="M522" i="1" s="1"/>
  <c r="I272" i="1"/>
  <c r="I259" i="1" l="1"/>
  <c r="I260" i="1" s="1"/>
  <c r="G259" i="1"/>
  <c r="G258" i="1"/>
  <c r="I255" i="1"/>
  <c r="G255" i="1"/>
  <c r="I254" i="1"/>
  <c r="G254" i="1"/>
  <c r="I256" i="1" l="1"/>
  <c r="D257" i="1"/>
  <c r="D260" i="1" s="1"/>
  <c r="G930" i="1" l="1"/>
  <c r="G931" i="1"/>
  <c r="G894" i="1"/>
  <c r="G895" i="1"/>
  <c r="D772" i="1"/>
  <c r="G772" i="1" s="1"/>
  <c r="D771" i="1"/>
  <c r="G771" i="1" s="1"/>
  <c r="G509" i="1"/>
  <c r="G508" i="1"/>
  <c r="G507" i="1"/>
  <c r="G595" i="1"/>
  <c r="D557" i="1"/>
  <c r="J509" i="1"/>
  <c r="K509" i="1" s="1"/>
  <c r="M509" i="1" s="1"/>
  <c r="I509" i="1"/>
  <c r="I507" i="1"/>
  <c r="J507" i="1" s="1"/>
  <c r="I477" i="1"/>
  <c r="J477" i="1" s="1"/>
  <c r="L477" i="1" s="1"/>
  <c r="G477" i="1"/>
  <c r="G476" i="1"/>
  <c r="G506" i="1"/>
  <c r="L537" i="1" l="1"/>
  <c r="N509" i="1"/>
  <c r="M507" i="1"/>
  <c r="N507" i="1" s="1"/>
  <c r="L507" i="1"/>
  <c r="O507" i="1" l="1"/>
  <c r="I273" i="1"/>
  <c r="G273" i="1"/>
  <c r="G272" i="1"/>
  <c r="I269" i="1"/>
  <c r="G269" i="1"/>
  <c r="I265" i="1"/>
  <c r="G265" i="1"/>
  <c r="G264" i="1"/>
  <c r="I266" i="1" l="1"/>
  <c r="I274" i="1"/>
  <c r="I270" i="1"/>
  <c r="D249" i="1"/>
  <c r="D253" i="1"/>
  <c r="D256" i="1" s="1"/>
  <c r="G256" i="1" s="1"/>
  <c r="G260" i="1"/>
  <c r="D73" i="1"/>
  <c r="G257" i="1" l="1"/>
  <c r="G253" i="1"/>
  <c r="G617" i="1" l="1"/>
  <c r="G616" i="1"/>
  <c r="G769" i="1" l="1"/>
  <c r="G768" i="1"/>
  <c r="G767" i="1"/>
  <c r="G543" i="1"/>
  <c r="F19" i="2" l="1"/>
  <c r="G794" i="1"/>
  <c r="G593" i="1"/>
  <c r="G532" i="1"/>
  <c r="G530" i="1"/>
  <c r="G529" i="1"/>
  <c r="G528" i="1"/>
  <c r="I616" i="1"/>
  <c r="J616" i="1" s="1"/>
  <c r="K616" i="1" s="1"/>
  <c r="G582" i="1"/>
  <c r="G578" i="1"/>
  <c r="J563" i="1"/>
  <c r="I563" i="1"/>
  <c r="G557" i="1"/>
  <c r="G819" i="1" l="1"/>
  <c r="J620" i="1"/>
  <c r="K620" i="1" s="1"/>
  <c r="L620" i="1" s="1"/>
  <c r="M620" i="1" s="1"/>
  <c r="K563" i="1"/>
  <c r="M161" i="1" l="1"/>
  <c r="D267" i="1" l="1"/>
  <c r="D263" i="1"/>
  <c r="G425" i="1" s="1"/>
  <c r="D271" i="1"/>
  <c r="G271" i="1" l="1"/>
  <c r="D274" i="1"/>
  <c r="G274" i="1" s="1"/>
  <c r="G267" i="1"/>
  <c r="D270" i="1"/>
  <c r="G270" i="1" s="1"/>
  <c r="G263" i="1"/>
  <c r="D266" i="1"/>
  <c r="G266" i="1" s="1"/>
  <c r="G100" i="1" l="1"/>
  <c r="G99" i="1"/>
  <c r="I62" i="1" l="1"/>
  <c r="G32" i="1"/>
  <c r="G950" i="1" l="1"/>
  <c r="G933" i="1" l="1"/>
  <c r="G486" i="1" l="1"/>
  <c r="G718" i="1" l="1"/>
  <c r="G106" i="1" l="1"/>
  <c r="G105" i="1"/>
  <c r="G104" i="1"/>
  <c r="G925" i="1" l="1"/>
  <c r="G935" i="1"/>
  <c r="G929" i="1"/>
  <c r="G924" i="1"/>
  <c r="G926" i="1"/>
  <c r="G728" i="1" l="1"/>
  <c r="G620" i="1"/>
  <c r="I577" i="1"/>
  <c r="G747" i="1" l="1"/>
  <c r="I276" i="1" l="1"/>
  <c r="G279" i="1"/>
  <c r="D252" i="1"/>
  <c r="G252" i="1" s="1"/>
  <c r="I280" i="1" l="1"/>
  <c r="I277" i="1"/>
  <c r="G939" i="1" l="1"/>
  <c r="G942" i="1"/>
  <c r="G943" i="1"/>
  <c r="G914" i="1"/>
  <c r="G918" i="1"/>
  <c r="G919" i="1"/>
  <c r="G922" i="1"/>
  <c r="G923" i="1"/>
  <c r="G932" i="1"/>
  <c r="G934" i="1"/>
  <c r="G276" i="1"/>
  <c r="D278" i="1"/>
  <c r="G940" i="1" l="1"/>
  <c r="G941" i="1"/>
  <c r="D275" i="1"/>
  <c r="D280" i="1"/>
  <c r="G280" i="1" s="1"/>
  <c r="G278" i="1"/>
  <c r="G1055" i="1" l="1"/>
  <c r="C15" i="2" s="1"/>
  <c r="D277" i="1"/>
  <c r="G277" i="1" s="1"/>
  <c r="G275" i="1"/>
  <c r="G23" i="1" l="1"/>
  <c r="G848" i="1" l="1"/>
  <c r="G847" i="1"/>
  <c r="G846" i="1"/>
  <c r="G833" i="1"/>
  <c r="G832" i="1"/>
  <c r="G831" i="1"/>
  <c r="G829" i="1"/>
  <c r="G902" i="1" l="1"/>
  <c r="C13" i="2"/>
  <c r="G759" i="1" l="1"/>
  <c r="G536" i="1" l="1"/>
  <c r="G527" i="1"/>
  <c r="G654" i="1" l="1"/>
  <c r="G261" i="1" l="1"/>
  <c r="G108" i="1"/>
  <c r="G107" i="1"/>
  <c r="G98" i="1"/>
  <c r="G95" i="1"/>
  <c r="G77" i="1"/>
  <c r="G76" i="1"/>
  <c r="G75" i="1"/>
  <c r="G74" i="1"/>
  <c r="G73" i="1"/>
  <c r="G72" i="1"/>
  <c r="G68" i="1"/>
  <c r="G67" i="1"/>
  <c r="G66" i="1"/>
  <c r="G65" i="1"/>
  <c r="G64" i="1"/>
  <c r="G63" i="1"/>
  <c r="G62" i="1"/>
  <c r="G61" i="1"/>
  <c r="G60" i="1"/>
  <c r="G59" i="1"/>
  <c r="G58" i="1"/>
  <c r="G24" i="1"/>
  <c r="G25" i="1"/>
  <c r="G26" i="1"/>
  <c r="G27" i="1"/>
  <c r="G763" i="1" l="1"/>
  <c r="G762" i="1"/>
  <c r="G758" i="1"/>
  <c r="G757" i="1"/>
  <c r="G22" i="1"/>
  <c r="G786" i="1" l="1"/>
  <c r="G31" i="1" l="1"/>
  <c r="G30" i="1"/>
  <c r="G28" i="1"/>
  <c r="G51" i="1" l="1"/>
  <c r="C5" i="2" s="1"/>
  <c r="C14" i="2"/>
  <c r="C10" i="2"/>
  <c r="G453" i="1" l="1"/>
  <c r="G519" i="1" s="1"/>
  <c r="C11" i="2" l="1"/>
  <c r="G913" i="1" l="1"/>
  <c r="G1162" i="1" s="1"/>
  <c r="G87" i="1" l="1"/>
  <c r="C6" i="2" l="1"/>
  <c r="G249" i="1" l="1"/>
  <c r="C12" i="2" l="1"/>
  <c r="G442" i="1" l="1"/>
  <c r="C9" i="2"/>
  <c r="C8" i="2" l="1"/>
  <c r="C7" i="2" l="1"/>
  <c r="C21" i="2" s="1"/>
  <c r="C22" i="2" l="1"/>
  <c r="C23" i="2" s="1"/>
  <c r="F17" i="2"/>
  <c r="F21" i="2" l="1"/>
  <c r="F20" i="2"/>
</calcChain>
</file>

<file path=xl/sharedStrings.xml><?xml version="1.0" encoding="utf-8"?>
<sst xmlns="http://schemas.openxmlformats.org/spreadsheetml/2006/main" count="1827" uniqueCount="533">
  <si>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</si>
  <si>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</si>
  <si>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</si>
  <si>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</si>
  <si>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</si>
  <si>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</si>
  <si>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</si>
  <si>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</si>
  <si>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</si>
  <si>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</si>
  <si>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</si>
  <si>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</si>
  <si>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</si>
  <si>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</si>
  <si>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</si>
  <si>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</si>
  <si>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</si>
  <si>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</si>
  <si>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</si>
  <si>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</si>
  <si>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</si>
  <si>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</si>
  <si>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</si>
  <si>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</si>
  <si>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</si>
  <si>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</si>
  <si>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</si>
  <si>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</si>
  <si>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</si>
  <si>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</si>
  <si>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</si>
  <si>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</si>
  <si>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</si>
  <si>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</si>
  <si>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</si>
  <si>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</si>
  <si>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</si>
  <si>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</si>
  <si>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</si>
  <si>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</si>
  <si>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</si>
  <si>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</si>
  <si>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</si>
  <si>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</si>
  <si>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</si>
  <si>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</si>
  <si>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</si>
  <si>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</si>
  <si>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</si>
  <si>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</si>
  <si>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</si>
  <si>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</si>
  <si>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</si>
  <si>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</si>
  <si>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</si>
  <si>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</si>
  <si>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</si>
  <si>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</si>
  <si>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</si>
  <si>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</si>
  <si>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</si>
  <si>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</si>
  <si>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</si>
  <si>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</si>
  <si>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</si>
  <si>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</si>
  <si>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</si>
  <si>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</si>
  <si>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</si>
  <si>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</si>
  <si>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</si>
  <si>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</si>
  <si>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</si>
  <si>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</si>
  <si>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</si>
  <si>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</si>
  <si>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</si>
  <si>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</si>
  <si>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</si>
  <si>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</si>
  <si>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</si>
  <si>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</si>
  <si>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</si>
  <si>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</si>
  <si>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</si>
  <si>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</si>
  <si>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</si>
  <si>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</si>
  <si>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</si>
  <si>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</si>
  <si>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</si>
  <si>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</si>
  <si>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</si>
  <si>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</si>
  <si>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</si>
  <si>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</si>
  <si>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</si>
  <si>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</si>
  <si>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</si>
  <si>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</si>
  <si>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</si>
  <si>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</si>
  <si>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</si>
  <si>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</si>
  <si>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</si>
  <si>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</si>
  <si>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</si>
  <si>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</si>
  <si>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</si>
  <si>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</si>
  <si>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</si>
  <si>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</si>
  <si>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</si>
  <si>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</si>
  <si>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</si>
  <si>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</si>
  <si>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</si>
  <si>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</si>
  <si>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</si>
  <si>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</si>
  <si>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</si>
  <si>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</si>
  <si>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</si>
  <si>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</si>
  <si>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</si>
  <si>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</si>
  <si>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</si>
  <si>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</si>
  <si>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</si>
  <si>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</si>
  <si>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</si>
  <si>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</si>
  <si>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</si>
  <si>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</si>
  <si>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</si>
  <si>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</si>
  <si>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</si>
  <si>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</si>
  <si>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</si>
  <si>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</si>
  <si>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</si>
  <si>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</si>
  <si>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</si>
  <si>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</si>
  <si>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</si>
  <si>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</si>
  <si>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</si>
  <si>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</si>
  <si>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</si>
  <si>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</si>
  <si>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</si>
  <si>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</si>
  <si>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</si>
  <si>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</si>
  <si>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</si>
  <si>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</si>
  <si>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</si>
  <si>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</si>
  <si>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</si>
  <si>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</si>
  <si>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</si>
  <si>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</si>
  <si>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</si>
  <si>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</si>
  <si>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</si>
  <si>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</si>
  <si>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</si>
  <si>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</si>
  <si>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</si>
  <si>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</si>
  <si>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</si>
  <si>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</si>
  <si>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</si>
  <si>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</si>
  <si>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</si>
  <si>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</si>
  <si>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</si>
  <si>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</si>
  <si>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</si>
  <si>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</si>
  <si>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</si>
  <si>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</si>
  <si>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</si>
  <si>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</si>
  <si>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</si>
  <si>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</si>
  <si>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</si>
  <si>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</si>
  <si>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</si>
  <si>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</si>
  <si>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</si>
  <si>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</si>
  <si>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</si>
  <si>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</si>
  <si>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</si>
  <si>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</si>
  <si>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</si>
  <si>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</si>
  <si>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 xml:space="preserve">Floor drain with trap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</si>
  <si>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</si>
  <si>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</si>
  <si>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</si>
  <si>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</si>
  <si>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</si>
  <si>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</si>
  <si>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</si>
  <si>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</si>
  <si>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</si>
  <si>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</si>
  <si>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</si>
  <si>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</si>
  <si>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</si>
  <si>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</si>
  <si>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</si>
  <si>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</si>
  <si>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</si>
  <si>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</si>
  <si>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</si>
  <si>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</si>
  <si>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</si>
  <si>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</si>
  <si>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Toilets</t>
  </si>
  <si>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</si>
  <si>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</si>
  <si>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</si>
  <si>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</si>
  <si>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</si>
  <si>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</si>
  <si>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</si>
  <si>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</si>
  <si>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</si>
  <si>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</si>
  <si>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</si>
  <si>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</si>
  <si>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</si>
  <si>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</si>
  <si>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</si>
  <si>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</si>
  <si>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Cabling to TV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</si>
  <si>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</si>
  <si>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</si>
  <si>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</si>
  <si>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</si>
  <si>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</si>
  <si>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</si>
  <si>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</si>
  <si>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</si>
  <si>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</si>
  <si>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</si>
  <si>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</si>
  <si>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STEP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</si>
  <si>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</si>
  <si>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</si>
  <si>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</si>
  <si>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</si>
  <si>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</si>
  <si>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</si>
  <si>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D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</si>
  <si>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</si>
  <si>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</si>
  <si>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</si>
  <si>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</si>
  <si>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</si>
  <si>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</si>
  <si>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</si>
  <si>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</si>
  <si>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</si>
  <si>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</si>
  <si>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</si>
  <si>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</si>
  <si>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300 x 300mm Non slip Ceramic Tiles</t>
  </si>
  <si>
    <t>300 x 600mm Polished Ceramic Wall Tiles.  (Rate shall include for 300 x 100mm Design border tiles @ 1200mm high on toilet walls)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</si>
  <si>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</si>
  <si>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</si>
  <si>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</si>
  <si>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</si>
  <si>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</si>
  <si>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</si>
  <si>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Stair case</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</si>
  <si>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</si>
  <si>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</si>
  <si>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</si>
  <si>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</si>
  <si>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</si>
  <si>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</si>
  <si>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</si>
  <si>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</si>
  <si>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</si>
  <si>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</si>
  <si>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</si>
  <si>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</si>
  <si>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</si>
  <si>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</si>
  <si>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</si>
  <si>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</si>
  <si>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</si>
  <si>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</si>
  <si>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</si>
  <si>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</si>
  <si>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</si>
  <si>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</si>
  <si>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Footings F1 to F6 &amp; F8</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</si>
  <si>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</si>
  <si>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</si>
  <si>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</si>
  <si>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</si>
  <si>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</si>
  <si>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</si>
  <si>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</si>
  <si>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</si>
  <si>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</si>
  <si>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</si>
  <si>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</si>
  <si>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</si>
  <si>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</si>
  <si>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4.4</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</si>
  <si>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</si>
  <si>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</si>
  <si>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</si>
  <si>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</si>
  <si>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</si>
  <si>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</si>
  <si>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</si>
  <si>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</si>
  <si>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</si>
  <si>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</si>
  <si>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</si>
  <si>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</si>
  <si>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</si>
  <si>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</si>
  <si>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</si>
  <si>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</si>
  <si>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</si>
  <si>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</si>
  <si>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</si>
  <si>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PARAPET WALL</t>
  </si>
  <si>
    <t>Charges for construction of 100mm thick R.c.c.Parapet wall at First floor and Second floor as per details. (Refer drawing no:A 18) Rate shall include for Shuttering and Reinforcement work complete.</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</si>
  <si>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</si>
  <si>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</si>
  <si>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</si>
  <si>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</si>
  <si>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</si>
  <si>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</si>
  <si>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</si>
  <si>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</si>
  <si>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</si>
  <si>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</si>
  <si>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</si>
  <si>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</si>
  <si>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</si>
  <si>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</si>
  <si>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</si>
  <si>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</si>
  <si>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</si>
  <si>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</si>
  <si>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Second floor - Class room and Store</t>
  </si>
  <si>
    <t>Roof level - Eave Ceiling</t>
  </si>
  <si>
    <t>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</si>
  <si>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</si>
  <si>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</si>
  <si>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</si>
  <si>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</si>
  <si>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</si>
  <si>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</si>
  <si>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</si>
  <si>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</si>
  <si>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</si>
  <si>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</si>
  <si>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</si>
  <si>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</si>
  <si>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</si>
  <si>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</si>
  <si>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</si>
  <si>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</si>
  <si>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</si>
  <si>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</si>
  <si>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</si>
  <si>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</si>
  <si>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</si>
  <si>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</si>
  <si>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</si>
  <si>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</si>
  <si>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</si>
  <si>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</si>
  <si>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</si>
  <si>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</si>
  <si>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</si>
  <si>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</si>
  <si>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</si>
  <si>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</si>
  <si>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VGA Sockets - VGA 01 &amp; VGA 02</t>
  </si>
  <si>
    <t>Ceiling Light - L 09</t>
  </si>
  <si>
    <t>1 x 13A Power Socket - P01 &amp; P05</t>
  </si>
  <si>
    <t xml:space="preserve"> TOTAL           Mrf</t>
  </si>
  <si>
    <t>6% GST           Mrf</t>
  </si>
  <si>
    <t>GRAND TOTAL          Mrf</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</si>
  <si>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</si>
  <si>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</si>
  <si>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</si>
  <si>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</si>
  <si>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</si>
  <si>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</si>
  <si>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</si>
  <si>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</si>
  <si>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</si>
  <si>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</si>
  <si>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</si>
  <si>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</si>
  <si>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</si>
  <si>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</si>
  <si>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</si>
  <si>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</si>
  <si>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</si>
  <si>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</si>
  <si>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</si>
  <si>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</si>
  <si>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</si>
  <si>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</si>
  <si>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</si>
  <si>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</si>
  <si>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</si>
  <si>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</si>
  <si>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</si>
  <si>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</si>
  <si>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</si>
  <si>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</si>
  <si>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</si>
  <si>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</si>
  <si>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</si>
  <si>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</si>
  <si>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</si>
  <si>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</si>
  <si>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13 - ADDITIONS</t>
  </si>
  <si>
    <t>BILL No: 14</t>
  </si>
  <si>
    <t>BILL No: 14 - OMISSIONS</t>
  </si>
  <si>
    <t>TOTAL OF BILL No: 14 - Carried over to summary</t>
  </si>
  <si>
    <t>PROJECT: GA.MAAMENDHOO SCHOOL</t>
  </si>
  <si>
    <t>PROJECT : GA. MAAMENDHOO SCHOOL</t>
  </si>
  <si>
    <t>Footings F1 to  F8</t>
  </si>
  <si>
    <t>C1 , 200 x 200mm x 29nos: (4515mm H)</t>
  </si>
  <si>
    <t>C2 , 400 x 200mm x 04nos: (4515mm H)</t>
  </si>
  <si>
    <t>SC, 150 x 150mm x 06nos: (4065mm H)</t>
  </si>
  <si>
    <t>C1 , 200 x 200mm x 29nos: (3500mm H)</t>
  </si>
  <si>
    <t>C2 , 400 x 200mm x 04nos: (3500mm H)</t>
  </si>
  <si>
    <t>SC, 150 x 150mm x 06nos: (3500mm H)</t>
  </si>
  <si>
    <t>STORE SLAB BEAM</t>
  </si>
  <si>
    <t>2.5</t>
  </si>
  <si>
    <t>STORE SLAB</t>
  </si>
  <si>
    <t>150mm thick R.c.c. Slab</t>
  </si>
  <si>
    <t>3.5</t>
  </si>
  <si>
    <t>3.6</t>
  </si>
  <si>
    <t>C1 , 200 x 200mm x 29nos: (4655mm H)</t>
  </si>
  <si>
    <t>C2 , 400 x 200mm x 04nos: (4655mm H)</t>
  </si>
  <si>
    <t>SC, 150 x 150mm x 06nos: (4655mm H)</t>
  </si>
  <si>
    <t>SC, 150 x 150mm x 06nos: (3050mm H)</t>
  </si>
  <si>
    <t xml:space="preserve">C1 , 200 x 200mm x 29nos: (3500mm H) </t>
  </si>
  <si>
    <t>SC, 150 x 150mm x 06nos: (3100mm H)</t>
  </si>
  <si>
    <t>C1 , 200 x 200mm x 29nos:</t>
  </si>
  <si>
    <t>C2, 400 x 200mm x 04nos</t>
  </si>
  <si>
    <t>SC, 150 x 150 x 06nos:</t>
  </si>
  <si>
    <t>STORE FLOOR SLAB</t>
  </si>
  <si>
    <t>(c) Quantity is measured to the edges of concrete foundation members. Rates shall be inclusive for any additional concrete required to place the formwork.</t>
  </si>
  <si>
    <t>(b) Mix ratio for  reinforced concrete shall be 1:2:3 and lean concrete shall be 1:2:6 by volume.</t>
  </si>
  <si>
    <r>
      <t xml:space="preserve">300x150x100mm solid block </t>
    </r>
    <r>
      <rPr>
        <b/>
        <sz val="9"/>
        <color theme="1"/>
        <rFont val="Times New Roman"/>
        <family val="1"/>
      </rPr>
      <t>Double</t>
    </r>
    <r>
      <rPr>
        <sz val="9"/>
        <color theme="1"/>
        <rFont val="Times New Roman"/>
        <family val="1"/>
      </rPr>
      <t xml:space="preserve"> wall - 200mm thick above foundation beams.</t>
    </r>
  </si>
  <si>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</si>
  <si>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</si>
  <si>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Charges for construction of R.c.c. Sills and Lintels for the windows and doors as per details. Rate shall include for shuttering and Reinforcement works complete. (Ground floor to Second floor)</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</si>
  <si>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19) Rate shall include for Shuttering and Reinforcement work complete. (Ground Floor to Second Floor)</t>
    </r>
  </si>
  <si>
    <t>D2 - Solid Timber framed door with Soild Timber door panel, 950 x 2150mm.</t>
  </si>
  <si>
    <t>W1 - Coated Aluminium framed Window with Openable glass panels and Fixed aluminium louvered panels &amp; glass panels at top, 2450 x 1690mm</t>
  </si>
  <si>
    <t>D3 - Solid Timber framed door with Soild Timber door panel, 780 x 2000mm.</t>
  </si>
  <si>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</si>
  <si>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</si>
  <si>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</si>
  <si>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r>
      <t xml:space="preserve">W3 - Coated Aluminium framed Window with Openable glass panels and Fixed </t>
    </r>
    <r>
      <rPr>
        <b/>
        <sz val="9"/>
        <rFont val="Times New Roman"/>
        <family val="1"/>
      </rPr>
      <t xml:space="preserve">Aluminium louvered </t>
    </r>
    <r>
      <rPr>
        <sz val="9"/>
        <rFont val="Times New Roman"/>
        <family val="1"/>
      </rPr>
      <t>panels at top , 1240 x 1690mm</t>
    </r>
  </si>
  <si>
    <t>External surface of exeterior wall &amp; Parapet wall</t>
  </si>
  <si>
    <t xml:space="preserve">Corridor / wash </t>
  </si>
  <si>
    <t>Toilet</t>
  </si>
  <si>
    <t>Cleaners' Closet</t>
  </si>
  <si>
    <t>Wash room walls @ 1.8m H</t>
  </si>
  <si>
    <t>Vanity Counter</t>
  </si>
  <si>
    <t>Ground floor - Toilet / Wash room</t>
  </si>
  <si>
    <t>First floor  - Toilet / Wash room</t>
  </si>
  <si>
    <t>Second floor  - Corridor, Toilet / Wash room / Cleaners' Closet / Stair room.</t>
  </si>
  <si>
    <t>Angle Valve</t>
  </si>
  <si>
    <t>Ball valve</t>
  </si>
  <si>
    <t>b.1</t>
  </si>
  <si>
    <t>Distribution board for Power Points</t>
  </si>
  <si>
    <t>b.2</t>
  </si>
  <si>
    <t>Distribution board for Light Points</t>
  </si>
  <si>
    <t>a.1</t>
  </si>
  <si>
    <t>a.2</t>
  </si>
  <si>
    <t>a</t>
  </si>
  <si>
    <t xml:space="preserve">Supply and Installation of  STELCO approved brand (Hager / Legrand) Distribution board </t>
  </si>
  <si>
    <t xml:space="preserve">Supply and Installation of STELCO approved Main Panel board with  KWH meters. </t>
  </si>
  <si>
    <t>2 x 13A Power Socket - P02 &amp; P06</t>
  </si>
  <si>
    <t>1 Gang 1 way Switch - P19</t>
  </si>
  <si>
    <t>Cabling - Telephone  points</t>
  </si>
  <si>
    <t>Cabling - Data Network points (Cat 06)</t>
  </si>
  <si>
    <t>VGA Cabling -  Multimedia Projector</t>
  </si>
  <si>
    <t>Cabling - Speaker System</t>
  </si>
  <si>
    <t>Roof Truss - Supply, Fabrication and Fixing Roof Trusses complete with  Base plates, Bolts, nuts, Washers etc including  Paint Finishes. Refer drawing detail    S 11.</t>
  </si>
  <si>
    <t>2 x 13A Power Socket - P02</t>
  </si>
  <si>
    <t>CLIENT</t>
  </si>
  <si>
    <t>MINISTRY OF EDUCATION</t>
  </si>
  <si>
    <t>REPUBLIC OF MALDIVES</t>
  </si>
  <si>
    <t>1 x 13A Power Socket (WP) - P17</t>
  </si>
  <si>
    <t>(e) Rates shall include for supply and complete installation of fittings and fixtures.</t>
  </si>
  <si>
    <r>
      <t xml:space="preserve">Apply Rubberised bitumin water proofing paint, </t>
    </r>
    <r>
      <rPr>
        <b/>
        <sz val="9"/>
        <color theme="1"/>
        <rFont val="Times New Roman"/>
        <family val="1"/>
      </rPr>
      <t>ConMix Moya Shield RBE or equivalent,</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</si>
  <si>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ConMix Mega Add WL1 or equivalent</t>
    </r>
    <r>
      <rPr>
        <sz val="9"/>
        <color theme="1"/>
        <rFont val="Times New Roman"/>
        <family val="1"/>
      </rPr>
      <t xml:space="preserve"> as per specification to all concrete below ground level.</t>
    </r>
  </si>
  <si>
    <r>
      <t xml:space="preserve">Add Plasticiser admixture </t>
    </r>
    <r>
      <rPr>
        <b/>
        <sz val="9"/>
        <color theme="1"/>
        <rFont val="Times New Roman"/>
        <family val="1"/>
      </rPr>
      <t>ConMix Mega Flow P or equivalent</t>
    </r>
    <r>
      <rPr>
        <sz val="9"/>
        <color theme="1"/>
        <rFont val="Times New Roman"/>
        <family val="1"/>
      </rPr>
      <t xml:space="preserve"> as per specification to all concrete Substreucture and Super structure.</t>
    </r>
  </si>
  <si>
    <r>
      <t xml:space="preserve">(c) Tiles for bed rooms, offices, Kitchen, Living, Dining, corridors, all general areas shall be </t>
    </r>
    <r>
      <rPr>
        <b/>
        <sz val="9"/>
        <rFont val="Times New Roman"/>
        <family val="1"/>
      </rPr>
      <t>600 x 600mm Ceramic tiles.</t>
    </r>
  </si>
  <si>
    <t>600 x 600mm Ceramic tiles</t>
  </si>
  <si>
    <t>Ceramic Step Tiles</t>
  </si>
  <si>
    <t>600 x 600mm Non Slip Ceramic tiles</t>
  </si>
  <si>
    <t>Skirting - 600 x 100mm Ceramic Tiles</t>
  </si>
  <si>
    <t>600 x 600mm Non slip Ceramic tiles</t>
  </si>
  <si>
    <t>300 x 600mm Ceramic Wall Tiles 2.7m height.   (Rate shall include for 300 x 100mm Design border tiles @ 1200mm high on toilet walls)</t>
  </si>
  <si>
    <r>
      <t xml:space="preserve">Apply 2 coats of Water proofing Compound, </t>
    </r>
    <r>
      <rPr>
        <b/>
        <sz val="9"/>
        <rFont val="Times New Roman"/>
        <family val="1"/>
      </rPr>
      <t xml:space="preserve">ConMix Moya Proof HF or equivalent, </t>
    </r>
    <r>
      <rPr>
        <sz val="9"/>
        <rFont val="Times New Roman"/>
        <family val="1"/>
      </rPr>
      <t xml:space="preserve">on wet surfaces - Toilets, Balcony and Terrace Floors. </t>
    </r>
  </si>
  <si>
    <t>Charges for supplying special tiles grout Conmix C800 / Conmix C500 or equivalent for fixing tiles to all floors.</t>
  </si>
  <si>
    <r>
      <t xml:space="preserve">D1 - Solid Timber framed door with Soild Timber door panel, 950 x 2830mm. </t>
    </r>
    <r>
      <rPr>
        <b/>
        <sz val="9"/>
        <rFont val="Times New Roman"/>
        <family val="1"/>
      </rPr>
      <t>All glazed fix panels shall be single glazed panels.</t>
    </r>
  </si>
  <si>
    <r>
      <t xml:space="preserve">W2 - Coated Aluminium framed Window with Openable glass panels and Fixed </t>
    </r>
    <r>
      <rPr>
        <b/>
        <sz val="9"/>
        <rFont val="Times New Roman"/>
        <family val="1"/>
      </rPr>
      <t xml:space="preserve">6mm thick clear glazed </t>
    </r>
    <r>
      <rPr>
        <sz val="9"/>
        <rFont val="Times New Roman"/>
        <family val="1"/>
      </rPr>
      <t>panels at top , 1575 x 2000mm</t>
    </r>
  </si>
  <si>
    <r>
      <t xml:space="preserve">D1 - Solid Timber framed door with Soild Timber door panel, 950 x 2830mm. </t>
    </r>
    <r>
      <rPr>
        <b/>
        <sz val="9"/>
        <rFont val="Times New Roman"/>
        <family val="1"/>
      </rPr>
      <t>All glazed fixed panels shall be single glazed panels.</t>
    </r>
  </si>
  <si>
    <t>G.I. Railing  - Staircase</t>
  </si>
  <si>
    <t>G.I. Railing  - STAIRCASE</t>
  </si>
  <si>
    <t>G.I. Railing  - BALCONY</t>
  </si>
  <si>
    <t>Supply, Fabrication and Installation of G.I.Railing - Staircase as per details (Refer drawing - A16)</t>
  </si>
  <si>
    <t>Supply, Fabrication and Installation of  G.I. Railing - Staircase as per details (Refer drawing - A16)</t>
  </si>
  <si>
    <t xml:space="preserve">Supply, Fabrication and Fixing G.I.Railing - Fixed at Middle of the Staircase as per details </t>
  </si>
  <si>
    <t xml:space="preserve">Supply, Fabrication and Installation of  40mm dia. G.I.Pipe Fixed at both Sides of the Staircase as per details </t>
  </si>
  <si>
    <t xml:space="preserve">Supply, Fabrication and Installation of  40mm dia. G.I.Pipe single railing fixed on the side wall of the Staircase as per details </t>
  </si>
  <si>
    <t>09 CLASS ROOM BLOCK AT 
GA. MAAMENDHOO SCHOOL</t>
  </si>
  <si>
    <t>(ONLY FOR INDICATIVE PURPOSES)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</si>
</sst>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3">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sz val="11"/>
      <color theme="1"/>
      <name val="Calibri"/>
      <family val="2"/>
      <scheme val="minor"/>
    </font>
    <font>
      <b/>
      <u/>
      <sz val="12"/>
      <color theme="1"/>
      <name val="Times New Roman"/>
      <family val="1"/>
    </font>
    <font>
      <b/>
      <sz val="22"/>
      <color rgb="FFFF0000"/>
      <name val="Charlemagne Std"/>
      <family val="3"/>
    </font>
    <font>
      <b/>
      <sz val="22"/>
      <color theme="5"/>
      <name val="Charlemagne Std"/>
      <family val="3"/>
    </font>
    <font>
      <b/>
      <u/>
      <sz val="11"/>
      <color theme="1"/>
      <name val="Calibri"/>
      <family val="2"/>
      <scheme val="minor"/>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u/>
      <sz val="11"/>
      <color theme="1"/>
      <name val="Arial Black"/>
      <family val="2"/>
    </font>
    <font>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41">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medium">
        <color auto="1"/>
      </right>
      <top/>
      <bottom style="medium">
        <color auto="1"/>
      </bottom>
      <diagonal/>
    </border>
    <border>
      <left/>
      <right style="thin">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55">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8" fillId="2" borderId="10" xfId="0" applyNumberFormat="1" applyFont="1" applyFill="1" applyBorder="1"/>
    <xf numFmtId="0" fontId="8" fillId="2" borderId="11" xfId="0" applyFont="1" applyFill="1" applyBorder="1"/>
    <xf numFmtId="0" fontId="9" fillId="2" borderId="12" xfId="0"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49" fontId="3" fillId="2" borderId="4" xfId="0" applyNumberFormat="1" applyFont="1" applyFill="1" applyBorder="1"/>
    <xf numFmtId="0" fontId="9" fillId="2" borderId="5" xfId="0" applyFont="1" applyFill="1" applyBorder="1" applyAlignment="1">
      <alignment horizontal="center"/>
    </xf>
    <xf numFmtId="43" fontId="9" fillId="2" borderId="6" xfId="0" applyNumberFormat="1"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0" fontId="11" fillId="0" borderId="1" xfId="0" applyFont="1" applyBorder="1" applyAlignment="1">
      <alignment horizontal="center"/>
    </xf>
    <xf numFmtId="43" fontId="11" fillId="0" borderId="1" xfId="1" applyNumberFormat="1" applyFont="1" applyBorder="1"/>
    <xf numFmtId="43" fontId="11" fillId="0" borderId="1" xfId="1" applyFont="1" applyBorder="1"/>
    <xf numFmtId="43" fontId="11" fillId="0" borderId="2" xfId="1" applyFont="1" applyBorder="1"/>
    <xf numFmtId="43"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8" fillId="6" borderId="1" xfId="0" applyFont="1" applyFill="1" applyBorder="1"/>
    <xf numFmtId="43" fontId="17" fillId="6" borderId="1" xfId="1" applyNumberFormat="1" applyFont="1" applyFill="1" applyBorder="1"/>
    <xf numFmtId="0" fontId="0" fillId="0" borderId="0" xfId="0" applyAlignment="1">
      <alignment vertical="center"/>
    </xf>
    <xf numFmtId="0" fontId="20" fillId="0" borderId="0" xfId="0" applyFont="1"/>
    <xf numFmtId="0" fontId="24" fillId="0" borderId="0" xfId="0" applyFont="1"/>
    <xf numFmtId="43" fontId="17" fillId="0" borderId="1" xfId="1" applyNumberFormat="1" applyFont="1" applyBorder="1"/>
    <xf numFmtId="0" fontId="17" fillId="0" borderId="0" xfId="0" applyFont="1" applyAlignment="1">
      <alignment horizontal="center" vertical="center"/>
    </xf>
    <xf numFmtId="0" fontId="25"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0" fontId="12" fillId="2" borderId="1" xfId="2" applyNumberFormat="1" applyFont="1" applyFill="1" applyBorder="1" applyAlignment="1">
      <alignment horizontal="left" wrapText="1"/>
    </xf>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0" fontId="12" fillId="2" borderId="1" xfId="2" applyNumberFormat="1" applyFont="1" applyFill="1" applyBorder="1" applyAlignment="1">
      <alignment horizontal="left" wrapText="1"/>
    </xf>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164" fontId="11" fillId="0" borderId="0" xfId="0" applyNumberFormat="1" applyFont="1" applyAlignment="1"/>
    <xf numFmtId="43" fontId="11" fillId="0" borderId="0" xfId="1" applyNumberFormat="1" applyFont="1" applyBorder="1"/>
    <xf numFmtId="49" fontId="12" fillId="2" borderId="17" xfId="2" applyNumberFormat="1" applyFont="1" applyFill="1" applyBorder="1" applyAlignment="1">
      <alignment horizontal="center" vertical="justify"/>
    </xf>
    <xf numFmtId="0" fontId="14" fillId="2" borderId="18" xfId="2" quotePrefix="1" applyNumberFormat="1" applyFont="1" applyFill="1" applyBorder="1" applyAlignment="1">
      <alignment horizontal="left"/>
    </xf>
    <xf numFmtId="43" fontId="12" fillId="2" borderId="18" xfId="2" applyFont="1" applyFill="1" applyBorder="1" applyAlignment="1">
      <alignment horizontal="center"/>
    </xf>
    <xf numFmtId="43" fontId="12" fillId="3" borderId="18" xfId="1" applyNumberFormat="1" applyFont="1" applyFill="1" applyBorder="1" applyAlignment="1">
      <alignment horizontal="center"/>
    </xf>
    <xf numFmtId="165" fontId="12" fillId="2" borderId="18" xfId="1" applyNumberFormat="1" applyFont="1" applyFill="1" applyBorder="1" applyAlignment="1">
      <alignment horizontal="center"/>
    </xf>
    <xf numFmtId="43" fontId="11" fillId="0" borderId="18" xfId="1" applyFont="1" applyBorder="1"/>
    <xf numFmtId="43" fontId="11" fillId="0" borderId="19" xfId="1" applyFont="1" applyBorder="1"/>
    <xf numFmtId="49" fontId="12" fillId="2" borderId="20" xfId="2" applyNumberFormat="1" applyFont="1" applyFill="1" applyBorder="1" applyAlignment="1">
      <alignment horizontal="center" vertical="justify"/>
    </xf>
    <xf numFmtId="0" fontId="14" fillId="2" borderId="21" xfId="2" quotePrefix="1" applyNumberFormat="1" applyFont="1" applyFill="1" applyBorder="1" applyAlignment="1">
      <alignment horizontal="left"/>
    </xf>
    <xf numFmtId="43" fontId="12" fillId="2" borderId="21" xfId="2" applyFont="1" applyFill="1" applyBorder="1" applyAlignment="1">
      <alignment horizontal="center"/>
    </xf>
    <xf numFmtId="43" fontId="12" fillId="3" borderId="21" xfId="1" applyNumberFormat="1" applyFont="1" applyFill="1" applyBorder="1" applyAlignment="1">
      <alignment horizontal="center"/>
    </xf>
    <xf numFmtId="165" fontId="12" fillId="2" borderId="21" xfId="1" applyNumberFormat="1" applyFont="1" applyFill="1" applyBorder="1" applyAlignment="1">
      <alignment horizontal="center"/>
    </xf>
    <xf numFmtId="43" fontId="11" fillId="0" borderId="21" xfId="1" applyFont="1" applyBorder="1"/>
    <xf numFmtId="43" fontId="17" fillId="0" borderId="22" xfId="1" applyFont="1" applyBorder="1"/>
    <xf numFmtId="49" fontId="12" fillId="2" borderId="26" xfId="2" applyNumberFormat="1" applyFont="1" applyFill="1" applyBorder="1" applyAlignment="1">
      <alignment horizontal="center" vertical="justify"/>
    </xf>
    <xf numFmtId="0" fontId="13" fillId="2" borderId="27" xfId="2" quotePrefix="1" applyNumberFormat="1" applyFont="1" applyFill="1" applyBorder="1" applyAlignment="1">
      <alignment horizontal="center"/>
    </xf>
    <xf numFmtId="43" fontId="14" fillId="2" borderId="27" xfId="2" applyFont="1" applyFill="1" applyBorder="1" applyAlignment="1">
      <alignment horizontal="center"/>
    </xf>
    <xf numFmtId="43" fontId="14" fillId="3" borderId="27" xfId="1" applyNumberFormat="1" applyFont="1" applyFill="1" applyBorder="1" applyAlignment="1">
      <alignment horizontal="center"/>
    </xf>
    <xf numFmtId="165" fontId="12" fillId="2" borderId="27" xfId="1" applyNumberFormat="1" applyFont="1" applyFill="1" applyBorder="1" applyAlignment="1">
      <alignment horizontal="center"/>
    </xf>
    <xf numFmtId="43" fontId="11" fillId="0" borderId="27" xfId="1" applyFont="1" applyBorder="1" applyAlignment="1">
      <alignment horizontal="center" vertical="center" wrapText="1"/>
    </xf>
    <xf numFmtId="43" fontId="11" fillId="0" borderId="28" xfId="1" applyFont="1" applyBorder="1" applyAlignment="1">
      <alignment horizontal="center" vertical="center" wrapText="1"/>
    </xf>
    <xf numFmtId="0" fontId="13" fillId="2" borderId="27" xfId="2" applyNumberFormat="1" applyFont="1" applyFill="1" applyBorder="1" applyAlignment="1">
      <alignment horizontal="center"/>
    </xf>
    <xf numFmtId="0" fontId="14" fillId="2" borderId="27" xfId="2" applyNumberFormat="1" applyFont="1" applyFill="1" applyBorder="1" applyAlignment="1">
      <alignment horizontal="left"/>
    </xf>
    <xf numFmtId="0" fontId="13" fillId="2" borderId="27" xfId="2" applyNumberFormat="1" applyFont="1" applyFill="1" applyBorder="1" applyAlignment="1">
      <alignment horizontal="left"/>
    </xf>
    <xf numFmtId="49" fontId="12" fillId="2" borderId="26" xfId="2" quotePrefix="1" applyNumberFormat="1" applyFont="1" applyFill="1" applyBorder="1" applyAlignment="1">
      <alignment horizontal="center" vertical="justify"/>
    </xf>
    <xf numFmtId="0" fontId="15" fillId="2" borderId="27" xfId="2" applyNumberFormat="1" applyFont="1" applyFill="1" applyBorder="1" applyAlignment="1">
      <alignment horizontal="left"/>
    </xf>
    <xf numFmtId="0" fontId="12" fillId="2" borderId="27" xfId="2" applyNumberFormat="1" applyFont="1" applyFill="1" applyBorder="1" applyAlignment="1">
      <alignment horizontal="left"/>
    </xf>
    <xf numFmtId="0" fontId="13" fillId="2" borderId="27" xfId="2" applyNumberFormat="1" applyFont="1" applyFill="1" applyBorder="1"/>
    <xf numFmtId="43" fontId="12" fillId="2" borderId="27" xfId="2" applyFont="1" applyFill="1" applyBorder="1" applyAlignment="1">
      <alignment horizontal="center"/>
    </xf>
    <xf numFmtId="43" fontId="12" fillId="3" borderId="27" xfId="1" applyNumberFormat="1" applyFont="1" applyFill="1" applyBorder="1" applyAlignment="1">
      <alignment horizontal="center"/>
    </xf>
    <xf numFmtId="0" fontId="12" fillId="2" borderId="27" xfId="2" applyNumberFormat="1" applyFont="1" applyFill="1" applyBorder="1" applyAlignment="1">
      <alignment horizontal="justify"/>
    </xf>
    <xf numFmtId="43" fontId="11" fillId="0" borderId="27" xfId="1" applyFont="1" applyBorder="1"/>
    <xf numFmtId="43" fontId="11" fillId="0" borderId="28" xfId="1" applyFont="1" applyBorder="1"/>
    <xf numFmtId="0" fontId="12" fillId="2" borderId="27" xfId="2" applyNumberFormat="1" applyFont="1" applyFill="1" applyBorder="1"/>
    <xf numFmtId="0" fontId="15" fillId="2" borderId="27" xfId="2" applyNumberFormat="1" applyFont="1" applyFill="1" applyBorder="1"/>
    <xf numFmtId="0" fontId="12" fillId="2" borderId="27" xfId="2" applyNumberFormat="1" applyFont="1" applyFill="1" applyBorder="1" applyAlignment="1">
      <alignment wrapText="1"/>
    </xf>
    <xf numFmtId="49" fontId="12" fillId="2" borderId="26" xfId="2" applyNumberFormat="1" applyFont="1" applyFill="1" applyBorder="1" applyAlignment="1">
      <alignment horizontal="center" vertical="top"/>
    </xf>
    <xf numFmtId="0" fontId="13" fillId="2" borderId="27" xfId="2" applyNumberFormat="1" applyFont="1" applyFill="1" applyBorder="1" applyAlignment="1">
      <alignment vertical="top"/>
    </xf>
    <xf numFmtId="43" fontId="12" fillId="2" borderId="27" xfId="2" applyFont="1" applyFill="1" applyBorder="1" applyAlignment="1">
      <alignment horizontal="center" vertical="top"/>
    </xf>
    <xf numFmtId="43" fontId="12" fillId="3" borderId="27" xfId="1" applyNumberFormat="1" applyFont="1" applyFill="1" applyBorder="1" applyAlignment="1">
      <alignment horizontal="center" vertical="top"/>
    </xf>
    <xf numFmtId="0" fontId="12" fillId="2" borderId="27" xfId="2" applyNumberFormat="1" applyFont="1" applyFill="1" applyBorder="1" applyAlignment="1">
      <alignment vertical="top" wrapText="1"/>
    </xf>
    <xf numFmtId="0" fontId="14" fillId="2" borderId="27" xfId="2" quotePrefix="1" applyNumberFormat="1" applyFont="1" applyFill="1" applyBorder="1" applyAlignment="1">
      <alignment horizontal="left"/>
    </xf>
    <xf numFmtId="0" fontId="12" fillId="3" borderId="27" xfId="3" applyFont="1" applyFill="1" applyBorder="1" applyAlignment="1">
      <alignment horizontal="center"/>
    </xf>
    <xf numFmtId="0" fontId="12" fillId="2" borderId="27" xfId="2" quotePrefix="1" applyNumberFormat="1" applyFont="1" applyFill="1" applyBorder="1" applyAlignment="1">
      <alignment wrapText="1"/>
    </xf>
    <xf numFmtId="0" fontId="12" fillId="2" borderId="27" xfId="2" quotePrefix="1" applyNumberFormat="1" applyFont="1" applyFill="1" applyBorder="1" applyAlignment="1"/>
    <xf numFmtId="0" fontId="12" fillId="2" borderId="28" xfId="2" quotePrefix="1" applyNumberFormat="1" applyFont="1" applyFill="1" applyBorder="1" applyAlignment="1"/>
    <xf numFmtId="49" fontId="11" fillId="0" borderId="26" xfId="0" applyNumberFormat="1" applyFont="1" applyBorder="1" applyAlignment="1">
      <alignment horizontal="center" vertical="center"/>
    </xf>
    <xf numFmtId="0" fontId="11" fillId="0" borderId="27" xfId="0" applyFont="1" applyBorder="1" applyAlignment="1">
      <alignment horizontal="center" vertical="center"/>
    </xf>
    <xf numFmtId="43" fontId="11" fillId="0" borderId="27" xfId="0" applyNumberFormat="1" applyFont="1" applyBorder="1" applyAlignment="1">
      <alignment horizontal="center" vertical="center"/>
    </xf>
    <xf numFmtId="165" fontId="11" fillId="0" borderId="27" xfId="0" applyNumberFormat="1" applyFont="1" applyBorder="1" applyAlignment="1">
      <alignment horizontal="center" vertical="center"/>
    </xf>
    <xf numFmtId="0" fontId="11" fillId="0" borderId="28" xfId="0" applyFont="1" applyBorder="1" applyAlignment="1">
      <alignment horizontal="center" vertical="center"/>
    </xf>
    <xf numFmtId="0" fontId="13" fillId="2" borderId="27" xfId="2" applyNumberFormat="1" applyFont="1" applyFill="1" applyBorder="1" applyAlignment="1">
      <alignment horizontal="justify"/>
    </xf>
    <xf numFmtId="43" fontId="11" fillId="0" borderId="27" xfId="1" applyNumberFormat="1" applyFont="1" applyBorder="1"/>
    <xf numFmtId="165" fontId="11" fillId="0" borderId="27" xfId="1" applyNumberFormat="1" applyFont="1" applyBorder="1"/>
    <xf numFmtId="43" fontId="12" fillId="3" borderId="27" xfId="2" applyNumberFormat="1" applyFont="1" applyFill="1" applyBorder="1" applyAlignment="1">
      <alignment horizontal="center"/>
    </xf>
    <xf numFmtId="43" fontId="13" fillId="2" borderId="27" xfId="2" applyFont="1" applyFill="1" applyBorder="1" applyAlignment="1">
      <alignment horizontal="justify" vertical="top"/>
    </xf>
    <xf numFmtId="43" fontId="12" fillId="3" borderId="27" xfId="1" applyNumberFormat="1" applyFont="1" applyFill="1" applyBorder="1" applyAlignment="1">
      <alignment horizontal="right"/>
    </xf>
    <xf numFmtId="43" fontId="12" fillId="2" borderId="27" xfId="2" applyFont="1" applyFill="1" applyBorder="1" applyAlignment="1">
      <alignment horizontal="justify" vertical="top"/>
    </xf>
    <xf numFmtId="0" fontId="12" fillId="2" borderId="27" xfId="2" applyNumberFormat="1" applyFont="1" applyFill="1" applyBorder="1" applyAlignment="1">
      <alignment horizontal="justify" vertical="top" wrapText="1"/>
    </xf>
    <xf numFmtId="0" fontId="13" fillId="2" borderId="27" xfId="2" applyNumberFormat="1" applyFont="1" applyFill="1" applyBorder="1" applyAlignment="1">
      <alignment horizontal="justify" vertical="top"/>
    </xf>
    <xf numFmtId="0" fontId="12" fillId="2" borderId="27" xfId="2" quotePrefix="1" applyNumberFormat="1" applyFont="1" applyFill="1" applyBorder="1" applyAlignment="1">
      <alignment vertical="justify"/>
    </xf>
    <xf numFmtId="0" fontId="15" fillId="2" borderId="27" xfId="2" quotePrefix="1" applyNumberFormat="1" applyFont="1" applyFill="1" applyBorder="1" applyAlignment="1">
      <alignment horizontal="left" vertical="top"/>
    </xf>
    <xf numFmtId="49" fontId="12" fillId="2" borderId="26" xfId="2" applyNumberFormat="1" applyFont="1" applyFill="1" applyBorder="1" applyAlignment="1">
      <alignment horizontal="center"/>
    </xf>
    <xf numFmtId="0" fontId="12" fillId="2" borderId="27" xfId="2" applyNumberFormat="1" applyFont="1" applyFill="1" applyBorder="1" applyAlignment="1">
      <alignment horizontal="left" wrapText="1"/>
    </xf>
    <xf numFmtId="43" fontId="11" fillId="0" borderId="27" xfId="1" applyFont="1" applyBorder="1" applyAlignment="1"/>
    <xf numFmtId="43" fontId="11" fillId="0" borderId="28" xfId="1" applyFont="1" applyBorder="1" applyAlignment="1"/>
    <xf numFmtId="0" fontId="12" fillId="2" borderId="27" xfId="2" applyNumberFormat="1" applyFont="1" applyFill="1" applyBorder="1" applyAlignment="1">
      <alignment horizontal="left" vertical="top" wrapText="1"/>
    </xf>
    <xf numFmtId="0" fontId="13" fillId="2" borderId="27" xfId="2" applyNumberFormat="1" applyFont="1" applyFill="1" applyBorder="1" applyAlignment="1">
      <alignment horizontal="left" vertical="top" wrapText="1"/>
    </xf>
    <xf numFmtId="0" fontId="12" fillId="2" borderId="27" xfId="2" quotePrefix="1" applyNumberFormat="1" applyFont="1" applyFill="1" applyBorder="1" applyAlignment="1">
      <alignment vertical="top" wrapText="1"/>
    </xf>
    <xf numFmtId="0" fontId="12" fillId="2" borderId="27" xfId="2" quotePrefix="1" applyNumberFormat="1" applyFont="1" applyFill="1" applyBorder="1" applyAlignment="1">
      <alignment vertical="top"/>
    </xf>
    <xf numFmtId="0" fontId="12" fillId="2" borderId="27" xfId="2" applyNumberFormat="1" applyFont="1" applyFill="1" applyBorder="1" applyAlignment="1">
      <alignment vertical="top"/>
    </xf>
    <xf numFmtId="0" fontId="12" fillId="2" borderId="27" xfId="2" applyNumberFormat="1" applyFont="1" applyFill="1" applyBorder="1" applyAlignment="1">
      <alignment horizontal="justify" vertical="top"/>
    </xf>
    <xf numFmtId="0" fontId="12" fillId="2" borderId="27" xfId="2" quotePrefix="1" applyNumberFormat="1" applyFont="1" applyFill="1" applyBorder="1" applyAlignment="1">
      <alignment horizontal="justify" vertical="top"/>
    </xf>
    <xf numFmtId="0" fontId="13" fillId="2" borderId="27" xfId="2" applyNumberFormat="1" applyFont="1" applyFill="1" applyBorder="1" applyAlignment="1">
      <alignment horizontal="center" vertical="top"/>
    </xf>
    <xf numFmtId="0" fontId="12" fillId="2" borderId="28" xfId="2" quotePrefix="1" applyNumberFormat="1" applyFont="1" applyFill="1" applyBorder="1" applyAlignment="1">
      <alignment vertical="top"/>
    </xf>
    <xf numFmtId="49" fontId="14" fillId="5" borderId="26" xfId="2" applyNumberFormat="1" applyFont="1" applyFill="1" applyBorder="1" applyAlignment="1">
      <alignment horizontal="center" vertical="justify"/>
    </xf>
    <xf numFmtId="0" fontId="13" fillId="5" borderId="27" xfId="2" applyNumberFormat="1" applyFont="1" applyFill="1" applyBorder="1" applyAlignment="1">
      <alignment horizontal="justify" vertical="top"/>
    </xf>
    <xf numFmtId="43" fontId="12" fillId="5" borderId="27" xfId="2" applyNumberFormat="1" applyFont="1" applyFill="1" applyBorder="1" applyAlignment="1">
      <alignment horizontal="center"/>
    </xf>
    <xf numFmtId="43" fontId="12" fillId="5" borderId="27" xfId="1" applyNumberFormat="1" applyFont="1" applyFill="1" applyBorder="1" applyAlignment="1">
      <alignment horizontal="center"/>
    </xf>
    <xf numFmtId="165" fontId="12" fillId="5" borderId="27" xfId="1" applyNumberFormat="1" applyFont="1" applyFill="1" applyBorder="1" applyAlignment="1">
      <alignment horizontal="center"/>
    </xf>
    <xf numFmtId="43" fontId="11" fillId="5" borderId="27" xfId="1" applyFont="1" applyFill="1" applyBorder="1" applyAlignment="1">
      <alignment horizontal="center" vertical="center" wrapText="1"/>
    </xf>
    <xf numFmtId="43" fontId="11" fillId="5" borderId="28" xfId="1" applyFont="1" applyFill="1" applyBorder="1" applyAlignment="1">
      <alignment horizontal="center" vertical="center" wrapText="1"/>
    </xf>
    <xf numFmtId="165" fontId="12" fillId="2" borderId="27" xfId="1" applyNumberFormat="1" applyFont="1" applyFill="1" applyBorder="1" applyAlignment="1">
      <alignment horizontal="center" vertical="top"/>
    </xf>
    <xf numFmtId="43" fontId="11" fillId="0" borderId="27" xfId="1" applyFont="1" applyBorder="1" applyAlignment="1">
      <alignment horizontal="center" vertical="top" wrapText="1"/>
    </xf>
    <xf numFmtId="43" fontId="11" fillId="0" borderId="28" xfId="1" applyFont="1" applyBorder="1" applyAlignment="1">
      <alignment horizontal="center" vertical="top" wrapText="1"/>
    </xf>
    <xf numFmtId="49" fontId="12" fillId="5" borderId="26" xfId="2" applyNumberFormat="1" applyFont="1" applyFill="1" applyBorder="1" applyAlignment="1">
      <alignment horizontal="center"/>
    </xf>
    <xf numFmtId="0" fontId="13" fillId="5" borderId="27" xfId="2" applyNumberFormat="1" applyFont="1" applyFill="1" applyBorder="1" applyAlignment="1">
      <alignment horizontal="left" vertical="top"/>
    </xf>
    <xf numFmtId="43" fontId="12" fillId="5" borderId="27" xfId="2" applyFont="1" applyFill="1" applyBorder="1" applyAlignment="1">
      <alignment horizontal="center"/>
    </xf>
    <xf numFmtId="49" fontId="17" fillId="6" borderId="26" xfId="0" applyNumberFormat="1" applyFont="1" applyFill="1" applyBorder="1"/>
    <xf numFmtId="0" fontId="18" fillId="6" borderId="27" xfId="0" applyFont="1" applyFill="1" applyBorder="1" applyAlignment="1">
      <alignment wrapText="1"/>
    </xf>
    <xf numFmtId="0" fontId="17" fillId="6" borderId="27" xfId="0" applyFont="1" applyFill="1" applyBorder="1" applyAlignment="1">
      <alignment horizontal="center"/>
    </xf>
    <xf numFmtId="43" fontId="17" fillId="6" borderId="27" xfId="1" applyNumberFormat="1" applyFont="1" applyFill="1" applyBorder="1"/>
    <xf numFmtId="165" fontId="17" fillId="6" borderId="27" xfId="1" applyNumberFormat="1" applyFont="1" applyFill="1" applyBorder="1"/>
    <xf numFmtId="43" fontId="17" fillId="6" borderId="27" xfId="1" applyFont="1" applyFill="1" applyBorder="1"/>
    <xf numFmtId="43" fontId="17" fillId="6" borderId="28" xfId="1" applyFont="1" applyFill="1" applyBorder="1"/>
    <xf numFmtId="49" fontId="11" fillId="0" borderId="26" xfId="0" applyNumberFormat="1" applyFont="1" applyBorder="1"/>
    <xf numFmtId="0" fontId="11" fillId="0" borderId="27" xfId="0" applyFont="1" applyBorder="1" applyAlignment="1">
      <alignment wrapText="1"/>
    </xf>
    <xf numFmtId="0" fontId="11" fillId="0" borderId="27" xfId="0" applyFont="1" applyBorder="1" applyAlignment="1">
      <alignment horizontal="center"/>
    </xf>
    <xf numFmtId="49" fontId="17" fillId="0" borderId="26" xfId="0" applyNumberFormat="1" applyFont="1" applyBorder="1"/>
    <xf numFmtId="0" fontId="18" fillId="0" borderId="27" xfId="0" applyFont="1" applyBorder="1" applyAlignment="1">
      <alignment wrapText="1"/>
    </xf>
    <xf numFmtId="0" fontId="17" fillId="0" borderId="27" xfId="0" applyFont="1" applyBorder="1" applyAlignment="1">
      <alignment horizontal="center"/>
    </xf>
    <xf numFmtId="43" fontId="17" fillId="0" borderId="27" xfId="1" applyNumberFormat="1" applyFont="1" applyBorder="1"/>
    <xf numFmtId="165" fontId="17" fillId="0" borderId="27" xfId="1" applyNumberFormat="1" applyFont="1" applyBorder="1"/>
    <xf numFmtId="43" fontId="17" fillId="0" borderId="27" xfId="1" applyFont="1" applyBorder="1"/>
    <xf numFmtId="43" fontId="17" fillId="0" borderId="28" xfId="1" applyFont="1" applyBorder="1"/>
    <xf numFmtId="0" fontId="13" fillId="5" borderId="27" xfId="2" applyNumberFormat="1" applyFont="1" applyFill="1" applyBorder="1" applyAlignment="1">
      <alignment horizontal="center" vertical="top"/>
    </xf>
    <xf numFmtId="43" fontId="14" fillId="5" borderId="28" xfId="1" applyNumberFormat="1" applyFont="1" applyFill="1" applyBorder="1"/>
    <xf numFmtId="0" fontId="12" fillId="2" borderId="28" xfId="2" applyNumberFormat="1" applyFont="1" applyFill="1" applyBorder="1" applyAlignment="1">
      <alignment vertical="top" wrapText="1"/>
    </xf>
    <xf numFmtId="0" fontId="12" fillId="2" borderId="28" xfId="2" applyNumberFormat="1" applyFont="1" applyFill="1" applyBorder="1" applyAlignment="1">
      <alignment wrapText="1"/>
    </xf>
    <xf numFmtId="49" fontId="12" fillId="2" borderId="27" xfId="2" applyNumberFormat="1" applyFont="1" applyFill="1" applyBorder="1" applyAlignment="1">
      <alignment horizontal="center"/>
    </xf>
    <xf numFmtId="0" fontId="11" fillId="6" borderId="27" xfId="0" applyFont="1" applyFill="1" applyBorder="1" applyAlignment="1">
      <alignment horizontal="center"/>
    </xf>
    <xf numFmtId="43" fontId="11" fillId="6" borderId="27" xfId="1" applyNumberFormat="1" applyFont="1" applyFill="1" applyBorder="1"/>
    <xf numFmtId="165" fontId="11" fillId="6" borderId="27" xfId="1" applyNumberFormat="1" applyFont="1" applyFill="1" applyBorder="1"/>
    <xf numFmtId="43" fontId="11" fillId="6" borderId="27" xfId="1" applyFont="1" applyFill="1" applyBorder="1"/>
    <xf numFmtId="43" fontId="11" fillId="6" borderId="28" xfId="1" applyFont="1" applyFill="1" applyBorder="1"/>
    <xf numFmtId="0" fontId="10" fillId="0" borderId="27" xfId="0" applyFont="1" applyBorder="1" applyAlignment="1">
      <alignment wrapText="1"/>
    </xf>
    <xf numFmtId="49" fontId="17" fillId="3" borderId="26" xfId="0" applyNumberFormat="1" applyFont="1" applyFill="1" applyBorder="1"/>
    <xf numFmtId="0" fontId="18" fillId="3" borderId="27" xfId="0" applyFont="1" applyFill="1" applyBorder="1" applyAlignment="1">
      <alignment wrapText="1"/>
    </xf>
    <xf numFmtId="0" fontId="17" fillId="3" borderId="27" xfId="0" applyFont="1" applyFill="1" applyBorder="1" applyAlignment="1">
      <alignment horizontal="center"/>
    </xf>
    <xf numFmtId="43" fontId="17" fillId="3" borderId="27" xfId="1" applyNumberFormat="1" applyFont="1" applyFill="1" applyBorder="1"/>
    <xf numFmtId="165" fontId="17" fillId="3" borderId="27" xfId="1" applyNumberFormat="1" applyFont="1" applyFill="1" applyBorder="1"/>
    <xf numFmtId="49" fontId="11" fillId="3" borderId="26" xfId="0" applyNumberFormat="1" applyFont="1" applyFill="1" applyBorder="1"/>
    <xf numFmtId="0" fontId="11" fillId="3" borderId="27" xfId="0" applyFont="1" applyFill="1" applyBorder="1" applyAlignment="1">
      <alignment horizontal="center"/>
    </xf>
    <xf numFmtId="43" fontId="11" fillId="3" borderId="27" xfId="1" applyNumberFormat="1" applyFont="1" applyFill="1" applyBorder="1"/>
    <xf numFmtId="165" fontId="11" fillId="3" borderId="27" xfId="1" applyNumberFormat="1" applyFont="1" applyFill="1" applyBorder="1"/>
    <xf numFmtId="43" fontId="11" fillId="3" borderId="27" xfId="1" applyFont="1" applyFill="1" applyBorder="1"/>
    <xf numFmtId="0" fontId="11" fillId="3" borderId="27" xfId="0" applyFont="1" applyFill="1" applyBorder="1" applyAlignment="1">
      <alignment wrapText="1"/>
    </xf>
    <xf numFmtId="49" fontId="17" fillId="0" borderId="26" xfId="0" applyNumberFormat="1" applyFont="1" applyBorder="1" applyAlignment="1">
      <alignment vertical="top"/>
    </xf>
    <xf numFmtId="49" fontId="11" fillId="0" borderId="26" xfId="0" applyNumberFormat="1" applyFont="1" applyBorder="1" applyAlignment="1">
      <alignment vertical="top"/>
    </xf>
    <xf numFmtId="0" fontId="12" fillId="3" borderId="27" xfId="3" applyFont="1" applyFill="1" applyBorder="1" applyAlignment="1">
      <alignment horizontal="left" wrapText="1"/>
    </xf>
    <xf numFmtId="43" fontId="12" fillId="3" borderId="27" xfId="1" applyFont="1" applyFill="1" applyBorder="1" applyAlignment="1">
      <alignment horizontal="center"/>
    </xf>
    <xf numFmtId="0" fontId="17" fillId="0" borderId="27" xfId="0" applyFont="1" applyBorder="1" applyAlignment="1">
      <alignment wrapText="1"/>
    </xf>
    <xf numFmtId="49" fontId="14" fillId="2" borderId="26" xfId="2" applyNumberFormat="1" applyFont="1" applyFill="1" applyBorder="1" applyAlignment="1">
      <alignment horizontal="center" vertical="justify"/>
    </xf>
    <xf numFmtId="0" fontId="12" fillId="2" borderId="27" xfId="2" applyNumberFormat="1" applyFont="1" applyFill="1" applyBorder="1" applyAlignment="1"/>
    <xf numFmtId="0" fontId="12" fillId="2" borderId="28" xfId="2" applyNumberFormat="1" applyFont="1" applyFill="1" applyBorder="1" applyAlignment="1"/>
    <xf numFmtId="0" fontId="18" fillId="0" borderId="27" xfId="0" applyFont="1" applyBorder="1"/>
    <xf numFmtId="0" fontId="18" fillId="6" borderId="27" xfId="0" applyFont="1" applyFill="1" applyBorder="1"/>
    <xf numFmtId="0" fontId="17" fillId="0" borderId="27" xfId="0" applyFont="1" applyBorder="1"/>
    <xf numFmtId="0" fontId="11" fillId="0" borderId="27" xfId="0" applyFont="1" applyBorder="1"/>
    <xf numFmtId="0" fontId="13" fillId="5" borderId="27" xfId="2" applyNumberFormat="1" applyFont="1" applyFill="1" applyBorder="1" applyAlignment="1">
      <alignment horizontal="center"/>
    </xf>
    <xf numFmtId="43" fontId="14" fillId="5" borderId="28" xfId="2" applyFont="1" applyFill="1" applyBorder="1"/>
    <xf numFmtId="43" fontId="17" fillId="0" borderId="27" xfId="1" applyFont="1" applyBorder="1" applyAlignment="1"/>
    <xf numFmtId="49" fontId="14" fillId="3" borderId="26" xfId="2" applyNumberFormat="1" applyFont="1" applyFill="1" applyBorder="1" applyAlignment="1">
      <alignment horizontal="center" vertical="justify"/>
    </xf>
    <xf numFmtId="0" fontId="13" fillId="3" borderId="27" xfId="2" quotePrefix="1" applyNumberFormat="1" applyFont="1" applyFill="1" applyBorder="1" applyAlignment="1">
      <alignment horizontal="center"/>
    </xf>
    <xf numFmtId="43" fontId="14" fillId="3" borderId="27" xfId="2" applyFont="1" applyFill="1" applyBorder="1" applyAlignment="1">
      <alignment horizontal="center"/>
    </xf>
    <xf numFmtId="165" fontId="12" fillId="3" borderId="27" xfId="1" applyNumberFormat="1" applyFont="1" applyFill="1" applyBorder="1" applyAlignment="1">
      <alignment horizontal="center"/>
    </xf>
    <xf numFmtId="0" fontId="13" fillId="3" borderId="27" xfId="2" applyNumberFormat="1" applyFont="1" applyFill="1" applyBorder="1" applyAlignment="1">
      <alignment horizontal="center"/>
    </xf>
    <xf numFmtId="49" fontId="14" fillId="10" borderId="26" xfId="2" applyNumberFormat="1" applyFont="1" applyFill="1" applyBorder="1" applyAlignment="1">
      <alignment horizontal="center"/>
    </xf>
    <xf numFmtId="0" fontId="13" fillId="10" borderId="27" xfId="2" applyNumberFormat="1" applyFont="1" applyFill="1" applyBorder="1" applyAlignment="1">
      <alignment horizontal="left" wrapText="1"/>
    </xf>
    <xf numFmtId="43" fontId="14" fillId="10" borderId="27" xfId="2" applyFont="1" applyFill="1" applyBorder="1" applyAlignment="1">
      <alignment horizontal="center"/>
    </xf>
    <xf numFmtId="43" fontId="14" fillId="10" borderId="27" xfId="1" applyNumberFormat="1" applyFont="1" applyFill="1" applyBorder="1" applyAlignment="1">
      <alignment horizontal="center"/>
    </xf>
    <xf numFmtId="165" fontId="12" fillId="10" borderId="27" xfId="1" applyNumberFormat="1" applyFont="1" applyFill="1" applyBorder="1" applyAlignment="1">
      <alignment horizontal="center"/>
    </xf>
    <xf numFmtId="43" fontId="11" fillId="10" borderId="27" xfId="1" applyFont="1" applyFill="1" applyBorder="1"/>
    <xf numFmtId="43" fontId="11" fillId="10" borderId="28" xfId="1" applyFont="1" applyFill="1" applyBorder="1"/>
    <xf numFmtId="49" fontId="3" fillId="3" borderId="26" xfId="0" applyNumberFormat="1" applyFont="1" applyFill="1" applyBorder="1" applyAlignment="1">
      <alignment horizontal="center" vertical="center"/>
    </xf>
    <xf numFmtId="0" fontId="27" fillId="3" borderId="27" xfId="0" applyFont="1" applyFill="1" applyBorder="1" applyAlignment="1">
      <alignment vertical="center" wrapText="1"/>
    </xf>
    <xf numFmtId="0" fontId="3" fillId="3" borderId="27" xfId="0" applyFont="1" applyFill="1" applyBorder="1" applyAlignment="1">
      <alignment horizontal="center" vertical="center"/>
    </xf>
    <xf numFmtId="43" fontId="3" fillId="3" borderId="27" xfId="0" applyNumberFormat="1" applyFont="1" applyFill="1" applyBorder="1" applyAlignment="1">
      <alignment horizontal="center" vertical="center"/>
    </xf>
    <xf numFmtId="43" fontId="11" fillId="3" borderId="28" xfId="1" applyFont="1" applyFill="1" applyBorder="1"/>
    <xf numFmtId="49" fontId="3" fillId="6" borderId="26" xfId="0" applyNumberFormat="1" applyFont="1" applyFill="1" applyBorder="1" applyAlignment="1">
      <alignment horizontal="center" vertical="center"/>
    </xf>
    <xf numFmtId="0" fontId="27" fillId="6" borderId="27" xfId="0" applyFont="1" applyFill="1" applyBorder="1" applyAlignment="1">
      <alignment vertical="center" wrapText="1"/>
    </xf>
    <xf numFmtId="0" fontId="3" fillId="6" borderId="27" xfId="0" applyFont="1" applyFill="1" applyBorder="1" applyAlignment="1">
      <alignment horizontal="center" vertical="center"/>
    </xf>
    <xf numFmtId="43" fontId="3" fillId="6" borderId="27" xfId="0" applyNumberFormat="1" applyFont="1" applyFill="1" applyBorder="1" applyAlignment="1">
      <alignment horizontal="center" vertical="center"/>
    </xf>
    <xf numFmtId="0" fontId="3" fillId="3" borderId="27" xfId="0" applyFont="1" applyFill="1" applyBorder="1" applyAlignment="1">
      <alignment vertical="center" wrapText="1"/>
    </xf>
    <xf numFmtId="43" fontId="12" fillId="10" borderId="27" xfId="2" applyFont="1" applyFill="1" applyBorder="1" applyAlignment="1">
      <alignment horizontal="center"/>
    </xf>
    <xf numFmtId="43" fontId="12" fillId="10" borderId="27" xfId="1" applyNumberFormat="1" applyFont="1" applyFill="1" applyBorder="1" applyAlignment="1">
      <alignment horizontal="center"/>
    </xf>
    <xf numFmtId="49" fontId="14" fillId="2" borderId="26" xfId="2" applyNumberFormat="1" applyFont="1" applyFill="1" applyBorder="1" applyAlignment="1">
      <alignment horizontal="center"/>
    </xf>
    <xf numFmtId="165" fontId="12" fillId="6" borderId="27" xfId="1" applyNumberFormat="1" applyFont="1" applyFill="1" applyBorder="1" applyAlignment="1">
      <alignment horizontal="center"/>
    </xf>
    <xf numFmtId="0" fontId="30" fillId="3" borderId="27" xfId="0" applyFont="1" applyFill="1" applyBorder="1" applyAlignment="1">
      <alignment vertical="center" wrapText="1"/>
    </xf>
    <xf numFmtId="49" fontId="14" fillId="5" borderId="26" xfId="2" applyNumberFormat="1" applyFont="1" applyFill="1" applyBorder="1" applyAlignment="1">
      <alignment horizontal="center"/>
    </xf>
    <xf numFmtId="0" fontId="13" fillId="5" borderId="27" xfId="2" applyNumberFormat="1" applyFont="1" applyFill="1" applyBorder="1" applyAlignment="1">
      <alignment horizontal="left" wrapText="1"/>
    </xf>
    <xf numFmtId="43" fontId="11" fillId="5" borderId="27" xfId="1" applyFont="1" applyFill="1" applyBorder="1"/>
    <xf numFmtId="43" fontId="11" fillId="5" borderId="28" xfId="1" applyFont="1" applyFill="1" applyBorder="1"/>
    <xf numFmtId="49" fontId="14" fillId="3" borderId="26" xfId="2" applyNumberFormat="1" applyFont="1" applyFill="1" applyBorder="1" applyAlignment="1">
      <alignment horizontal="center"/>
    </xf>
    <xf numFmtId="0" fontId="12" fillId="3" borderId="27" xfId="2" applyNumberFormat="1" applyFont="1" applyFill="1" applyBorder="1" applyAlignment="1">
      <alignment horizontal="left" wrapText="1"/>
    </xf>
    <xf numFmtId="43" fontId="12" fillId="3" borderId="27" xfId="2" applyFont="1" applyFill="1" applyBorder="1" applyAlignment="1">
      <alignment horizontal="center"/>
    </xf>
    <xf numFmtId="49" fontId="12" fillId="3" borderId="26" xfId="2" applyNumberFormat="1" applyFont="1" applyFill="1" applyBorder="1" applyAlignment="1">
      <alignment horizontal="center" vertical="top"/>
    </xf>
    <xf numFmtId="49" fontId="14" fillId="6" borderId="26" xfId="2" applyNumberFormat="1" applyFont="1" applyFill="1" applyBorder="1" applyAlignment="1">
      <alignment horizontal="center" vertical="justify"/>
    </xf>
    <xf numFmtId="0" fontId="13" fillId="6" borderId="27" xfId="2" applyNumberFormat="1" applyFont="1" applyFill="1" applyBorder="1" applyAlignment="1">
      <alignment horizontal="left" vertical="top"/>
    </xf>
    <xf numFmtId="43" fontId="12" fillId="6" borderId="27" xfId="2" applyFont="1" applyFill="1" applyBorder="1" applyAlignment="1">
      <alignment horizontal="center"/>
    </xf>
    <xf numFmtId="43" fontId="12" fillId="6" borderId="27" xfId="1" applyNumberFormat="1" applyFont="1" applyFill="1" applyBorder="1" applyAlignment="1">
      <alignment horizontal="center"/>
    </xf>
    <xf numFmtId="49" fontId="14" fillId="8" borderId="26" xfId="2" applyNumberFormat="1" applyFont="1" applyFill="1" applyBorder="1" applyAlignment="1">
      <alignment horizontal="center" vertical="justify"/>
    </xf>
    <xf numFmtId="0" fontId="13" fillId="8" borderId="27" xfId="2" applyNumberFormat="1" applyFont="1" applyFill="1" applyBorder="1" applyAlignment="1">
      <alignment horizontal="left" vertical="top"/>
    </xf>
    <xf numFmtId="43" fontId="12" fillId="8" borderId="27" xfId="2" applyFont="1" applyFill="1" applyBorder="1" applyAlignment="1">
      <alignment horizontal="center"/>
    </xf>
    <xf numFmtId="43" fontId="12" fillId="8" borderId="27" xfId="1" applyNumberFormat="1" applyFont="1" applyFill="1" applyBorder="1" applyAlignment="1">
      <alignment horizontal="center"/>
    </xf>
    <xf numFmtId="165" fontId="12" fillId="8" borderId="27" xfId="1" applyNumberFormat="1" applyFont="1" applyFill="1" applyBorder="1" applyAlignment="1">
      <alignment horizontal="center"/>
    </xf>
    <xf numFmtId="43" fontId="11" fillId="8" borderId="27" xfId="1" applyFont="1" applyFill="1" applyBorder="1"/>
    <xf numFmtId="43" fontId="11" fillId="8" borderId="28" xfId="1" applyFont="1" applyFill="1" applyBorder="1"/>
    <xf numFmtId="0" fontId="12" fillId="0" borderId="27" xfId="3" applyFont="1" applyBorder="1" applyAlignment="1">
      <alignment horizontal="left" wrapText="1"/>
    </xf>
    <xf numFmtId="0" fontId="12" fillId="0" borderId="27" xfId="3" applyFont="1" applyFill="1" applyBorder="1" applyAlignment="1">
      <alignment horizontal="center"/>
    </xf>
    <xf numFmtId="0" fontId="12" fillId="7" borderId="27" xfId="1" applyNumberFormat="1" applyFont="1" applyFill="1" applyBorder="1" applyAlignment="1">
      <alignment vertical="center" wrapText="1"/>
    </xf>
    <xf numFmtId="0" fontId="12" fillId="7" borderId="27" xfId="1" applyNumberFormat="1" applyFont="1" applyFill="1" applyBorder="1" applyAlignment="1">
      <alignment vertical="center"/>
    </xf>
    <xf numFmtId="0" fontId="12" fillId="7" borderId="28" xfId="1" applyNumberFormat="1" applyFont="1" applyFill="1" applyBorder="1" applyAlignment="1">
      <alignment vertical="center"/>
    </xf>
    <xf numFmtId="0" fontId="12" fillId="0" borderId="27" xfId="0" applyFont="1" applyBorder="1" applyAlignment="1">
      <alignment vertical="center" wrapText="1"/>
    </xf>
    <xf numFmtId="0" fontId="12" fillId="0" borderId="28" xfId="0" applyFont="1" applyBorder="1" applyAlignment="1">
      <alignment vertical="center" wrapText="1"/>
    </xf>
    <xf numFmtId="0" fontId="12" fillId="2" borderId="27" xfId="3" applyNumberFormat="1" applyFont="1" applyFill="1" applyBorder="1" applyAlignment="1">
      <alignment wrapText="1"/>
    </xf>
    <xf numFmtId="0" fontId="12" fillId="2" borderId="28" xfId="3" applyNumberFormat="1" applyFont="1" applyFill="1" applyBorder="1" applyAlignment="1">
      <alignment wrapText="1"/>
    </xf>
    <xf numFmtId="0" fontId="13" fillId="5" borderId="27" xfId="2" applyNumberFormat="1" applyFont="1" applyFill="1" applyBorder="1" applyAlignment="1">
      <alignment horizontal="left"/>
    </xf>
    <xf numFmtId="0" fontId="14" fillId="6" borderId="27" xfId="3" applyFont="1" applyFill="1" applyBorder="1" applyAlignment="1">
      <alignment horizontal="center"/>
    </xf>
    <xf numFmtId="43" fontId="14" fillId="6" borderId="27" xfId="1" applyNumberFormat="1" applyFont="1" applyFill="1" applyBorder="1" applyAlignment="1">
      <alignment horizontal="center"/>
    </xf>
    <xf numFmtId="165" fontId="14" fillId="6" borderId="27" xfId="1" applyNumberFormat="1" applyFont="1" applyFill="1" applyBorder="1" applyAlignment="1">
      <alignment horizontal="center"/>
    </xf>
    <xf numFmtId="0" fontId="12" fillId="3" borderId="27" xfId="2" applyNumberFormat="1" applyFont="1" applyFill="1" applyBorder="1" applyAlignment="1">
      <alignment horizontal="justify"/>
    </xf>
    <xf numFmtId="0" fontId="12" fillId="2" borderId="28" xfId="2" applyNumberFormat="1" applyFont="1" applyFill="1" applyBorder="1" applyAlignment="1">
      <alignment vertical="top"/>
    </xf>
    <xf numFmtId="0" fontId="12" fillId="2" borderId="27" xfId="3" applyFont="1" applyFill="1" applyBorder="1" applyAlignment="1">
      <alignment horizontal="left" wrapText="1"/>
    </xf>
    <xf numFmtId="0" fontId="12" fillId="0" borderId="27" xfId="3" applyFont="1" applyBorder="1" applyAlignment="1">
      <alignment horizontal="center"/>
    </xf>
    <xf numFmtId="0" fontId="13" fillId="6" borderId="27" xfId="2" applyNumberFormat="1" applyFont="1" applyFill="1" applyBorder="1" applyAlignment="1">
      <alignment horizontal="left"/>
    </xf>
    <xf numFmtId="0" fontId="12" fillId="6" borderId="27" xfId="2" applyNumberFormat="1" applyFont="1" applyFill="1" applyBorder="1" applyAlignment="1">
      <alignment horizontal="center"/>
    </xf>
    <xf numFmtId="43" fontId="12" fillId="6" borderId="28" xfId="2" applyFont="1" applyFill="1" applyBorder="1"/>
    <xf numFmtId="49" fontId="14" fillId="2" borderId="26" xfId="3" applyNumberFormat="1" applyFont="1" applyFill="1" applyBorder="1" applyAlignment="1">
      <alignment horizontal="center"/>
    </xf>
    <xf numFmtId="0" fontId="13" fillId="0" borderId="27" xfId="3" applyFont="1" applyFill="1" applyBorder="1" applyAlignment="1">
      <alignment horizontal="left" wrapText="1"/>
    </xf>
    <xf numFmtId="0" fontId="26" fillId="0" borderId="27" xfId="3" applyFont="1" applyFill="1" applyBorder="1" applyAlignment="1">
      <alignment horizontal="center"/>
    </xf>
    <xf numFmtId="43" fontId="26" fillId="3" borderId="27" xfId="1" applyNumberFormat="1" applyFont="1" applyFill="1" applyBorder="1" applyAlignment="1">
      <alignment horizontal="center"/>
    </xf>
    <xf numFmtId="165" fontId="14" fillId="2" borderId="27" xfId="1" applyNumberFormat="1" applyFont="1" applyFill="1" applyBorder="1" applyAlignment="1">
      <alignment horizontal="center"/>
    </xf>
    <xf numFmtId="49" fontId="14" fillId="6" borderId="26" xfId="1" applyNumberFormat="1" applyFont="1" applyFill="1" applyBorder="1" applyAlignment="1">
      <alignment horizontal="left" vertical="justify"/>
    </xf>
    <xf numFmtId="0" fontId="13" fillId="6" borderId="27" xfId="2" applyNumberFormat="1" applyFont="1" applyFill="1" applyBorder="1" applyAlignment="1">
      <alignment horizontal="justify"/>
    </xf>
    <xf numFmtId="43" fontId="14" fillId="6" borderId="27" xfId="2" applyFont="1" applyFill="1" applyBorder="1" applyAlignment="1">
      <alignment horizontal="center"/>
    </xf>
    <xf numFmtId="43" fontId="14" fillId="6" borderId="27" xfId="1" applyFont="1" applyFill="1" applyBorder="1" applyAlignment="1">
      <alignment horizontal="center"/>
    </xf>
    <xf numFmtId="49" fontId="14" fillId="10" borderId="26" xfId="1" applyNumberFormat="1" applyFont="1" applyFill="1" applyBorder="1" applyAlignment="1">
      <alignment horizontal="left" vertical="justify"/>
    </xf>
    <xf numFmtId="0" fontId="13" fillId="10" borderId="27" xfId="2" applyNumberFormat="1" applyFont="1" applyFill="1" applyBorder="1" applyAlignment="1">
      <alignment horizontal="justify"/>
    </xf>
    <xf numFmtId="43" fontId="12" fillId="10" borderId="27" xfId="1" applyFont="1" applyFill="1" applyBorder="1" applyAlignment="1">
      <alignment horizontal="center"/>
    </xf>
    <xf numFmtId="43" fontId="14" fillId="10" borderId="28" xfId="2" applyFont="1" applyFill="1" applyBorder="1"/>
    <xf numFmtId="49" fontId="12" fillId="3" borderId="26" xfId="1" applyNumberFormat="1" applyFont="1" applyFill="1" applyBorder="1" applyAlignment="1">
      <alignment horizontal="left" vertical="justify"/>
    </xf>
    <xf numFmtId="0" fontId="13" fillId="10" borderId="27" xfId="2" applyNumberFormat="1" applyFont="1" applyFill="1" applyBorder="1" applyAlignment="1">
      <alignment horizontal="left"/>
    </xf>
    <xf numFmtId="0" fontId="13" fillId="10" borderId="27" xfId="3" applyFont="1" applyFill="1" applyBorder="1" applyAlignment="1">
      <alignment horizontal="left" wrapText="1"/>
    </xf>
    <xf numFmtId="0" fontId="14" fillId="10" borderId="27" xfId="3" applyFont="1" applyFill="1" applyBorder="1" applyAlignment="1">
      <alignment horizontal="center"/>
    </xf>
    <xf numFmtId="49" fontId="14" fillId="2" borderId="26" xfId="2" applyNumberFormat="1" applyFont="1" applyFill="1" applyBorder="1" applyAlignment="1">
      <alignment horizontal="left" vertical="justify"/>
    </xf>
    <xf numFmtId="43" fontId="12" fillId="2" borderId="27" xfId="1" applyNumberFormat="1" applyFont="1" applyFill="1" applyBorder="1" applyAlignment="1">
      <alignment horizontal="center"/>
    </xf>
    <xf numFmtId="49" fontId="12" fillId="2" borderId="26" xfId="2" applyNumberFormat="1" applyFont="1" applyFill="1" applyBorder="1" applyAlignment="1">
      <alignment horizontal="left" vertical="justify"/>
    </xf>
    <xf numFmtId="49" fontId="12" fillId="2" borderId="26" xfId="2" applyNumberFormat="1" applyFont="1" applyFill="1" applyBorder="1" applyAlignment="1">
      <alignment horizontal="left"/>
    </xf>
    <xf numFmtId="49" fontId="14" fillId="9" borderId="26" xfId="1" applyNumberFormat="1" applyFont="1" applyFill="1" applyBorder="1" applyAlignment="1">
      <alignment horizontal="left" vertical="justify"/>
    </xf>
    <xf numFmtId="0" fontId="13" fillId="9" borderId="27" xfId="2" applyNumberFormat="1" applyFont="1" applyFill="1" applyBorder="1" applyAlignment="1">
      <alignment horizontal="justify"/>
    </xf>
    <xf numFmtId="43" fontId="14" fillId="9" borderId="27" xfId="2" applyFont="1" applyFill="1" applyBorder="1" applyAlignment="1">
      <alignment horizontal="center"/>
    </xf>
    <xf numFmtId="43" fontId="14" fillId="9" borderId="27" xfId="1" applyFont="1" applyFill="1" applyBorder="1" applyAlignment="1">
      <alignment horizontal="center"/>
    </xf>
    <xf numFmtId="165" fontId="14" fillId="9" borderId="27" xfId="1" applyNumberFormat="1" applyFont="1" applyFill="1" applyBorder="1" applyAlignment="1">
      <alignment horizontal="center"/>
    </xf>
    <xf numFmtId="43" fontId="11" fillId="9" borderId="27" xfId="1" applyFont="1" applyFill="1" applyBorder="1"/>
    <xf numFmtId="43" fontId="11" fillId="9" borderId="28" xfId="1" applyFont="1" applyFill="1" applyBorder="1"/>
    <xf numFmtId="49" fontId="29" fillId="3" borderId="26" xfId="0" applyNumberFormat="1" applyFont="1" applyFill="1" applyBorder="1" applyAlignment="1">
      <alignment horizontal="center" vertical="top"/>
    </xf>
    <xf numFmtId="0" fontId="27" fillId="3" borderId="27" xfId="0" applyFont="1" applyFill="1" applyBorder="1" applyAlignment="1">
      <alignment vertical="justify" wrapText="1"/>
    </xf>
    <xf numFmtId="49" fontId="3" fillId="3" borderId="26" xfId="0" applyNumberFormat="1" applyFont="1" applyFill="1" applyBorder="1" applyAlignment="1">
      <alignment horizontal="center" vertical="top"/>
    </xf>
    <xf numFmtId="0" fontId="3" fillId="3" borderId="27" xfId="0" applyFont="1" applyFill="1" applyBorder="1" applyAlignment="1">
      <alignment wrapText="1"/>
    </xf>
    <xf numFmtId="0" fontId="3" fillId="3" borderId="27" xfId="0" applyFont="1" applyFill="1" applyBorder="1" applyAlignment="1">
      <alignment horizontal="center"/>
    </xf>
    <xf numFmtId="43" fontId="3" fillId="3" borderId="27" xfId="0" applyNumberFormat="1" applyFont="1" applyFill="1" applyBorder="1" applyAlignment="1">
      <alignment horizontal="center"/>
    </xf>
    <xf numFmtId="43" fontId="12" fillId="3" borderId="27" xfId="1" applyNumberFormat="1" applyFont="1" applyFill="1" applyBorder="1" applyAlignment="1"/>
    <xf numFmtId="43" fontId="17" fillId="3" borderId="28" xfId="1" applyFont="1" applyFill="1" applyBorder="1" applyAlignment="1"/>
    <xf numFmtId="0" fontId="3" fillId="3" borderId="27" xfId="0" applyFont="1" applyFill="1" applyBorder="1" applyAlignment="1">
      <alignment vertical="top" wrapText="1"/>
    </xf>
    <xf numFmtId="0" fontId="3" fillId="3" borderId="27" xfId="0" applyFont="1" applyFill="1" applyBorder="1" applyAlignment="1">
      <alignment vertical="justify" wrapText="1"/>
    </xf>
    <xf numFmtId="0" fontId="29" fillId="3" borderId="27" xfId="0" applyFont="1" applyFill="1" applyBorder="1" applyAlignment="1">
      <alignment horizontal="center" vertical="center"/>
    </xf>
    <xf numFmtId="43" fontId="29" fillId="3" borderId="27" xfId="0" applyNumberFormat="1" applyFont="1" applyFill="1" applyBorder="1" applyAlignment="1">
      <alignment horizontal="center" vertical="center"/>
    </xf>
    <xf numFmtId="43" fontId="17" fillId="3" borderId="28" xfId="1" applyFont="1" applyFill="1" applyBorder="1"/>
    <xf numFmtId="165" fontId="12" fillId="2" borderId="26" xfId="1" applyNumberFormat="1" applyFont="1" applyFill="1" applyBorder="1" applyAlignment="1">
      <alignment horizontal="left" vertical="justify"/>
    </xf>
    <xf numFmtId="165" fontId="14" fillId="5" borderId="26" xfId="1" applyNumberFormat="1" applyFont="1" applyFill="1" applyBorder="1" applyAlignment="1">
      <alignment horizontal="left" vertical="justify"/>
    </xf>
    <xf numFmtId="0" fontId="12" fillId="5" borderId="27" xfId="3" applyFont="1" applyFill="1" applyBorder="1" applyAlignment="1">
      <alignment horizontal="center"/>
    </xf>
    <xf numFmtId="43" fontId="12" fillId="5" borderId="27" xfId="1" applyFont="1" applyFill="1" applyBorder="1" applyAlignment="1">
      <alignment horizontal="center"/>
    </xf>
    <xf numFmtId="165" fontId="14" fillId="2" borderId="26" xfId="1" applyNumberFormat="1" applyFont="1" applyFill="1" applyBorder="1" applyAlignment="1">
      <alignment horizontal="left" vertical="justify"/>
    </xf>
    <xf numFmtId="0" fontId="14" fillId="0" borderId="27" xfId="3" applyFont="1" applyBorder="1" applyAlignment="1">
      <alignment horizontal="left" wrapText="1"/>
    </xf>
    <xf numFmtId="0" fontId="14" fillId="0" borderId="27" xfId="3" applyFont="1" applyBorder="1" applyAlignment="1">
      <alignment horizontal="center"/>
    </xf>
    <xf numFmtId="43" fontId="14" fillId="3" borderId="27" xfId="1" applyFont="1" applyFill="1" applyBorder="1" applyAlignment="1">
      <alignment horizontal="center"/>
    </xf>
    <xf numFmtId="165" fontId="14" fillId="11" borderId="26" xfId="1" applyNumberFormat="1" applyFont="1" applyFill="1" applyBorder="1" applyAlignment="1">
      <alignment horizontal="left" vertical="justify"/>
    </xf>
    <xf numFmtId="0" fontId="14" fillId="11" borderId="27" xfId="3" applyFont="1" applyFill="1" applyBorder="1" applyAlignment="1">
      <alignment horizontal="left" wrapText="1"/>
    </xf>
    <xf numFmtId="0" fontId="14" fillId="11" borderId="27" xfId="3" applyFont="1" applyFill="1" applyBorder="1" applyAlignment="1">
      <alignment horizontal="center"/>
    </xf>
    <xf numFmtId="43" fontId="14" fillId="11" borderId="27" xfId="1" applyFont="1" applyFill="1" applyBorder="1" applyAlignment="1">
      <alignment horizontal="center"/>
    </xf>
    <xf numFmtId="165" fontId="14" fillId="11" borderId="27" xfId="1" applyNumberFormat="1" applyFont="1" applyFill="1" applyBorder="1" applyAlignment="1">
      <alignment horizontal="center"/>
    </xf>
    <xf numFmtId="43" fontId="17" fillId="11" borderId="27" xfId="1" applyFont="1" applyFill="1" applyBorder="1"/>
    <xf numFmtId="43" fontId="17" fillId="11" borderId="28" xfId="1" applyFont="1" applyFill="1" applyBorder="1"/>
    <xf numFmtId="165" fontId="14" fillId="2" borderId="26" xfId="1" applyNumberFormat="1" applyFont="1" applyFill="1" applyBorder="1" applyAlignment="1">
      <alignment horizontal="left"/>
    </xf>
    <xf numFmtId="0" fontId="13" fillId="0" borderId="27" xfId="3" applyNumberFormat="1" applyFont="1" applyBorder="1" applyAlignment="1">
      <alignment horizontal="left"/>
    </xf>
    <xf numFmtId="165" fontId="14" fillId="3" borderId="26" xfId="1" applyNumberFormat="1" applyFont="1" applyFill="1" applyBorder="1" applyAlignment="1">
      <alignment horizontal="left" vertical="justify"/>
    </xf>
    <xf numFmtId="0" fontId="14" fillId="3" borderId="27" xfId="3" applyFont="1" applyFill="1" applyBorder="1" applyAlignment="1">
      <alignment horizontal="left" wrapText="1"/>
    </xf>
    <xf numFmtId="0" fontId="14" fillId="3" borderId="27" xfId="3" applyFont="1" applyFill="1" applyBorder="1" applyAlignment="1">
      <alignment horizontal="center"/>
    </xf>
    <xf numFmtId="165" fontId="14" fillId="3" borderId="27" xfId="1" applyNumberFormat="1" applyFont="1" applyFill="1" applyBorder="1" applyAlignment="1">
      <alignment horizontal="center"/>
    </xf>
    <xf numFmtId="43" fontId="17" fillId="3" borderId="27" xfId="1" applyFont="1" applyFill="1" applyBorder="1"/>
    <xf numFmtId="165" fontId="12" fillId="5" borderId="26" xfId="1" applyNumberFormat="1" applyFont="1" applyFill="1" applyBorder="1" applyAlignment="1">
      <alignment horizontal="left" vertical="justify"/>
    </xf>
    <xf numFmtId="165" fontId="12" fillId="3" borderId="26" xfId="1" applyNumberFormat="1" applyFont="1" applyFill="1" applyBorder="1" applyAlignment="1">
      <alignment horizontal="left" vertical="justify"/>
    </xf>
    <xf numFmtId="0" fontId="13" fillId="3" borderId="27" xfId="2" applyNumberFormat="1" applyFont="1" applyFill="1" applyBorder="1" applyAlignment="1">
      <alignment horizontal="left"/>
    </xf>
    <xf numFmtId="0" fontId="14" fillId="2" borderId="30" xfId="2" quotePrefix="1" applyNumberFormat="1" applyFont="1" applyFill="1" applyBorder="1" applyAlignment="1">
      <alignment horizontal="left"/>
    </xf>
    <xf numFmtId="0" fontId="11" fillId="0" borderId="30" xfId="0" applyFont="1" applyBorder="1" applyAlignment="1">
      <alignment horizontal="center"/>
    </xf>
    <xf numFmtId="43" fontId="11" fillId="0" borderId="30" xfId="1" applyFont="1" applyBorder="1"/>
    <xf numFmtId="165" fontId="11" fillId="0" borderId="30" xfId="1" applyNumberFormat="1" applyFont="1" applyBorder="1"/>
    <xf numFmtId="43" fontId="17" fillId="0" borderId="31" xfId="1" applyFont="1" applyBorder="1"/>
    <xf numFmtId="0" fontId="14" fillId="2" borderId="24" xfId="2" quotePrefix="1" applyNumberFormat="1" applyFont="1" applyFill="1" applyBorder="1" applyAlignment="1">
      <alignment horizontal="left"/>
    </xf>
    <xf numFmtId="43" fontId="11" fillId="0" borderId="24" xfId="1" applyFont="1" applyBorder="1"/>
    <xf numFmtId="43" fontId="11" fillId="0" borderId="25" xfId="1" applyFont="1" applyBorder="1"/>
    <xf numFmtId="165" fontId="12" fillId="2" borderId="17" xfId="1" applyNumberFormat="1" applyFont="1" applyFill="1" applyBorder="1" applyAlignment="1">
      <alignment horizontal="left" vertical="justify"/>
    </xf>
    <xf numFmtId="0" fontId="11" fillId="0" borderId="18" xfId="0" applyFont="1" applyBorder="1" applyAlignment="1">
      <alignment horizontal="center"/>
    </xf>
    <xf numFmtId="165" fontId="11" fillId="0" borderId="18" xfId="1" applyNumberFormat="1" applyFont="1" applyBorder="1"/>
    <xf numFmtId="43" fontId="11" fillId="0" borderId="32" xfId="1" applyFont="1" applyBorder="1"/>
    <xf numFmtId="165" fontId="12" fillId="2" borderId="20" xfId="1" applyNumberFormat="1" applyFont="1" applyFill="1" applyBorder="1" applyAlignment="1">
      <alignment horizontal="left" vertical="justify"/>
    </xf>
    <xf numFmtId="0" fontId="11" fillId="0" borderId="21" xfId="0" applyFont="1" applyBorder="1" applyAlignment="1">
      <alignment horizontal="center"/>
    </xf>
    <xf numFmtId="165" fontId="11" fillId="0" borderId="21" xfId="1" applyNumberFormat="1" applyFont="1" applyBorder="1"/>
    <xf numFmtId="43" fontId="11" fillId="0" borderId="33" xfId="1" applyFont="1" applyBorder="1"/>
    <xf numFmtId="43" fontId="11" fillId="0" borderId="19" xfId="1" applyFont="1" applyBorder="1" applyAlignment="1">
      <alignment horizontal="center" vertical="center" wrapText="1"/>
    </xf>
    <xf numFmtId="43" fontId="17" fillId="0" borderId="22" xfId="1" applyFont="1" applyBorder="1" applyAlignment="1">
      <alignment horizontal="center" vertical="center" wrapText="1"/>
    </xf>
    <xf numFmtId="43" fontId="11" fillId="0" borderId="32" xfId="1" applyFont="1" applyBorder="1" applyAlignment="1">
      <alignment horizontal="center" vertical="center" wrapText="1"/>
    </xf>
    <xf numFmtId="43" fontId="11" fillId="0" borderId="33" xfId="1" applyFont="1" applyBorder="1" applyAlignment="1">
      <alignment horizontal="center" vertical="center" wrapText="1"/>
    </xf>
    <xf numFmtId="49" fontId="11" fillId="0" borderId="29" xfId="0" applyNumberFormat="1" applyFont="1" applyBorder="1"/>
    <xf numFmtId="0" fontId="11" fillId="0" borderId="30" xfId="0" applyFont="1" applyBorder="1" applyAlignment="1">
      <alignment wrapText="1"/>
    </xf>
    <xf numFmtId="43" fontId="11" fillId="0" borderId="30" xfId="1" applyNumberFormat="1" applyFont="1" applyBorder="1"/>
    <xf numFmtId="43" fontId="11" fillId="0" borderId="31" xfId="1" applyFont="1" applyBorder="1"/>
    <xf numFmtId="43" fontId="12" fillId="3" borderId="24" xfId="1" applyNumberFormat="1" applyFont="1" applyFill="1" applyBorder="1" applyAlignment="1">
      <alignment horizontal="center"/>
    </xf>
    <xf numFmtId="165" fontId="12" fillId="2" borderId="24" xfId="1" applyNumberFormat="1" applyFont="1" applyFill="1" applyBorder="1" applyAlignment="1">
      <alignment horizontal="center"/>
    </xf>
    <xf numFmtId="43" fontId="12" fillId="3" borderId="30" xfId="1" applyNumberFormat="1" applyFont="1" applyFill="1" applyBorder="1" applyAlignment="1">
      <alignment horizontal="center"/>
    </xf>
    <xf numFmtId="165" fontId="12" fillId="2" borderId="30" xfId="1" applyNumberFormat="1" applyFont="1" applyFill="1" applyBorder="1" applyAlignment="1">
      <alignment horizontal="center"/>
    </xf>
    <xf numFmtId="49" fontId="3" fillId="3" borderId="29" xfId="0" applyNumberFormat="1" applyFont="1" applyFill="1" applyBorder="1" applyAlignment="1">
      <alignment horizontal="center" vertical="center"/>
    </xf>
    <xf numFmtId="0" fontId="3" fillId="3" borderId="30" xfId="0" applyFont="1" applyFill="1" applyBorder="1" applyAlignment="1">
      <alignment vertical="center" wrapText="1"/>
    </xf>
    <xf numFmtId="0" fontId="3" fillId="3" borderId="30" xfId="0" applyFont="1" applyFill="1" applyBorder="1" applyAlignment="1">
      <alignment horizontal="center" vertical="center"/>
    </xf>
    <xf numFmtId="43" fontId="3" fillId="3" borderId="30" xfId="0" applyNumberFormat="1" applyFont="1" applyFill="1" applyBorder="1" applyAlignment="1">
      <alignment horizontal="center" vertical="center"/>
    </xf>
    <xf numFmtId="165" fontId="11" fillId="3" borderId="30" xfId="1" applyNumberFormat="1" applyFont="1" applyFill="1" applyBorder="1"/>
    <xf numFmtId="43" fontId="11" fillId="3" borderId="30" xfId="1" applyFont="1" applyFill="1" applyBorder="1"/>
    <xf numFmtId="43" fontId="11" fillId="3" borderId="31" xfId="1" applyFont="1" applyFill="1" applyBorder="1"/>
    <xf numFmtId="49" fontId="12" fillId="2" borderId="29" xfId="2" applyNumberFormat="1" applyFont="1" applyFill="1" applyBorder="1" applyAlignment="1">
      <alignment horizontal="center" vertical="top"/>
    </xf>
    <xf numFmtId="0" fontId="12" fillId="0" borderId="30" xfId="3" applyFont="1" applyBorder="1" applyAlignment="1">
      <alignment horizontal="left" wrapText="1"/>
    </xf>
    <xf numFmtId="0" fontId="12" fillId="0" borderId="30" xfId="3" applyFont="1" applyFill="1" applyBorder="1" applyAlignment="1">
      <alignment horizontal="center"/>
    </xf>
    <xf numFmtId="43" fontId="11" fillId="0" borderId="30" xfId="1" applyFont="1" applyBorder="1" applyAlignment="1"/>
    <xf numFmtId="43" fontId="11" fillId="0" borderId="31" xfId="1" applyFont="1" applyBorder="1" applyAlignment="1"/>
    <xf numFmtId="49" fontId="14" fillId="2" borderId="23" xfId="2" applyNumberFormat="1" applyFont="1" applyFill="1" applyBorder="1" applyAlignment="1">
      <alignment horizontal="center" vertical="justify"/>
    </xf>
    <xf numFmtId="43" fontId="14" fillId="2" borderId="24" xfId="2" applyFont="1" applyFill="1" applyBorder="1" applyAlignment="1">
      <alignment horizontal="center"/>
    </xf>
    <xf numFmtId="43" fontId="14" fillId="3" borderId="24" xfId="1" applyNumberFormat="1" applyFont="1" applyFill="1" applyBorder="1" applyAlignment="1">
      <alignment horizontal="center"/>
    </xf>
    <xf numFmtId="49" fontId="14" fillId="2" borderId="29" xfId="2" applyNumberFormat="1" applyFont="1" applyFill="1" applyBorder="1" applyAlignment="1">
      <alignment horizontal="center" vertical="justify"/>
    </xf>
    <xf numFmtId="43" fontId="14" fillId="2" borderId="30" xfId="2" applyFont="1" applyFill="1" applyBorder="1" applyAlignment="1">
      <alignment horizontal="center"/>
    </xf>
    <xf numFmtId="43" fontId="14" fillId="3" borderId="30" xfId="1" applyNumberFormat="1" applyFont="1" applyFill="1" applyBorder="1" applyAlignment="1">
      <alignment horizontal="center"/>
    </xf>
    <xf numFmtId="43" fontId="11" fillId="0" borderId="22" xfId="1" applyFont="1" applyBorder="1"/>
    <xf numFmtId="49" fontId="14" fillId="2" borderId="17" xfId="2" applyNumberFormat="1" applyFont="1" applyFill="1" applyBorder="1" applyAlignment="1">
      <alignment horizontal="center" vertical="justify"/>
    </xf>
    <xf numFmtId="49" fontId="14" fillId="2" borderId="20" xfId="2" applyNumberFormat="1" applyFont="1" applyFill="1" applyBorder="1" applyAlignment="1">
      <alignment horizontal="center" vertical="justify"/>
    </xf>
    <xf numFmtId="49" fontId="12" fillId="3" borderId="29" xfId="1" applyNumberFormat="1" applyFont="1" applyFill="1" applyBorder="1" applyAlignment="1">
      <alignment horizontal="left" vertical="justify"/>
    </xf>
    <xf numFmtId="0" fontId="12" fillId="3" borderId="30" xfId="3" applyFont="1" applyFill="1" applyBorder="1" applyAlignment="1">
      <alignment horizontal="left" wrapText="1"/>
    </xf>
    <xf numFmtId="0" fontId="12" fillId="3" borderId="30" xfId="3" applyFont="1" applyFill="1" applyBorder="1" applyAlignment="1">
      <alignment horizontal="center"/>
    </xf>
    <xf numFmtId="43" fontId="12" fillId="3" borderId="30" xfId="1" applyFont="1" applyFill="1" applyBorder="1" applyAlignment="1">
      <alignment horizontal="center"/>
    </xf>
    <xf numFmtId="43" fontId="17" fillId="3" borderId="31" xfId="1" applyFont="1" applyFill="1" applyBorder="1"/>
    <xf numFmtId="49" fontId="3" fillId="3" borderId="29" xfId="0" applyNumberFormat="1" applyFont="1" applyFill="1" applyBorder="1" applyAlignment="1">
      <alignment horizontal="center" vertical="top"/>
    </xf>
    <xf numFmtId="0" fontId="3" fillId="3" borderId="30" xfId="0" applyFont="1" applyFill="1" applyBorder="1" applyAlignment="1">
      <alignment vertical="justify" wrapText="1"/>
    </xf>
    <xf numFmtId="165" fontId="12" fillId="3" borderId="30" xfId="1" applyNumberFormat="1" applyFont="1" applyFill="1" applyBorder="1" applyAlignment="1">
      <alignment horizontal="center"/>
    </xf>
    <xf numFmtId="43" fontId="12" fillId="3" borderId="30" xfId="1" applyNumberFormat="1" applyFont="1" applyFill="1" applyBorder="1" applyAlignment="1"/>
    <xf numFmtId="43" fontId="11" fillId="0" borderId="18" xfId="1" applyNumberFormat="1" applyFont="1" applyBorder="1"/>
    <xf numFmtId="43" fontId="11" fillId="0" borderId="21" xfId="1" applyNumberFormat="1" applyFont="1" applyBorder="1"/>
    <xf numFmtId="0" fontId="0" fillId="0" borderId="36" xfId="0" applyBorder="1"/>
    <xf numFmtId="0" fontId="0" fillId="0" borderId="37" xfId="0" applyBorder="1"/>
    <xf numFmtId="0" fontId="23" fillId="0" borderId="37" xfId="0" applyFont="1" applyBorder="1" applyAlignment="1">
      <alignment horizontal="center"/>
    </xf>
    <xf numFmtId="0" fontId="22" fillId="0" borderId="37" xfId="0" applyFont="1" applyBorder="1" applyAlignment="1">
      <alignment horizontal="center" vertical="center" wrapText="1"/>
    </xf>
    <xf numFmtId="0" fontId="31" fillId="0" borderId="37" xfId="0" applyFont="1" applyBorder="1" applyAlignment="1">
      <alignment horizontal="center"/>
    </xf>
    <xf numFmtId="0" fontId="32" fillId="0" borderId="37" xfId="0" applyFont="1" applyBorder="1" applyAlignment="1">
      <alignment horizontal="center"/>
    </xf>
    <xf numFmtId="0" fontId="0" fillId="0" borderId="34" xfId="0" applyBorder="1"/>
    <xf numFmtId="0" fontId="12" fillId="3" borderId="18" xfId="3" applyFont="1" applyFill="1" applyBorder="1" applyAlignment="1">
      <alignment horizontal="center"/>
    </xf>
    <xf numFmtId="0" fontId="12" fillId="4" borderId="21" xfId="3" applyFont="1" applyFill="1" applyBorder="1" applyAlignment="1">
      <alignment horizontal="center"/>
    </xf>
    <xf numFmtId="49" fontId="12" fillId="2" borderId="30" xfId="2" applyNumberFormat="1" applyFont="1" applyFill="1" applyBorder="1" applyAlignment="1">
      <alignment horizontal="center"/>
    </xf>
    <xf numFmtId="49" fontId="11" fillId="3" borderId="29" xfId="0" applyNumberFormat="1" applyFont="1" applyFill="1" applyBorder="1"/>
    <xf numFmtId="0" fontId="11" fillId="3" borderId="30" xfId="0" applyFont="1" applyFill="1" applyBorder="1" applyAlignment="1">
      <alignment wrapText="1"/>
    </xf>
    <xf numFmtId="0" fontId="11" fillId="3" borderId="30" xfId="0" applyFont="1" applyFill="1" applyBorder="1" applyAlignment="1">
      <alignment horizontal="center"/>
    </xf>
    <xf numFmtId="43" fontId="11" fillId="3" borderId="30" xfId="1" applyNumberFormat="1" applyFont="1" applyFill="1" applyBorder="1"/>
    <xf numFmtId="49" fontId="12" fillId="2" borderId="23" xfId="2" applyNumberFormat="1" applyFont="1" applyFill="1" applyBorder="1" applyAlignment="1">
      <alignment horizontal="center" vertical="top"/>
    </xf>
    <xf numFmtId="0" fontId="12" fillId="0" borderId="24" xfId="3" applyFont="1" applyBorder="1" applyAlignment="1">
      <alignment horizontal="left" wrapText="1"/>
    </xf>
    <xf numFmtId="0" fontId="12" fillId="0" borderId="24" xfId="3" applyFont="1" applyFill="1" applyBorder="1" applyAlignment="1">
      <alignment horizontal="center"/>
    </xf>
    <xf numFmtId="43" fontId="11" fillId="0" borderId="24" xfId="1" applyFont="1" applyBorder="1" applyAlignment="1"/>
    <xf numFmtId="43" fontId="11" fillId="0" borderId="25" xfId="1" applyFont="1" applyBorder="1" applyAlignment="1"/>
    <xf numFmtId="49" fontId="12" fillId="2" borderId="23" xfId="2" applyNumberFormat="1" applyFont="1" applyFill="1" applyBorder="1" applyAlignment="1">
      <alignment horizontal="center" vertical="justify"/>
    </xf>
    <xf numFmtId="0" fontId="12" fillId="0" borderId="24" xfId="3" applyFont="1" applyBorder="1" applyAlignment="1">
      <alignment horizontal="center"/>
    </xf>
    <xf numFmtId="43" fontId="11" fillId="3" borderId="24" xfId="1" applyFont="1" applyFill="1" applyBorder="1"/>
    <xf numFmtId="43" fontId="17" fillId="3" borderId="25" xfId="1" applyFont="1" applyFill="1" applyBorder="1"/>
    <xf numFmtId="49" fontId="3" fillId="3" borderId="23" xfId="0" applyNumberFormat="1" applyFont="1" applyFill="1" applyBorder="1" applyAlignment="1">
      <alignment horizontal="center" vertical="top"/>
    </xf>
    <xf numFmtId="0" fontId="3" fillId="3" borderId="24" xfId="0" applyFont="1" applyFill="1" applyBorder="1" applyAlignment="1">
      <alignment vertical="justify" wrapText="1"/>
    </xf>
    <xf numFmtId="0" fontId="3" fillId="3" borderId="24" xfId="0" applyFont="1" applyFill="1" applyBorder="1" applyAlignment="1">
      <alignment horizontal="center" vertical="center"/>
    </xf>
    <xf numFmtId="43" fontId="3" fillId="3" borderId="24" xfId="0" applyNumberFormat="1" applyFont="1" applyFill="1" applyBorder="1" applyAlignment="1">
      <alignment horizontal="center" vertical="center"/>
    </xf>
    <xf numFmtId="165" fontId="12" fillId="3" borderId="24" xfId="1" applyNumberFormat="1" applyFont="1" applyFill="1" applyBorder="1" applyAlignment="1">
      <alignment horizontal="center"/>
    </xf>
    <xf numFmtId="43" fontId="12" fillId="3" borderId="24" xfId="1" applyNumberFormat="1" applyFont="1" applyFill="1" applyBorder="1" applyAlignment="1"/>
    <xf numFmtId="49" fontId="11" fillId="0" borderId="38" xfId="0" applyNumberFormat="1" applyFont="1" applyBorder="1" applyAlignment="1">
      <alignment horizontal="center" vertical="center"/>
    </xf>
    <xf numFmtId="0" fontId="11" fillId="0" borderId="39" xfId="0" applyFont="1" applyBorder="1" applyAlignment="1">
      <alignment horizontal="center" vertical="center"/>
    </xf>
    <xf numFmtId="43" fontId="11" fillId="0" borderId="39" xfId="1" applyNumberFormat="1" applyFont="1" applyBorder="1" applyAlignment="1">
      <alignment horizontal="center" vertical="center"/>
    </xf>
    <xf numFmtId="165" fontId="11" fillId="0" borderId="39" xfId="1" applyNumberFormat="1" applyFont="1" applyBorder="1" applyAlignment="1">
      <alignment horizontal="center" vertical="center" wrapText="1"/>
    </xf>
    <xf numFmtId="43" fontId="11" fillId="0" borderId="39" xfId="1" applyFont="1" applyBorder="1" applyAlignment="1">
      <alignment horizontal="center" vertical="center" wrapText="1"/>
    </xf>
    <xf numFmtId="43" fontId="11" fillId="0" borderId="40" xfId="1" applyFont="1" applyBorder="1" applyAlignment="1">
      <alignment horizontal="center" vertical="center" wrapText="1"/>
    </xf>
    <xf numFmtId="0" fontId="0" fillId="0" borderId="37" xfId="0" applyBorder="1" applyAlignment="1">
      <alignment horizontal="center"/>
    </xf>
    <xf numFmtId="0" fontId="32" fillId="0" borderId="37"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21" fillId="0" borderId="0" xfId="0" applyNumberFormat="1" applyFont="1" applyAlignment="1">
      <alignment horizontal="center"/>
    </xf>
    <xf numFmtId="0" fontId="14" fillId="2" borderId="27" xfId="2" applyNumberFormat="1" applyFont="1" applyFill="1" applyBorder="1" applyAlignment="1">
      <alignment horizontal="left" wrapText="1"/>
    </xf>
    <xf numFmtId="0" fontId="14" fillId="2" borderId="27" xfId="2" applyNumberFormat="1" applyFont="1" applyFill="1" applyBorder="1" applyAlignment="1">
      <alignment horizontal="left"/>
    </xf>
    <xf numFmtId="0" fontId="14" fillId="2" borderId="28" xfId="2" applyNumberFormat="1" applyFont="1" applyFill="1" applyBorder="1" applyAlignment="1">
      <alignment horizontal="left"/>
    </xf>
    <xf numFmtId="0" fontId="12" fillId="2" borderId="27" xfId="2" quotePrefix="1" applyNumberFormat="1" applyFont="1" applyFill="1" applyBorder="1" applyAlignment="1">
      <alignment horizontal="left" vertical="top" wrapText="1"/>
    </xf>
    <xf numFmtId="0" fontId="12" fillId="2" borderId="27" xfId="2" applyNumberFormat="1" applyFont="1" applyFill="1" applyBorder="1" applyAlignment="1">
      <alignment vertical="top" wrapText="1"/>
    </xf>
    <xf numFmtId="0" fontId="12" fillId="2" borderId="27" xfId="2" applyNumberFormat="1" applyFont="1" applyFill="1" applyBorder="1" applyAlignment="1">
      <alignment wrapText="1"/>
    </xf>
    <xf numFmtId="0" fontId="12" fillId="2" borderId="27" xfId="2" applyNumberFormat="1" applyFont="1" applyFill="1" applyBorder="1" applyAlignment="1">
      <alignment horizontal="left" wrapText="1"/>
    </xf>
    <xf numFmtId="0" fontId="12" fillId="0" borderId="27" xfId="3" applyFont="1" applyBorder="1" applyAlignment="1">
      <alignment wrapText="1"/>
    </xf>
    <xf numFmtId="0" fontId="12" fillId="2" borderId="16"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0" fontId="12" fillId="2" borderId="35" xfId="2" applyNumberFormat="1" applyFont="1" applyFill="1" applyBorder="1" applyAlignment="1">
      <alignment horizontal="left" wrapText="1"/>
    </xf>
    <xf numFmtId="0" fontId="14" fillId="2" borderId="16" xfId="2" applyNumberFormat="1" applyFont="1" applyFill="1" applyBorder="1" applyAlignment="1">
      <alignment horizontal="left" wrapText="1"/>
    </xf>
    <xf numFmtId="0" fontId="14" fillId="2" borderId="0" xfId="2" applyNumberFormat="1" applyFont="1" applyFill="1" applyBorder="1" applyAlignment="1">
      <alignment horizontal="left" wrapText="1"/>
    </xf>
    <xf numFmtId="0" fontId="14" fillId="2" borderId="35"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372350"/>
          <a:ext cx="20859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372350"/>
          <a:ext cx="20859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32</xdr:row>
      <xdr:rowOff>104775</xdr:rowOff>
    </xdr:from>
    <xdr:to>
      <xdr:col>0</xdr:col>
      <xdr:colOff>4238624</xdr:colOff>
      <xdr:row>33</xdr:row>
      <xdr:rowOff>790575</xdr:rowOff>
    </xdr:to>
    <xdr:pic>
      <xdr:nvPicPr>
        <xdr:cNvPr id="4" name="Picture 4" descr="\\ADMIN-PC\ArchEng\archeng\Archeng Logo\New Archeng logo.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52649" y="7410450"/>
          <a:ext cx="208597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47625</xdr:rowOff>
    </xdr:from>
    <xdr:to>
      <xdr:col>6</xdr:col>
      <xdr:colOff>771525</xdr:colOff>
      <xdr:row>61</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4"/>
  <sheetViews>
    <sheetView topLeftCell="A151" workbookViewId="0">
      <selection activeCell="A179" sqref="A179"/>
    </sheetView>
  </sheetViews>
  <sheetFormatPr defaultRowHeight="15"/>
  <cols>
    <col min="1" max="1" width="100.85546875" customWidth="1"/>
  </cols>
  <sheetData>
    <row r="1" spans="1:1">
      <c r="A1" s="401"/>
    </row>
    <row r="2" spans="1:1">
      <c r="A2" s="402"/>
    </row>
    <row r="3" spans="1:1">
      <c r="A3" s="402"/>
    </row>
    <row r="4" spans="1:1">
      <c r="A4" s="402"/>
    </row>
    <row r="5" spans="1:1">
      <c r="A5" s="402"/>
    </row>
    <row r="6" spans="1:1">
      <c r="A6" s="402"/>
    </row>
    <row r="7" spans="1:1">
      <c r="A7" s="402"/>
    </row>
    <row r="8" spans="1:1" ht="29.25">
      <c r="A8" s="403" t="s">
        <v>173</v>
      </c>
    </row>
    <row r="9" spans="1:1">
      <c r="A9" s="436" t="s">
        <v>532</v>
      </c>
    </row>
    <row r="10" spans="1:1">
      <c r="A10" s="402"/>
    </row>
    <row r="11" spans="1:1">
      <c r="A11" s="402"/>
    </row>
    <row r="12" spans="1:1">
      <c r="A12" s="402"/>
    </row>
    <row r="13" spans="1:1">
      <c r="A13" s="402"/>
    </row>
    <row r="14" spans="1:1" ht="58.5">
      <c r="A14" s="404" t="s">
        <v>531</v>
      </c>
    </row>
    <row r="15" spans="1:1">
      <c r="A15" s="402"/>
    </row>
    <row r="16" spans="1:1">
      <c r="A16" s="402"/>
    </row>
    <row r="17" spans="1:1">
      <c r="A17" s="402"/>
    </row>
    <row r="18" spans="1:1">
      <c r="A18" s="402"/>
    </row>
    <row r="19" spans="1:1">
      <c r="A19" s="402"/>
    </row>
    <row r="20" spans="1:1" s="44" customFormat="1" ht="47.25" customHeight="1">
      <c r="A20" s="402"/>
    </row>
    <row r="21" spans="1:1" ht="18.75">
      <c r="A21" s="405" t="s">
        <v>503</v>
      </c>
    </row>
    <row r="22" spans="1:1" ht="18.75">
      <c r="A22" s="406" t="s">
        <v>504</v>
      </c>
    </row>
    <row r="23" spans="1:1" ht="18.75">
      <c r="A23" s="406" t="s">
        <v>505</v>
      </c>
    </row>
    <row r="24" spans="1:1" ht="18.75">
      <c r="A24" s="406"/>
    </row>
    <row r="25" spans="1:1">
      <c r="A25" s="402"/>
    </row>
    <row r="26" spans="1:1">
      <c r="A26" s="402"/>
    </row>
    <row r="27" spans="1:1">
      <c r="A27" s="402"/>
    </row>
    <row r="28" spans="1:1">
      <c r="A28" s="402"/>
    </row>
    <row r="29" spans="1:1">
      <c r="A29" s="402"/>
    </row>
    <row r="30" spans="1:1">
      <c r="A30" s="402"/>
    </row>
    <row r="31" spans="1:1">
      <c r="A31" s="402"/>
    </row>
    <row r="32" spans="1:1" ht="18.75">
      <c r="A32" s="405" t="s">
        <v>179</v>
      </c>
    </row>
    <row r="33" spans="1:1">
      <c r="A33" s="437"/>
    </row>
    <row r="34" spans="1:1" ht="66" customHeight="1">
      <c r="A34" s="437"/>
    </row>
    <row r="35" spans="1:1" ht="15" customHeight="1">
      <c r="A35" s="402"/>
    </row>
    <row r="36" spans="1:1" ht="15" customHeight="1" thickBot="1">
      <c r="A36" s="407"/>
    </row>
    <row r="43" spans="1:1">
      <c r="A43" s="46"/>
    </row>
    <row r="44" spans="1:1">
      <c r="A44" s="45"/>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workbookViewId="0">
      <selection activeCell="A5" sqref="A5:C18"/>
    </sheetView>
  </sheetViews>
  <sheetFormatPr defaultRowHeight="15"/>
  <cols>
    <col min="2" max="2" width="47.5703125" customWidth="1"/>
    <col min="3" max="3" width="28.5703125" customWidth="1"/>
    <col min="6" max="6" width="44.5703125" customWidth="1"/>
    <col min="9" max="9" width="21.140625" customWidth="1"/>
  </cols>
  <sheetData>
    <row r="1" spans="1:6" ht="18.75">
      <c r="A1" s="438" t="s">
        <v>436</v>
      </c>
      <c r="B1" s="438"/>
      <c r="C1" s="438"/>
    </row>
    <row r="2" spans="1:6" ht="15.75">
      <c r="A2" s="439" t="s">
        <v>76</v>
      </c>
      <c r="B2" s="439"/>
      <c r="C2" s="439"/>
    </row>
    <row r="3" spans="1:6" ht="15.75" thickBot="1">
      <c r="A3" s="1"/>
      <c r="B3" s="2"/>
      <c r="C3" s="3"/>
    </row>
    <row r="4" spans="1:6" ht="20.100000000000001" customHeight="1" thickTop="1" thickBot="1">
      <c r="A4" s="4" t="s">
        <v>77</v>
      </c>
      <c r="B4" s="5" t="s">
        <v>78</v>
      </c>
      <c r="C4" s="6" t="s">
        <v>79</v>
      </c>
    </row>
    <row r="5" spans="1:6" ht="24.95" customHeight="1" thickTop="1">
      <c r="A5" s="7" t="s">
        <v>80</v>
      </c>
      <c r="B5" s="8" t="s">
        <v>18</v>
      </c>
      <c r="C5" s="9">
        <f>Boq!G51</f>
        <v>0</v>
      </c>
    </row>
    <row r="6" spans="1:6" ht="24.95" customHeight="1">
      <c r="A6" s="10" t="s">
        <v>81</v>
      </c>
      <c r="B6" s="11" t="s">
        <v>82</v>
      </c>
      <c r="C6" s="12">
        <f>Boq!G87</f>
        <v>0</v>
      </c>
    </row>
    <row r="7" spans="1:6" ht="24.95" customHeight="1">
      <c r="A7" s="10" t="s">
        <v>83</v>
      </c>
      <c r="B7" s="11" t="s">
        <v>84</v>
      </c>
      <c r="C7" s="12">
        <f>Boq!G442</f>
        <v>0</v>
      </c>
    </row>
    <row r="8" spans="1:6" ht="24.95" customHeight="1">
      <c r="A8" s="10" t="s">
        <v>85</v>
      </c>
      <c r="B8" s="11" t="s">
        <v>86</v>
      </c>
      <c r="C8" s="12">
        <f>Boq!G519</f>
        <v>0</v>
      </c>
    </row>
    <row r="9" spans="1:6" ht="24.95" customHeight="1">
      <c r="A9" s="10" t="s">
        <v>87</v>
      </c>
      <c r="B9" s="11" t="s">
        <v>88</v>
      </c>
      <c r="C9" s="12">
        <f>Boq!G654</f>
        <v>0</v>
      </c>
    </row>
    <row r="10" spans="1:6" ht="24.95" customHeight="1">
      <c r="A10" s="10" t="s">
        <v>89</v>
      </c>
      <c r="B10" s="11" t="s">
        <v>91</v>
      </c>
      <c r="C10" s="12">
        <f>Boq!G718</f>
        <v>0</v>
      </c>
    </row>
    <row r="11" spans="1:6" ht="24.95" customHeight="1">
      <c r="A11" s="10" t="s">
        <v>90</v>
      </c>
      <c r="B11" s="11" t="s">
        <v>93</v>
      </c>
      <c r="C11" s="12">
        <f>Boq!G747</f>
        <v>0</v>
      </c>
    </row>
    <row r="12" spans="1:6" ht="24.95" customHeight="1">
      <c r="A12" s="10" t="s">
        <v>92</v>
      </c>
      <c r="B12" s="11" t="s">
        <v>95</v>
      </c>
      <c r="C12" s="12">
        <f>Boq!G786</f>
        <v>0</v>
      </c>
    </row>
    <row r="13" spans="1:6" ht="24.95" customHeight="1">
      <c r="A13" s="10" t="s">
        <v>94</v>
      </c>
      <c r="B13" s="11" t="s">
        <v>97</v>
      </c>
      <c r="C13" s="12">
        <f>Boq!G819</f>
        <v>0</v>
      </c>
    </row>
    <row r="14" spans="1:6" ht="24.95" customHeight="1">
      <c r="A14" s="10" t="s">
        <v>96</v>
      </c>
      <c r="B14" s="11" t="s">
        <v>99</v>
      </c>
      <c r="C14" s="12">
        <f>Boq!G902</f>
        <v>0</v>
      </c>
    </row>
    <row r="15" spans="1:6" ht="24.95" customHeight="1">
      <c r="A15" s="10" t="s">
        <v>98</v>
      </c>
      <c r="B15" s="11" t="s">
        <v>100</v>
      </c>
      <c r="C15" s="12">
        <f>Boq!G1055</f>
        <v>0</v>
      </c>
    </row>
    <row r="16" spans="1:6" ht="24.95" customHeight="1">
      <c r="A16" s="10" t="s">
        <v>396</v>
      </c>
      <c r="B16" s="11" t="s">
        <v>397</v>
      </c>
      <c r="C16" s="12"/>
      <c r="F16" s="56"/>
    </row>
    <row r="17" spans="1:6" ht="24.95" customHeight="1">
      <c r="A17" s="10" t="s">
        <v>424</v>
      </c>
      <c r="B17" s="11" t="s">
        <v>426</v>
      </c>
      <c r="C17" s="12"/>
      <c r="F17" s="56">
        <f>C21/F19</f>
        <v>0</v>
      </c>
    </row>
    <row r="18" spans="1:6" ht="24.95" customHeight="1">
      <c r="A18" s="10" t="s">
        <v>425</v>
      </c>
      <c r="B18" s="11" t="s">
        <v>427</v>
      </c>
      <c r="C18" s="12"/>
    </row>
    <row r="19" spans="1:6" ht="24.95" customHeight="1">
      <c r="A19" s="13"/>
      <c r="B19" s="14"/>
      <c r="C19" s="15"/>
      <c r="F19">
        <f>107*2*10.764</f>
        <v>2303.4959999999996</v>
      </c>
    </row>
    <row r="20" spans="1:6" ht="24.95" customHeight="1" thickBot="1">
      <c r="A20" s="16"/>
      <c r="B20" s="17"/>
      <c r="C20" s="18"/>
      <c r="F20" s="56">
        <f>C21*3%</f>
        <v>0</v>
      </c>
    </row>
    <row r="21" spans="1:6" ht="24.95" customHeight="1" thickTop="1" thickBot="1">
      <c r="A21" s="19"/>
      <c r="B21" s="20" t="s">
        <v>393</v>
      </c>
      <c r="C21" s="21">
        <f>SUM(C5:C17)-C18</f>
        <v>0</v>
      </c>
      <c r="F21" s="56">
        <f>C21*0.05</f>
        <v>0</v>
      </c>
    </row>
    <row r="22" spans="1:6" ht="24.95" customHeight="1" thickTop="1" thickBot="1">
      <c r="A22" s="19"/>
      <c r="B22" s="20" t="s">
        <v>394</v>
      </c>
      <c r="C22" s="21">
        <f>C21*6%</f>
        <v>0</v>
      </c>
    </row>
    <row r="23" spans="1:6" ht="31.5" customHeight="1" thickTop="1" thickBot="1">
      <c r="A23" s="19"/>
      <c r="B23" s="20" t="s">
        <v>395</v>
      </c>
      <c r="C23" s="21">
        <f>C21+C22</f>
        <v>0</v>
      </c>
    </row>
    <row r="24" spans="1:6" ht="15.75" thickTop="1"/>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21"/>
  <sheetViews>
    <sheetView view="pageBreakPreview" topLeftCell="A883" zoomScaleNormal="100" zoomScaleSheetLayoutView="100" workbookViewId="0">
      <selection activeCell="B624" sqref="B624"/>
    </sheetView>
  </sheetViews>
  <sheetFormatPr defaultRowHeight="12"/>
  <cols>
    <col min="1" max="1" width="6" style="38" customWidth="1"/>
    <col min="2" max="2" width="36.42578125" style="22" customWidth="1"/>
    <col min="3" max="3" width="4.7109375" style="23" customWidth="1"/>
    <col min="4" max="4" width="8.42578125" style="24" customWidth="1"/>
    <col min="5" max="5" width="11.85546875" style="39" customWidth="1"/>
    <col min="6" max="6" width="11.5703125" style="25" customWidth="1"/>
    <col min="7" max="7" width="12.42578125" style="25" customWidth="1"/>
    <col min="8" max="8" width="4.5703125" style="22" customWidth="1"/>
    <col min="9" max="9" width="13.5703125" style="22" customWidth="1"/>
    <col min="10" max="10" width="11.85546875" style="22" customWidth="1"/>
    <col min="11" max="12" width="10.7109375" style="22" customWidth="1"/>
    <col min="13" max="13" width="11.28515625" style="22" customWidth="1"/>
    <col min="14" max="14" width="9.28515625" style="22" customWidth="1"/>
    <col min="15" max="15" width="7.7109375" style="22" customWidth="1"/>
    <col min="16" max="16384" width="9.140625" style="22"/>
  </cols>
  <sheetData>
    <row r="1" spans="1:10" s="34" customFormat="1" ht="18.75" customHeight="1">
      <c r="A1" s="440" t="s">
        <v>437</v>
      </c>
      <c r="B1" s="440"/>
      <c r="C1" s="440"/>
      <c r="D1" s="440"/>
      <c r="E1" s="440"/>
      <c r="F1" s="440"/>
      <c r="G1" s="440"/>
    </row>
    <row r="2" spans="1:10" ht="12.75" thickBot="1"/>
    <row r="3" spans="1:10" s="26" customFormat="1" ht="24.75" thickBot="1">
      <c r="A3" s="430" t="s">
        <v>0</v>
      </c>
      <c r="B3" s="431" t="s">
        <v>1</v>
      </c>
      <c r="C3" s="431" t="s">
        <v>2</v>
      </c>
      <c r="D3" s="432" t="s">
        <v>3</v>
      </c>
      <c r="E3" s="433" t="s">
        <v>4</v>
      </c>
      <c r="F3" s="434" t="s">
        <v>5</v>
      </c>
      <c r="G3" s="435" t="s">
        <v>6</v>
      </c>
    </row>
    <row r="4" spans="1:10" s="26" customFormat="1" ht="14.25" customHeight="1">
      <c r="A4" s="81"/>
      <c r="B4" s="82" t="s">
        <v>17</v>
      </c>
      <c r="C4" s="83"/>
      <c r="D4" s="84"/>
      <c r="E4" s="85"/>
      <c r="F4" s="86"/>
      <c r="G4" s="87"/>
      <c r="I4" s="49"/>
      <c r="J4" s="48"/>
    </row>
    <row r="5" spans="1:10" s="26" customFormat="1">
      <c r="A5" s="81"/>
      <c r="B5" s="88" t="s">
        <v>18</v>
      </c>
      <c r="C5" s="83"/>
      <c r="D5" s="84"/>
      <c r="E5" s="85"/>
      <c r="F5" s="86"/>
      <c r="G5" s="87"/>
    </row>
    <row r="6" spans="1:10" s="26" customFormat="1">
      <c r="A6" s="81"/>
      <c r="B6" s="89"/>
      <c r="C6" s="83"/>
      <c r="D6" s="84"/>
      <c r="E6" s="85"/>
      <c r="F6" s="86"/>
      <c r="G6" s="87"/>
    </row>
    <row r="7" spans="1:10" s="26" customFormat="1">
      <c r="A7" s="81">
        <v>1.1000000000000001</v>
      </c>
      <c r="B7" s="90" t="s">
        <v>19</v>
      </c>
      <c r="C7" s="83"/>
      <c r="D7" s="84"/>
      <c r="E7" s="85"/>
      <c r="F7" s="86"/>
      <c r="G7" s="87"/>
    </row>
    <row r="8" spans="1:10" s="26" customFormat="1">
      <c r="A8" s="91" t="s">
        <v>7</v>
      </c>
      <c r="B8" s="92" t="s">
        <v>20</v>
      </c>
      <c r="C8" s="83"/>
      <c r="D8" s="84"/>
      <c r="E8" s="85"/>
      <c r="F8" s="86"/>
      <c r="G8" s="87"/>
    </row>
    <row r="9" spans="1:10" s="26" customFormat="1">
      <c r="A9" s="81"/>
      <c r="B9" s="93" t="s">
        <v>21</v>
      </c>
      <c r="C9" s="83"/>
      <c r="D9" s="84"/>
      <c r="E9" s="85"/>
      <c r="F9" s="86"/>
      <c r="G9" s="87"/>
    </row>
    <row r="10" spans="1:10" s="26" customFormat="1">
      <c r="A10" s="81"/>
      <c r="B10" s="93" t="s">
        <v>22</v>
      </c>
      <c r="C10" s="83"/>
      <c r="D10" s="84"/>
      <c r="E10" s="85"/>
      <c r="F10" s="86"/>
      <c r="G10" s="87"/>
    </row>
    <row r="11" spans="1:10" s="26" customFormat="1">
      <c r="A11" s="81"/>
      <c r="B11" s="93" t="s">
        <v>23</v>
      </c>
      <c r="C11" s="83"/>
      <c r="D11" s="84"/>
      <c r="E11" s="85"/>
      <c r="F11" s="86"/>
      <c r="G11" s="87"/>
    </row>
    <row r="12" spans="1:10" s="26" customFormat="1">
      <c r="A12" s="81"/>
      <c r="B12" s="93" t="s">
        <v>24</v>
      </c>
      <c r="C12" s="83"/>
      <c r="D12" s="84"/>
      <c r="E12" s="85"/>
      <c r="F12" s="86"/>
      <c r="G12" s="87"/>
    </row>
    <row r="13" spans="1:10" s="26" customFormat="1">
      <c r="A13" s="81"/>
      <c r="B13" s="93" t="s">
        <v>21</v>
      </c>
      <c r="C13" s="83"/>
      <c r="D13" s="84"/>
      <c r="E13" s="85"/>
      <c r="F13" s="86"/>
      <c r="G13" s="87"/>
    </row>
    <row r="14" spans="1:10" s="26" customFormat="1">
      <c r="A14" s="81"/>
      <c r="B14" s="93" t="s">
        <v>25</v>
      </c>
      <c r="C14" s="83"/>
      <c r="D14" s="84"/>
      <c r="E14" s="85"/>
      <c r="F14" s="86"/>
      <c r="G14" s="87"/>
    </row>
    <row r="15" spans="1:10" s="26" customFormat="1">
      <c r="A15" s="81"/>
      <c r="B15" s="93" t="s">
        <v>26</v>
      </c>
      <c r="C15" s="83"/>
      <c r="D15" s="84"/>
      <c r="E15" s="85"/>
      <c r="F15" s="86"/>
      <c r="G15" s="87"/>
    </row>
    <row r="16" spans="1:10" s="26" customFormat="1">
      <c r="A16" s="81"/>
      <c r="B16" s="93" t="s">
        <v>27</v>
      </c>
      <c r="C16" s="83"/>
      <c r="D16" s="84"/>
      <c r="E16" s="85"/>
      <c r="F16" s="86"/>
      <c r="G16" s="87"/>
    </row>
    <row r="17" spans="1:7" s="26" customFormat="1">
      <c r="A17" s="81"/>
      <c r="B17" s="93" t="s">
        <v>28</v>
      </c>
      <c r="C17" s="83"/>
      <c r="D17" s="84"/>
      <c r="E17" s="85"/>
      <c r="F17" s="86"/>
      <c r="G17" s="87"/>
    </row>
    <row r="18" spans="1:7" s="26" customFormat="1">
      <c r="A18" s="81"/>
      <c r="B18" s="93" t="s">
        <v>29</v>
      </c>
      <c r="C18" s="83"/>
      <c r="D18" s="84"/>
      <c r="E18" s="85"/>
      <c r="F18" s="86"/>
      <c r="G18" s="87"/>
    </row>
    <row r="19" spans="1:7" s="26" customFormat="1">
      <c r="A19" s="81"/>
      <c r="B19" s="93" t="s">
        <v>30</v>
      </c>
      <c r="C19" s="83"/>
      <c r="D19" s="84"/>
      <c r="E19" s="85"/>
      <c r="F19" s="86"/>
      <c r="G19" s="87"/>
    </row>
    <row r="20" spans="1:7" s="26" customFormat="1">
      <c r="A20" s="81"/>
      <c r="B20" s="93"/>
      <c r="C20" s="83"/>
      <c r="D20" s="84"/>
      <c r="E20" s="85"/>
      <c r="F20" s="86"/>
      <c r="G20" s="87"/>
    </row>
    <row r="21" spans="1:7" s="26" customFormat="1">
      <c r="A21" s="91">
        <v>1.2</v>
      </c>
      <c r="B21" s="94" t="s">
        <v>31</v>
      </c>
      <c r="C21" s="95"/>
      <c r="D21" s="96"/>
      <c r="E21" s="85"/>
      <c r="F21" s="86"/>
      <c r="G21" s="87"/>
    </row>
    <row r="22" spans="1:7" s="26" customFormat="1" ht="60.75" customHeight="1">
      <c r="A22" s="81" t="s">
        <v>7</v>
      </c>
      <c r="B22" s="97" t="s">
        <v>240</v>
      </c>
      <c r="C22" s="95" t="s">
        <v>0</v>
      </c>
      <c r="D22" s="96">
        <v>1</v>
      </c>
      <c r="E22" s="85"/>
      <c r="F22" s="98"/>
      <c r="G22" s="99">
        <f t="shared" ref="G22:G32" si="0">(D22*E22)+(D22*F22)</f>
        <v>0</v>
      </c>
    </row>
    <row r="23" spans="1:7" s="26" customFormat="1">
      <c r="A23" s="91"/>
      <c r="B23" s="97"/>
      <c r="C23" s="95"/>
      <c r="D23" s="96"/>
      <c r="E23" s="85"/>
      <c r="F23" s="98"/>
      <c r="G23" s="99">
        <f t="shared" si="0"/>
        <v>0</v>
      </c>
    </row>
    <row r="24" spans="1:7" s="26" customFormat="1">
      <c r="A24" s="81">
        <v>1.3</v>
      </c>
      <c r="B24" s="94" t="s">
        <v>32</v>
      </c>
      <c r="C24" s="95"/>
      <c r="D24" s="96"/>
      <c r="E24" s="85"/>
      <c r="F24" s="98"/>
      <c r="G24" s="99">
        <f t="shared" si="0"/>
        <v>0</v>
      </c>
    </row>
    <row r="25" spans="1:7" s="26" customFormat="1">
      <c r="A25" s="81" t="s">
        <v>7</v>
      </c>
      <c r="B25" s="100" t="s">
        <v>33</v>
      </c>
      <c r="C25" s="95" t="s">
        <v>34</v>
      </c>
      <c r="D25" s="96">
        <v>1</v>
      </c>
      <c r="E25" s="85"/>
      <c r="F25" s="98"/>
      <c r="G25" s="99">
        <f t="shared" si="0"/>
        <v>0</v>
      </c>
    </row>
    <row r="26" spans="1:7" s="26" customFormat="1">
      <c r="A26" s="81"/>
      <c r="B26" s="100"/>
      <c r="C26" s="95"/>
      <c r="D26" s="96"/>
      <c r="E26" s="85"/>
      <c r="F26" s="98"/>
      <c r="G26" s="99">
        <f t="shared" si="0"/>
        <v>0</v>
      </c>
    </row>
    <row r="27" spans="1:7" s="26" customFormat="1">
      <c r="A27" s="81" t="s">
        <v>174</v>
      </c>
      <c r="B27" s="101" t="s">
        <v>175</v>
      </c>
      <c r="C27" s="95"/>
      <c r="D27" s="96"/>
      <c r="E27" s="85"/>
      <c r="F27" s="98"/>
      <c r="G27" s="99">
        <f t="shared" si="0"/>
        <v>0</v>
      </c>
    </row>
    <row r="28" spans="1:7" s="26" customFormat="1" ht="39.75" customHeight="1">
      <c r="A28" s="81" t="s">
        <v>7</v>
      </c>
      <c r="B28" s="102" t="s">
        <v>274</v>
      </c>
      <c r="C28" s="95" t="s">
        <v>0</v>
      </c>
      <c r="D28" s="96">
        <v>1</v>
      </c>
      <c r="E28" s="85"/>
      <c r="F28" s="98"/>
      <c r="G28" s="99">
        <f t="shared" si="0"/>
        <v>0</v>
      </c>
    </row>
    <row r="29" spans="1:7" s="26" customFormat="1">
      <c r="A29" s="81"/>
      <c r="B29" s="100"/>
      <c r="C29" s="95"/>
      <c r="D29" s="96"/>
      <c r="E29" s="85"/>
      <c r="F29" s="98"/>
      <c r="G29" s="99"/>
    </row>
    <row r="30" spans="1:7" s="26" customFormat="1">
      <c r="A30" s="103" t="s">
        <v>187</v>
      </c>
      <c r="B30" s="104" t="s">
        <v>35</v>
      </c>
      <c r="C30" s="105"/>
      <c r="D30" s="106"/>
      <c r="E30" s="85"/>
      <c r="F30" s="98"/>
      <c r="G30" s="99">
        <f t="shared" si="0"/>
        <v>0</v>
      </c>
    </row>
    <row r="31" spans="1:7" s="26" customFormat="1" ht="27.75" customHeight="1">
      <c r="A31" s="81" t="s">
        <v>7</v>
      </c>
      <c r="B31" s="107" t="s">
        <v>36</v>
      </c>
      <c r="C31" s="95" t="s">
        <v>0</v>
      </c>
      <c r="D31" s="96">
        <v>1</v>
      </c>
      <c r="E31" s="85"/>
      <c r="F31" s="98"/>
      <c r="G31" s="99">
        <f t="shared" si="0"/>
        <v>0</v>
      </c>
    </row>
    <row r="32" spans="1:7" s="26" customFormat="1">
      <c r="A32" s="91"/>
      <c r="B32" s="107"/>
      <c r="C32" s="95"/>
      <c r="D32" s="96"/>
      <c r="E32" s="85"/>
      <c r="F32" s="86"/>
      <c r="G32" s="99">
        <f t="shared" si="0"/>
        <v>0</v>
      </c>
    </row>
    <row r="33" spans="1:7" s="26" customFormat="1">
      <c r="A33" s="91"/>
      <c r="B33" s="107"/>
      <c r="C33" s="95"/>
      <c r="D33" s="96"/>
      <c r="E33" s="85"/>
      <c r="F33" s="86"/>
      <c r="G33" s="87"/>
    </row>
    <row r="34" spans="1:7" s="26" customFormat="1">
      <c r="A34" s="91"/>
      <c r="B34" s="107"/>
      <c r="C34" s="95"/>
      <c r="D34" s="96"/>
      <c r="E34" s="85"/>
      <c r="F34" s="86"/>
      <c r="G34" s="87"/>
    </row>
    <row r="35" spans="1:7" s="26" customFormat="1">
      <c r="A35" s="91"/>
      <c r="B35" s="107"/>
      <c r="C35" s="95"/>
      <c r="D35" s="96"/>
      <c r="E35" s="85"/>
      <c r="F35" s="86"/>
      <c r="G35" s="87"/>
    </row>
    <row r="36" spans="1:7" s="26" customFormat="1">
      <c r="A36" s="91"/>
      <c r="B36" s="107"/>
      <c r="C36" s="95"/>
      <c r="D36" s="96"/>
      <c r="E36" s="85"/>
      <c r="F36" s="86"/>
      <c r="G36" s="87"/>
    </row>
    <row r="37" spans="1:7" s="26" customFormat="1">
      <c r="A37" s="91"/>
      <c r="B37" s="107"/>
      <c r="C37" s="95"/>
      <c r="D37" s="96"/>
      <c r="E37" s="85"/>
      <c r="F37" s="86"/>
      <c r="G37" s="87"/>
    </row>
    <row r="38" spans="1:7" s="26" customFormat="1">
      <c r="A38" s="91"/>
      <c r="B38" s="107"/>
      <c r="C38" s="95"/>
      <c r="D38" s="96"/>
      <c r="E38" s="85"/>
      <c r="F38" s="86"/>
      <c r="G38" s="87"/>
    </row>
    <row r="39" spans="1:7" s="26" customFormat="1">
      <c r="A39" s="91"/>
      <c r="B39" s="107"/>
      <c r="C39" s="95"/>
      <c r="D39" s="96"/>
      <c r="E39" s="85"/>
      <c r="F39" s="86"/>
      <c r="G39" s="87"/>
    </row>
    <row r="40" spans="1:7" s="26" customFormat="1">
      <c r="A40" s="91"/>
      <c r="B40" s="107"/>
      <c r="C40" s="95"/>
      <c r="D40" s="96"/>
      <c r="E40" s="85"/>
      <c r="F40" s="86"/>
      <c r="G40" s="87"/>
    </row>
    <row r="41" spans="1:7" s="26" customFormat="1">
      <c r="A41" s="91"/>
      <c r="B41" s="107"/>
      <c r="C41" s="95"/>
      <c r="D41" s="96"/>
      <c r="E41" s="85"/>
      <c r="F41" s="86"/>
      <c r="G41" s="87"/>
    </row>
    <row r="42" spans="1:7" s="26" customFormat="1">
      <c r="A42" s="91"/>
      <c r="B42" s="107"/>
      <c r="C42" s="95"/>
      <c r="D42" s="96"/>
      <c r="E42" s="85"/>
      <c r="F42" s="86"/>
      <c r="G42" s="87"/>
    </row>
    <row r="43" spans="1:7" s="26" customFormat="1">
      <c r="A43" s="91"/>
      <c r="B43" s="107"/>
      <c r="C43" s="95"/>
      <c r="D43" s="96"/>
      <c r="E43" s="85"/>
      <c r="F43" s="86"/>
      <c r="G43" s="87"/>
    </row>
    <row r="44" spans="1:7" s="26" customFormat="1">
      <c r="A44" s="91"/>
      <c r="B44" s="107"/>
      <c r="C44" s="95"/>
      <c r="D44" s="96"/>
      <c r="E44" s="85"/>
      <c r="F44" s="86"/>
      <c r="G44" s="87"/>
    </row>
    <row r="45" spans="1:7" s="26" customFormat="1">
      <c r="A45" s="91"/>
      <c r="B45" s="107"/>
      <c r="C45" s="95"/>
      <c r="D45" s="96"/>
      <c r="E45" s="85"/>
      <c r="F45" s="86"/>
      <c r="G45" s="87"/>
    </row>
    <row r="46" spans="1:7" s="26" customFormat="1">
      <c r="A46" s="91"/>
      <c r="B46" s="107"/>
      <c r="C46" s="95"/>
      <c r="D46" s="96"/>
      <c r="E46" s="85"/>
      <c r="F46" s="86"/>
      <c r="G46" s="87"/>
    </row>
    <row r="47" spans="1:7" s="26" customFormat="1">
      <c r="A47" s="91"/>
      <c r="B47" s="107"/>
      <c r="C47" s="95"/>
      <c r="D47" s="96"/>
      <c r="E47" s="85"/>
      <c r="F47" s="86"/>
      <c r="G47" s="87"/>
    </row>
    <row r="48" spans="1:7" s="26" customFormat="1">
      <c r="A48" s="91"/>
      <c r="B48" s="107"/>
      <c r="C48" s="95"/>
      <c r="D48" s="96"/>
      <c r="E48" s="85"/>
      <c r="F48" s="86"/>
      <c r="G48" s="87"/>
    </row>
    <row r="49" spans="1:9" s="26" customFormat="1" ht="12.75" thickBot="1">
      <c r="A49" s="91"/>
      <c r="B49" s="107"/>
      <c r="C49" s="95"/>
      <c r="D49" s="96"/>
      <c r="E49" s="85"/>
      <c r="F49" s="86"/>
      <c r="G49" s="87"/>
    </row>
    <row r="50" spans="1:9" s="26" customFormat="1">
      <c r="A50" s="67"/>
      <c r="B50" s="68" t="s">
        <v>37</v>
      </c>
      <c r="C50" s="408"/>
      <c r="D50" s="70"/>
      <c r="E50" s="71"/>
      <c r="F50" s="359"/>
      <c r="G50" s="357"/>
    </row>
    <row r="51" spans="1:9" s="26" customFormat="1" ht="12.75" thickBot="1">
      <c r="A51" s="74"/>
      <c r="B51" s="75" t="s">
        <v>38</v>
      </c>
      <c r="C51" s="409"/>
      <c r="D51" s="77"/>
      <c r="E51" s="78"/>
      <c r="F51" s="360"/>
      <c r="G51" s="358">
        <f>SUM(G22:G50)</f>
        <v>0</v>
      </c>
    </row>
    <row r="52" spans="1:9" s="26" customFormat="1">
      <c r="A52" s="81"/>
      <c r="B52" s="108"/>
      <c r="C52" s="109"/>
      <c r="D52" s="96"/>
      <c r="E52" s="85"/>
      <c r="F52" s="86"/>
      <c r="G52" s="87"/>
    </row>
    <row r="53" spans="1:9" s="26" customFormat="1">
      <c r="A53" s="81"/>
      <c r="B53" s="88" t="s">
        <v>39</v>
      </c>
      <c r="C53" s="83"/>
      <c r="D53" s="84"/>
      <c r="E53" s="85"/>
      <c r="F53" s="86"/>
      <c r="G53" s="87"/>
    </row>
    <row r="54" spans="1:9" s="26" customFormat="1">
      <c r="A54" s="81"/>
      <c r="B54" s="88" t="s">
        <v>40</v>
      </c>
      <c r="C54" s="83"/>
      <c r="D54" s="84"/>
      <c r="E54" s="85"/>
      <c r="F54" s="86"/>
      <c r="G54" s="87"/>
    </row>
    <row r="55" spans="1:9" s="26" customFormat="1">
      <c r="A55" s="81">
        <v>2.1</v>
      </c>
      <c r="B55" s="90" t="s">
        <v>41</v>
      </c>
      <c r="C55" s="83"/>
      <c r="D55" s="84"/>
      <c r="E55" s="85"/>
      <c r="F55" s="86"/>
      <c r="G55" s="87"/>
    </row>
    <row r="56" spans="1:9" s="26" customFormat="1" ht="65.25" customHeight="1">
      <c r="A56" s="81"/>
      <c r="B56" s="110" t="s">
        <v>241</v>
      </c>
      <c r="C56" s="111"/>
      <c r="D56" s="111"/>
      <c r="E56" s="111"/>
      <c r="F56" s="111"/>
      <c r="G56" s="112"/>
    </row>
    <row r="57" spans="1:9" s="26" customFormat="1">
      <c r="A57" s="113"/>
      <c r="B57" s="114"/>
      <c r="C57" s="114"/>
      <c r="D57" s="115"/>
      <c r="E57" s="116"/>
      <c r="F57" s="114"/>
      <c r="G57" s="117"/>
    </row>
    <row r="58" spans="1:9" s="26" customFormat="1">
      <c r="A58" s="81" t="s">
        <v>10</v>
      </c>
      <c r="B58" s="118" t="s">
        <v>60</v>
      </c>
      <c r="C58" s="95"/>
      <c r="D58" s="119"/>
      <c r="E58" s="120"/>
      <c r="F58" s="98"/>
      <c r="G58" s="99">
        <f t="shared" ref="G58:G68" si="1">(D58*E58)+(D58*F58)</f>
        <v>0</v>
      </c>
    </row>
    <row r="59" spans="1:9" s="26" customFormat="1" ht="48.75" customHeight="1">
      <c r="A59" s="81"/>
      <c r="B59" s="97" t="s">
        <v>61</v>
      </c>
      <c r="C59" s="95" t="s">
        <v>44</v>
      </c>
      <c r="D59" s="121">
        <v>280</v>
      </c>
      <c r="E59" s="85"/>
      <c r="F59" s="98"/>
      <c r="G59" s="99">
        <f t="shared" si="1"/>
        <v>0</v>
      </c>
      <c r="I59" s="26">
        <f>20.4*13.675</f>
        <v>278.96999999999997</v>
      </c>
    </row>
    <row r="60" spans="1:9" s="26" customFormat="1">
      <c r="A60" s="81"/>
      <c r="B60" s="97"/>
      <c r="C60" s="95"/>
      <c r="D60" s="121"/>
      <c r="E60" s="85"/>
      <c r="F60" s="98"/>
      <c r="G60" s="99">
        <f t="shared" si="1"/>
        <v>0</v>
      </c>
    </row>
    <row r="61" spans="1:9" s="26" customFormat="1">
      <c r="A61" s="81" t="s">
        <v>16</v>
      </c>
      <c r="B61" s="122" t="s">
        <v>42</v>
      </c>
      <c r="C61" s="95"/>
      <c r="D61" s="123"/>
      <c r="E61" s="85"/>
      <c r="F61" s="98"/>
      <c r="G61" s="99">
        <f t="shared" si="1"/>
        <v>0</v>
      </c>
    </row>
    <row r="62" spans="1:9" s="26" customFormat="1" ht="51" customHeight="1">
      <c r="A62" s="81"/>
      <c r="B62" s="124" t="s">
        <v>43</v>
      </c>
      <c r="C62" s="95" t="s">
        <v>44</v>
      </c>
      <c r="D62" s="123"/>
      <c r="E62" s="85"/>
      <c r="F62" s="98"/>
      <c r="G62" s="99">
        <f t="shared" si="1"/>
        <v>0</v>
      </c>
      <c r="I62" s="26">
        <f>16.336*8.75</f>
        <v>142.94</v>
      </c>
    </row>
    <row r="63" spans="1:9" s="26" customFormat="1">
      <c r="A63" s="81"/>
      <c r="B63" s="125"/>
      <c r="C63" s="95"/>
      <c r="D63" s="96"/>
      <c r="E63" s="85"/>
      <c r="F63" s="98"/>
      <c r="G63" s="99">
        <f t="shared" si="1"/>
        <v>0</v>
      </c>
    </row>
    <row r="64" spans="1:9" s="26" customFormat="1">
      <c r="A64" s="81" t="s">
        <v>48</v>
      </c>
      <c r="B64" s="126" t="s">
        <v>45</v>
      </c>
      <c r="C64" s="95"/>
      <c r="D64" s="96"/>
      <c r="E64" s="85"/>
      <c r="F64" s="98"/>
      <c r="G64" s="99">
        <f t="shared" si="1"/>
        <v>0</v>
      </c>
    </row>
    <row r="65" spans="1:18" s="26" customFormat="1" ht="53.25" customHeight="1">
      <c r="A65" s="113"/>
      <c r="B65" s="127" t="s">
        <v>46</v>
      </c>
      <c r="C65" s="127"/>
      <c r="D65" s="127"/>
      <c r="E65" s="127"/>
      <c r="F65" s="98"/>
      <c r="G65" s="99">
        <f t="shared" si="1"/>
        <v>0</v>
      </c>
      <c r="I65" s="26">
        <f>1.35*1.35*7</f>
        <v>12.757500000000002</v>
      </c>
      <c r="J65" s="26">
        <f>1.45*1.45*4</f>
        <v>8.41</v>
      </c>
      <c r="K65" s="26">
        <f>1.75*1.75*7</f>
        <v>21.4375</v>
      </c>
      <c r="L65" s="26">
        <f>1.65*1.65*5</f>
        <v>13.612499999999999</v>
      </c>
      <c r="M65" s="26">
        <f>1.85*1.85*4</f>
        <v>13.690000000000001</v>
      </c>
      <c r="N65" s="26">
        <f>2.5*2.5*2</f>
        <v>12.5</v>
      </c>
      <c r="O65" s="26">
        <f>2.65*2.65*2</f>
        <v>14.045</v>
      </c>
      <c r="P65" s="26">
        <f>1.1*1.1*2</f>
        <v>2.4200000000000004</v>
      </c>
      <c r="Q65" s="26">
        <f>SUM(I65:P65)</f>
        <v>98.872500000000002</v>
      </c>
      <c r="R65" s="26">
        <f>Q65*1.55</f>
        <v>153.252375</v>
      </c>
    </row>
    <row r="66" spans="1:18" s="26" customFormat="1" ht="12.75" customHeight="1">
      <c r="A66" s="81" t="s">
        <v>50</v>
      </c>
      <c r="B66" s="128" t="s">
        <v>45</v>
      </c>
      <c r="C66" s="95"/>
      <c r="D66" s="96"/>
      <c r="E66" s="85"/>
      <c r="F66" s="98"/>
      <c r="G66" s="99">
        <f t="shared" si="1"/>
        <v>0</v>
      </c>
      <c r="I66" s="26">
        <f>1.9*2+1.8*2+1.85*4+1.375*2+4.2*3+1.85*2+1.7*6+2.275*2+2.15*6+2.92*2+2.981*2+0.712*4+1.025*2</f>
        <v>78.199999999999989</v>
      </c>
      <c r="J66" s="57">
        <f>I66*0.55*1.25</f>
        <v>53.762499999999996</v>
      </c>
      <c r="K66" s="23">
        <f>2.395*8</f>
        <v>19.16</v>
      </c>
      <c r="L66" s="23">
        <f>K66*0.55*1.25</f>
        <v>13.172499999999999</v>
      </c>
      <c r="M66" s="23">
        <f>L66+J66+R65</f>
        <v>220.187375</v>
      </c>
    </row>
    <row r="67" spans="1:18" s="23" customFormat="1" ht="15">
      <c r="A67" s="129" t="s">
        <v>7</v>
      </c>
      <c r="B67" s="130" t="s">
        <v>230</v>
      </c>
      <c r="C67" s="95" t="s">
        <v>47</v>
      </c>
      <c r="D67" s="96">
        <v>220.2</v>
      </c>
      <c r="E67" s="85"/>
      <c r="F67" s="131"/>
      <c r="G67" s="132">
        <f t="shared" si="1"/>
        <v>0</v>
      </c>
      <c r="J67" s="57"/>
    </row>
    <row r="68" spans="1:18" s="26" customFormat="1">
      <c r="A68" s="81"/>
      <c r="B68" s="133"/>
      <c r="C68" s="95"/>
      <c r="D68" s="96"/>
      <c r="E68" s="85"/>
      <c r="F68" s="86"/>
      <c r="G68" s="99">
        <f t="shared" si="1"/>
        <v>0</v>
      </c>
    </row>
    <row r="69" spans="1:18" s="26" customFormat="1">
      <c r="A69" s="81" t="s">
        <v>48</v>
      </c>
      <c r="B69" s="134" t="s">
        <v>49</v>
      </c>
      <c r="C69" s="95"/>
      <c r="D69" s="96"/>
      <c r="E69" s="85"/>
      <c r="F69" s="86"/>
      <c r="G69" s="87"/>
    </row>
    <row r="70" spans="1:18" s="26" customFormat="1" ht="25.5" customHeight="1">
      <c r="A70" s="81"/>
      <c r="B70" s="135" t="s">
        <v>263</v>
      </c>
      <c r="C70" s="136"/>
      <c r="D70" s="136"/>
      <c r="E70" s="136"/>
      <c r="F70" s="86"/>
      <c r="G70" s="87"/>
    </row>
    <row r="71" spans="1:18" s="26" customFormat="1" ht="25.5" customHeight="1">
      <c r="A71" s="81"/>
      <c r="B71" s="107" t="s">
        <v>264</v>
      </c>
      <c r="C71" s="137"/>
      <c r="D71" s="137"/>
      <c r="E71" s="137"/>
      <c r="F71" s="86"/>
      <c r="G71" s="87"/>
    </row>
    <row r="72" spans="1:18" s="26" customFormat="1" ht="24">
      <c r="A72" s="81" t="s">
        <v>177</v>
      </c>
      <c r="B72" s="138" t="s">
        <v>299</v>
      </c>
      <c r="C72" s="95" t="s">
        <v>44</v>
      </c>
      <c r="D72" s="121">
        <v>285.74</v>
      </c>
      <c r="E72" s="85"/>
      <c r="F72" s="98"/>
      <c r="G72" s="99">
        <f t="shared" ref="G72:G77" si="2">(D72*E72)+(D72*F72)</f>
        <v>0</v>
      </c>
      <c r="I72" s="26">
        <f>19.2*10.75</f>
        <v>206.4</v>
      </c>
    </row>
    <row r="73" spans="1:18" s="26" customFormat="1" ht="38.25" customHeight="1">
      <c r="A73" s="81" t="s">
        <v>178</v>
      </c>
      <c r="B73" s="138" t="s">
        <v>300</v>
      </c>
      <c r="C73" s="95" t="s">
        <v>44</v>
      </c>
      <c r="D73" s="121">
        <f>D72</f>
        <v>285.74</v>
      </c>
      <c r="E73" s="85"/>
      <c r="F73" s="98"/>
      <c r="G73" s="99">
        <f t="shared" si="2"/>
        <v>0</v>
      </c>
    </row>
    <row r="74" spans="1:18" s="26" customFormat="1">
      <c r="A74" s="81">
        <v>2.5</v>
      </c>
      <c r="B74" s="126" t="s">
        <v>51</v>
      </c>
      <c r="C74" s="95"/>
      <c r="D74" s="96"/>
      <c r="E74" s="85"/>
      <c r="F74" s="98"/>
      <c r="G74" s="99">
        <f t="shared" si="2"/>
        <v>0</v>
      </c>
    </row>
    <row r="75" spans="1:18" s="26" customFormat="1" ht="27" customHeight="1">
      <c r="A75" s="81"/>
      <c r="B75" s="139" t="s">
        <v>52</v>
      </c>
      <c r="C75" s="95"/>
      <c r="D75" s="96"/>
      <c r="E75" s="85"/>
      <c r="F75" s="98"/>
      <c r="G75" s="99">
        <f t="shared" si="2"/>
        <v>0</v>
      </c>
    </row>
    <row r="76" spans="1:18" s="26" customFormat="1" ht="24">
      <c r="A76" s="81" t="s">
        <v>177</v>
      </c>
      <c r="B76" s="139" t="s">
        <v>53</v>
      </c>
      <c r="C76" s="95" t="s">
        <v>44</v>
      </c>
      <c r="D76" s="96">
        <f>D95+D72</f>
        <v>438.19</v>
      </c>
      <c r="E76" s="85"/>
      <c r="F76" s="98"/>
      <c r="G76" s="99">
        <f t="shared" si="2"/>
        <v>0</v>
      </c>
      <c r="I76" s="28"/>
      <c r="J76" s="28"/>
    </row>
    <row r="77" spans="1:18" s="26" customFormat="1">
      <c r="A77" s="81"/>
      <c r="B77" s="139"/>
      <c r="C77" s="95"/>
      <c r="D77" s="96"/>
      <c r="E77" s="85"/>
      <c r="F77" s="86"/>
      <c r="G77" s="99">
        <f t="shared" si="2"/>
        <v>0</v>
      </c>
      <c r="I77" s="28"/>
    </row>
    <row r="78" spans="1:18" s="26" customFormat="1">
      <c r="A78" s="81"/>
      <c r="B78" s="139"/>
      <c r="C78" s="95"/>
      <c r="D78" s="96"/>
      <c r="E78" s="85"/>
      <c r="F78" s="86"/>
      <c r="G78" s="87"/>
    </row>
    <row r="79" spans="1:18" s="26" customFormat="1">
      <c r="A79" s="81"/>
      <c r="B79" s="139"/>
      <c r="C79" s="95"/>
      <c r="D79" s="96"/>
      <c r="E79" s="85"/>
      <c r="F79" s="86"/>
      <c r="G79" s="87"/>
    </row>
    <row r="80" spans="1:18" s="26" customFormat="1">
      <c r="A80" s="81"/>
      <c r="B80" s="139"/>
      <c r="C80" s="95"/>
      <c r="D80" s="96"/>
      <c r="E80" s="85"/>
      <c r="F80" s="86"/>
      <c r="G80" s="87"/>
    </row>
    <row r="81" spans="1:18" s="26" customFormat="1">
      <c r="A81" s="81"/>
      <c r="B81" s="139"/>
      <c r="C81" s="95"/>
      <c r="D81" s="96"/>
      <c r="E81" s="85"/>
      <c r="F81" s="86"/>
      <c r="G81" s="87"/>
    </row>
    <row r="82" spans="1:18" s="26" customFormat="1">
      <c r="A82" s="81"/>
      <c r="B82" s="139"/>
      <c r="C82" s="95"/>
      <c r="D82" s="96"/>
      <c r="E82" s="85"/>
      <c r="F82" s="86"/>
      <c r="G82" s="87"/>
    </row>
    <row r="83" spans="1:18" s="26" customFormat="1">
      <c r="A83" s="81"/>
      <c r="B83" s="139"/>
      <c r="C83" s="95"/>
      <c r="D83" s="96"/>
      <c r="E83" s="85"/>
      <c r="F83" s="86"/>
      <c r="G83" s="87"/>
    </row>
    <row r="84" spans="1:18" s="26" customFormat="1">
      <c r="A84" s="81"/>
      <c r="B84" s="139"/>
      <c r="C84" s="95"/>
      <c r="D84" s="96"/>
      <c r="E84" s="85"/>
      <c r="F84" s="86"/>
      <c r="G84" s="87"/>
    </row>
    <row r="85" spans="1:18" s="26" customFormat="1" ht="12.75" thickBot="1">
      <c r="A85" s="81"/>
      <c r="B85" s="139"/>
      <c r="C85" s="95"/>
      <c r="D85" s="96"/>
      <c r="E85" s="85"/>
      <c r="F85" s="86"/>
      <c r="G85" s="87"/>
    </row>
    <row r="86" spans="1:18" s="26" customFormat="1">
      <c r="A86" s="67"/>
      <c r="B86" s="68" t="s">
        <v>54</v>
      </c>
      <c r="C86" s="69"/>
      <c r="D86" s="70"/>
      <c r="E86" s="71"/>
      <c r="F86" s="359"/>
      <c r="G86" s="357"/>
    </row>
    <row r="87" spans="1:18" s="26" customFormat="1" ht="12.75" thickBot="1">
      <c r="A87" s="74"/>
      <c r="B87" s="75" t="s">
        <v>55</v>
      </c>
      <c r="C87" s="76"/>
      <c r="D87" s="77"/>
      <c r="E87" s="78"/>
      <c r="F87" s="360"/>
      <c r="G87" s="358">
        <f>SUM(G59:G86)</f>
        <v>0</v>
      </c>
    </row>
    <row r="88" spans="1:18" s="26" customFormat="1">
      <c r="A88" s="81"/>
      <c r="B88" s="88" t="s">
        <v>56</v>
      </c>
      <c r="C88" s="95"/>
      <c r="D88" s="96"/>
      <c r="E88" s="85"/>
      <c r="F88" s="86"/>
      <c r="G88" s="87"/>
    </row>
    <row r="89" spans="1:18" s="26" customFormat="1">
      <c r="A89" s="81" t="s">
        <v>57</v>
      </c>
      <c r="B89" s="140" t="s">
        <v>58</v>
      </c>
      <c r="C89" s="95"/>
      <c r="D89" s="96"/>
      <c r="E89" s="85"/>
      <c r="F89" s="86"/>
      <c r="G89" s="87"/>
    </row>
    <row r="90" spans="1:18" s="26" customFormat="1" ht="39.75" customHeight="1">
      <c r="A90" s="81"/>
      <c r="B90" s="444" t="s">
        <v>242</v>
      </c>
      <c r="C90" s="444"/>
      <c r="D90" s="444"/>
      <c r="E90" s="444"/>
      <c r="F90" s="136"/>
      <c r="G90" s="141"/>
    </row>
    <row r="91" spans="1:18" s="26" customFormat="1" ht="26.25" customHeight="1">
      <c r="A91" s="81"/>
      <c r="B91" s="444" t="s">
        <v>462</v>
      </c>
      <c r="C91" s="444"/>
      <c r="D91" s="444"/>
      <c r="E91" s="444"/>
      <c r="F91" s="136"/>
      <c r="G91" s="141"/>
    </row>
    <row r="92" spans="1:18" s="26" customFormat="1" ht="24" customHeight="1">
      <c r="A92" s="81"/>
      <c r="B92" s="444" t="s">
        <v>461</v>
      </c>
      <c r="C92" s="444"/>
      <c r="D92" s="444"/>
      <c r="E92" s="444"/>
      <c r="F92" s="136"/>
      <c r="G92" s="141"/>
    </row>
    <row r="93" spans="1:18" s="26" customFormat="1" ht="15" customHeight="1">
      <c r="A93" s="142" t="s">
        <v>62</v>
      </c>
      <c r="B93" s="143" t="s">
        <v>63</v>
      </c>
      <c r="C93" s="144"/>
      <c r="D93" s="145"/>
      <c r="E93" s="146"/>
      <c r="F93" s="147"/>
      <c r="G93" s="148"/>
    </row>
    <row r="94" spans="1:18" s="59" customFormat="1" ht="14.25" customHeight="1">
      <c r="A94" s="103"/>
      <c r="B94" s="126" t="s">
        <v>280</v>
      </c>
      <c r="C94" s="105"/>
      <c r="D94" s="106"/>
      <c r="E94" s="149"/>
      <c r="F94" s="150"/>
      <c r="G94" s="151"/>
      <c r="I94" s="26">
        <f>1.35*1.35*7</f>
        <v>12.757500000000002</v>
      </c>
      <c r="J94" s="26">
        <f>1.45*1.45*4</f>
        <v>8.41</v>
      </c>
      <c r="K94" s="26">
        <f>1.75*1.75*7</f>
        <v>21.4375</v>
      </c>
      <c r="L94" s="26">
        <f>1.65*1.65*5</f>
        <v>13.612499999999999</v>
      </c>
      <c r="M94" s="26">
        <f>1.85*1.85*4</f>
        <v>13.690000000000001</v>
      </c>
      <c r="N94" s="26">
        <f>2.5*2.5*2</f>
        <v>12.5</v>
      </c>
      <c r="O94" s="26">
        <f>2.65*2.65*2</f>
        <v>14.045</v>
      </c>
      <c r="P94" s="26">
        <f>1.1*1.1*2</f>
        <v>2.4200000000000004</v>
      </c>
      <c r="Q94" s="26">
        <f>SUM(I94:P94)</f>
        <v>98.872500000000002</v>
      </c>
      <c r="R94" s="26">
        <f>Q94</f>
        <v>98.872500000000002</v>
      </c>
    </row>
    <row r="95" spans="1:18" s="26" customFormat="1" ht="12" customHeight="1">
      <c r="A95" s="81"/>
      <c r="B95" s="133" t="s">
        <v>294</v>
      </c>
      <c r="C95" s="95" t="s">
        <v>44</v>
      </c>
      <c r="D95" s="96">
        <v>152.44999999999999</v>
      </c>
      <c r="E95" s="85"/>
      <c r="F95" s="98"/>
      <c r="G95" s="99">
        <f t="shared" ref="G95" si="3">(D95*E95)+(D95*F95)</f>
        <v>0</v>
      </c>
      <c r="I95" s="26">
        <f>1.9*2+1.8*2+1.85*4+1.375*2+4.2*3+1.85*2+1.7*6+2.275*2+2.15*6+2.92*2+2.981*2+0.712*4+1.025*2</f>
        <v>78.199999999999989</v>
      </c>
      <c r="J95" s="57">
        <f>I95*0.55</f>
        <v>43.01</v>
      </c>
      <c r="K95" s="23">
        <f>2.395*8</f>
        <v>19.16</v>
      </c>
      <c r="L95" s="23">
        <f>K95*0.55</f>
        <v>10.538</v>
      </c>
      <c r="M95" s="23">
        <f>L95+J95+R94</f>
        <v>152.4205</v>
      </c>
    </row>
    <row r="96" spans="1:18" s="26" customFormat="1" ht="15" customHeight="1">
      <c r="A96" s="152" t="s">
        <v>68</v>
      </c>
      <c r="B96" s="153" t="s">
        <v>13</v>
      </c>
      <c r="C96" s="154"/>
      <c r="D96" s="145"/>
      <c r="E96" s="146"/>
      <c r="F96" s="147"/>
      <c r="G96" s="148"/>
    </row>
    <row r="97" spans="1:17">
      <c r="A97" s="155" t="s">
        <v>161</v>
      </c>
      <c r="B97" s="156" t="s">
        <v>64</v>
      </c>
      <c r="C97" s="157"/>
      <c r="D97" s="158"/>
      <c r="E97" s="159"/>
      <c r="F97" s="160"/>
      <c r="G97" s="161"/>
    </row>
    <row r="98" spans="1:17">
      <c r="A98" s="81"/>
      <c r="B98" s="133" t="s">
        <v>438</v>
      </c>
      <c r="C98" s="95" t="s">
        <v>47</v>
      </c>
      <c r="D98" s="96">
        <v>20.54</v>
      </c>
      <c r="E98" s="85"/>
      <c r="F98" s="98"/>
      <c r="G98" s="99">
        <f t="shared" ref="G98" si="4">(D98*E98)+(D98*F98)</f>
        <v>0</v>
      </c>
      <c r="I98" s="33">
        <f>1.05*1.05*0.3*7</f>
        <v>2.3152499999999998</v>
      </c>
      <c r="J98" s="28">
        <f>1.15*1.15*0.3*4</f>
        <v>1.5869999999999997</v>
      </c>
      <c r="K98" s="26">
        <f>1.45*1.45*0.3*7</f>
        <v>4.4152500000000003</v>
      </c>
      <c r="L98" s="60">
        <f>1.35*1.35*0.3*5</f>
        <v>2.7337500000000006</v>
      </c>
      <c r="M98" s="26">
        <f>1.55*1.55*0.3*4</f>
        <v>2.8830000000000005</v>
      </c>
      <c r="N98" s="60">
        <f>2.2*2.2*0.3*2</f>
        <v>2.9040000000000004</v>
      </c>
      <c r="O98" s="22">
        <f>2.35*2.35*0.3*2</f>
        <v>3.3135000000000003</v>
      </c>
      <c r="P98" s="22">
        <f>0.8*0.8*0.3*2</f>
        <v>0.38400000000000006</v>
      </c>
      <c r="Q98" s="33">
        <f>SUM(I98:P98)</f>
        <v>20.535750000000004</v>
      </c>
    </row>
    <row r="99" spans="1:17">
      <c r="A99" s="81"/>
      <c r="B99" s="133" t="s">
        <v>302</v>
      </c>
      <c r="C99" s="95" t="s">
        <v>47</v>
      </c>
      <c r="D99" s="96">
        <v>10.91</v>
      </c>
      <c r="E99" s="85"/>
      <c r="F99" s="98"/>
      <c r="G99" s="99">
        <f t="shared" ref="G99:G100" si="5">(D99*E99)+(D99*F99)</f>
        <v>0</v>
      </c>
      <c r="I99" s="33">
        <f>25.8*3+3.97*2+4.055*2+1.75*2</f>
        <v>96.95</v>
      </c>
      <c r="J99" s="28">
        <f>I99*0.25*0.45</f>
        <v>10.906875000000001</v>
      </c>
      <c r="K99" s="28"/>
      <c r="L99" s="60"/>
      <c r="M99" s="26"/>
      <c r="N99" s="60"/>
    </row>
    <row r="100" spans="1:17">
      <c r="A100" s="81"/>
      <c r="B100" s="133" t="s">
        <v>303</v>
      </c>
      <c r="C100" s="95" t="s">
        <v>47</v>
      </c>
      <c r="D100" s="96">
        <v>7.3</v>
      </c>
      <c r="E100" s="85"/>
      <c r="F100" s="98"/>
      <c r="G100" s="99">
        <f t="shared" si="5"/>
        <v>0</v>
      </c>
      <c r="I100" s="33">
        <f>3.97*4+4.055*4+1.75*4+25.8</f>
        <v>64.900000000000006</v>
      </c>
      <c r="J100" s="28">
        <f>I100*0.25*0.45</f>
        <v>7.3012500000000005</v>
      </c>
      <c r="K100" s="28"/>
      <c r="L100" s="60"/>
      <c r="M100" s="26"/>
      <c r="N100" s="60"/>
    </row>
    <row r="101" spans="1:17">
      <c r="A101" s="162"/>
      <c r="B101" s="163"/>
      <c r="C101" s="164"/>
      <c r="D101" s="119"/>
      <c r="E101" s="85"/>
      <c r="F101" s="98"/>
      <c r="G101" s="99"/>
    </row>
    <row r="102" spans="1:17">
      <c r="A102" s="155" t="s">
        <v>162</v>
      </c>
      <c r="B102" s="156" t="s">
        <v>67</v>
      </c>
      <c r="C102" s="157"/>
      <c r="D102" s="158"/>
      <c r="E102" s="159"/>
      <c r="F102" s="160"/>
      <c r="G102" s="161"/>
    </row>
    <row r="103" spans="1:17">
      <c r="A103" s="165" t="s">
        <v>166</v>
      </c>
      <c r="B103" s="166" t="s">
        <v>185</v>
      </c>
      <c r="C103" s="167"/>
      <c r="D103" s="168"/>
      <c r="E103" s="169"/>
      <c r="F103" s="170"/>
      <c r="G103" s="171"/>
    </row>
    <row r="104" spans="1:17" ht="13.5">
      <c r="A104" s="162"/>
      <c r="B104" s="163" t="s">
        <v>439</v>
      </c>
      <c r="C104" s="164" t="s">
        <v>151</v>
      </c>
      <c r="D104" s="119">
        <v>5.24</v>
      </c>
      <c r="E104" s="85"/>
      <c r="F104" s="98"/>
      <c r="G104" s="99">
        <f t="shared" ref="G104:G106" si="6">(D104*E104)+(D104*F104)</f>
        <v>0</v>
      </c>
      <c r="I104" s="22">
        <f>0.2*0.2*4.515*29</f>
        <v>5.2374000000000001</v>
      </c>
    </row>
    <row r="105" spans="1:17" ht="13.5">
      <c r="A105" s="162"/>
      <c r="B105" s="163" t="s">
        <v>440</v>
      </c>
      <c r="C105" s="164" t="s">
        <v>151</v>
      </c>
      <c r="D105" s="119">
        <v>1.45</v>
      </c>
      <c r="E105" s="85"/>
      <c r="F105" s="98"/>
      <c r="G105" s="99">
        <f t="shared" si="6"/>
        <v>0</v>
      </c>
      <c r="I105" s="22">
        <f>0.4*0.2*4.515*4</f>
        <v>1.4448000000000001</v>
      </c>
    </row>
    <row r="106" spans="1:17" ht="13.5">
      <c r="A106" s="162"/>
      <c r="B106" s="163" t="s">
        <v>441</v>
      </c>
      <c r="C106" s="164" t="s">
        <v>151</v>
      </c>
      <c r="D106" s="119">
        <v>0.55000000000000004</v>
      </c>
      <c r="E106" s="85"/>
      <c r="F106" s="98"/>
      <c r="G106" s="99">
        <f t="shared" si="6"/>
        <v>0</v>
      </c>
      <c r="I106" s="22">
        <f>0.15*0.15*4.065*6</f>
        <v>0.54877500000000001</v>
      </c>
    </row>
    <row r="107" spans="1:17">
      <c r="A107" s="165" t="s">
        <v>10</v>
      </c>
      <c r="B107" s="166" t="s">
        <v>212</v>
      </c>
      <c r="C107" s="167"/>
      <c r="D107" s="168"/>
      <c r="E107" s="169"/>
      <c r="F107" s="98"/>
      <c r="G107" s="99">
        <f t="shared" ref="G107:G108" si="7">(D107*E107)+(D107*F107)</f>
        <v>0</v>
      </c>
    </row>
    <row r="108" spans="1:17" ht="13.5">
      <c r="A108" s="162"/>
      <c r="B108" s="163" t="s">
        <v>305</v>
      </c>
      <c r="C108" s="164" t="s">
        <v>151</v>
      </c>
      <c r="D108" s="119">
        <v>3.1</v>
      </c>
      <c r="E108" s="85"/>
      <c r="F108" s="98"/>
      <c r="G108" s="99">
        <f t="shared" si="7"/>
        <v>0</v>
      </c>
    </row>
    <row r="109" spans="1:17">
      <c r="A109" s="165" t="s">
        <v>16</v>
      </c>
      <c r="B109" s="166" t="s">
        <v>445</v>
      </c>
      <c r="C109" s="167"/>
      <c r="D109" s="168"/>
      <c r="E109" s="169"/>
      <c r="F109" s="98"/>
      <c r="G109" s="99">
        <f t="shared" ref="G109:G112" si="8">(D109*E109)+(D109*F109)</f>
        <v>0</v>
      </c>
    </row>
    <row r="110" spans="1:17" ht="13.5">
      <c r="A110" s="162"/>
      <c r="B110" s="163" t="s">
        <v>308</v>
      </c>
      <c r="C110" s="164" t="s">
        <v>151</v>
      </c>
      <c r="D110" s="119">
        <v>0.43</v>
      </c>
      <c r="E110" s="85"/>
      <c r="F110" s="98"/>
      <c r="G110" s="99">
        <f t="shared" si="8"/>
        <v>0</v>
      </c>
      <c r="I110" s="22">
        <f>4.02+3</f>
        <v>7.02</v>
      </c>
      <c r="J110" s="22">
        <f>I110*0.2*0.3</f>
        <v>0.42119999999999996</v>
      </c>
    </row>
    <row r="111" spans="1:17" ht="13.5">
      <c r="A111" s="162"/>
      <c r="B111" s="163" t="s">
        <v>309</v>
      </c>
      <c r="C111" s="164" t="s">
        <v>151</v>
      </c>
      <c r="D111" s="119">
        <v>0.25</v>
      </c>
      <c r="E111" s="85"/>
      <c r="F111" s="98"/>
      <c r="G111" s="99">
        <f t="shared" si="8"/>
        <v>0</v>
      </c>
      <c r="I111" s="22">
        <f>4.02</f>
        <v>4.0199999999999996</v>
      </c>
      <c r="J111" s="22">
        <f t="shared" ref="J111" si="9">I111*0.2*0.3</f>
        <v>0.24119999999999997</v>
      </c>
    </row>
    <row r="112" spans="1:17" ht="13.5">
      <c r="A112" s="162"/>
      <c r="B112" s="163" t="s">
        <v>312</v>
      </c>
      <c r="C112" s="164" t="s">
        <v>151</v>
      </c>
      <c r="D112" s="119">
        <v>0.24</v>
      </c>
      <c r="E112" s="85"/>
      <c r="F112" s="98"/>
      <c r="G112" s="99">
        <f t="shared" si="8"/>
        <v>0</v>
      </c>
      <c r="I112" s="22">
        <f>3</f>
        <v>3</v>
      </c>
      <c r="J112" s="22">
        <f>I112*0.2*0.4</f>
        <v>0.24000000000000005</v>
      </c>
    </row>
    <row r="113" spans="1:12">
      <c r="A113" s="165" t="s">
        <v>48</v>
      </c>
      <c r="B113" s="166" t="s">
        <v>447</v>
      </c>
      <c r="C113" s="167"/>
      <c r="D113" s="168"/>
      <c r="E113" s="169"/>
      <c r="F113" s="98"/>
      <c r="G113" s="99">
        <f t="shared" ref="G113:G114" si="10">(D113*E113)+(D113*F113)</f>
        <v>0</v>
      </c>
    </row>
    <row r="114" spans="1:12" ht="13.5">
      <c r="A114" s="162"/>
      <c r="B114" s="163" t="s">
        <v>448</v>
      </c>
      <c r="C114" s="164" t="s">
        <v>151</v>
      </c>
      <c r="D114" s="119">
        <v>3.05</v>
      </c>
      <c r="E114" s="85"/>
      <c r="F114" s="98"/>
      <c r="G114" s="99">
        <f t="shared" si="10"/>
        <v>0</v>
      </c>
      <c r="I114" s="22">
        <f>5.925*3.4</f>
        <v>20.145</v>
      </c>
      <c r="J114" s="22">
        <f>I114*0.15</f>
        <v>3.0217499999999999</v>
      </c>
    </row>
    <row r="115" spans="1:12">
      <c r="A115" s="165" t="s">
        <v>446</v>
      </c>
      <c r="B115" s="166" t="s">
        <v>215</v>
      </c>
      <c r="C115" s="167"/>
      <c r="D115" s="168"/>
      <c r="E115" s="169"/>
      <c r="F115" s="98"/>
      <c r="G115" s="99">
        <f t="shared" ref="G115:G116" si="11">(D115*E115)+(D115*F115)</f>
        <v>0</v>
      </c>
    </row>
    <row r="116" spans="1:12" ht="13.5">
      <c r="A116" s="162"/>
      <c r="B116" s="163" t="s">
        <v>304</v>
      </c>
      <c r="C116" s="164" t="s">
        <v>151</v>
      </c>
      <c r="D116" s="119">
        <v>29.35</v>
      </c>
      <c r="E116" s="85"/>
      <c r="F116" s="98"/>
      <c r="G116" s="99">
        <f t="shared" si="11"/>
        <v>0</v>
      </c>
      <c r="I116" s="22">
        <v>285.73500000000001</v>
      </c>
      <c r="J116" s="22">
        <f>25.8*0.15*2</f>
        <v>7.74</v>
      </c>
      <c r="K116" s="22">
        <f>SUM(I116:J116)</f>
        <v>293.47500000000002</v>
      </c>
      <c r="L116" s="22">
        <f>K116*0.1</f>
        <v>29.347500000000004</v>
      </c>
    </row>
    <row r="117" spans="1:12">
      <c r="A117" s="162"/>
      <c r="B117" s="163"/>
      <c r="C117" s="164"/>
      <c r="D117" s="119"/>
      <c r="E117" s="85"/>
      <c r="F117" s="98"/>
      <c r="G117" s="99"/>
    </row>
    <row r="118" spans="1:12">
      <c r="A118" s="155" t="s">
        <v>57</v>
      </c>
      <c r="B118" s="156" t="s">
        <v>69</v>
      </c>
      <c r="C118" s="157"/>
      <c r="D118" s="158"/>
      <c r="E118" s="159"/>
      <c r="F118" s="160"/>
      <c r="G118" s="161"/>
    </row>
    <row r="119" spans="1:12">
      <c r="A119" s="165" t="s">
        <v>167</v>
      </c>
      <c r="B119" s="166" t="s">
        <v>306</v>
      </c>
      <c r="C119" s="167"/>
      <c r="D119" s="168"/>
      <c r="E119" s="169"/>
      <c r="F119" s="170"/>
      <c r="G119" s="171"/>
    </row>
    <row r="120" spans="1:12" ht="13.5">
      <c r="A120" s="162"/>
      <c r="B120" s="163" t="s">
        <v>308</v>
      </c>
      <c r="C120" s="164" t="s">
        <v>151</v>
      </c>
      <c r="D120" s="119">
        <v>2.74</v>
      </c>
      <c r="E120" s="85"/>
      <c r="F120" s="98"/>
      <c r="G120" s="99">
        <f t="shared" ref="G120:G122" si="12">(D120*E120)+(D120*F120)</f>
        <v>0</v>
      </c>
      <c r="I120" s="22">
        <f>21*2+1.8*2</f>
        <v>45.6</v>
      </c>
      <c r="J120" s="22">
        <f>I120*0.2*0.3</f>
        <v>2.7360000000000002</v>
      </c>
    </row>
    <row r="121" spans="1:12" ht="13.5">
      <c r="A121" s="162"/>
      <c r="B121" s="163" t="s">
        <v>309</v>
      </c>
      <c r="C121" s="164" t="s">
        <v>151</v>
      </c>
      <c r="D121" s="119">
        <v>0.97199999999999998</v>
      </c>
      <c r="E121" s="85"/>
      <c r="F121" s="98"/>
      <c r="G121" s="99">
        <f t="shared" si="12"/>
        <v>0</v>
      </c>
      <c r="I121" s="22">
        <f>4.02*2+4.08*2</f>
        <v>16.2</v>
      </c>
      <c r="J121" s="22">
        <f t="shared" ref="J121:J123" si="13">I121*0.2*0.3</f>
        <v>0.97199999999999998</v>
      </c>
    </row>
    <row r="122" spans="1:12" ht="13.5">
      <c r="A122" s="162"/>
      <c r="B122" s="163" t="s">
        <v>310</v>
      </c>
      <c r="C122" s="164" t="s">
        <v>151</v>
      </c>
      <c r="D122" s="119">
        <v>1.458</v>
      </c>
      <c r="E122" s="85"/>
      <c r="F122" s="98"/>
      <c r="G122" s="99">
        <f t="shared" si="12"/>
        <v>0</v>
      </c>
      <c r="I122" s="22">
        <f>4.02*3+4.08*3</f>
        <v>24.299999999999997</v>
      </c>
      <c r="J122" s="22">
        <f t="shared" si="13"/>
        <v>1.4579999999999997</v>
      </c>
    </row>
    <row r="123" spans="1:12" ht="13.5">
      <c r="A123" s="162"/>
      <c r="B123" s="163" t="s">
        <v>311</v>
      </c>
      <c r="C123" s="164" t="s">
        <v>151</v>
      </c>
      <c r="D123" s="119">
        <v>1.26</v>
      </c>
      <c r="E123" s="85"/>
      <c r="F123" s="98"/>
      <c r="G123" s="99">
        <f t="shared" ref="G123:G127" si="14">(D123*E123)+(D123*F123)</f>
        <v>0</v>
      </c>
      <c r="I123" s="22">
        <v>21</v>
      </c>
      <c r="J123" s="22">
        <f t="shared" si="13"/>
        <v>1.26</v>
      </c>
    </row>
    <row r="124" spans="1:12" ht="13.5">
      <c r="A124" s="162"/>
      <c r="B124" s="163" t="s">
        <v>312</v>
      </c>
      <c r="C124" s="164" t="s">
        <v>151</v>
      </c>
      <c r="D124" s="119">
        <v>0.24</v>
      </c>
      <c r="E124" s="85"/>
      <c r="F124" s="98"/>
      <c r="G124" s="99">
        <f t="shared" si="14"/>
        <v>0</v>
      </c>
      <c r="I124" s="22">
        <v>3</v>
      </c>
      <c r="J124" s="22">
        <f>I124*0.2*0.4</f>
        <v>0.24000000000000005</v>
      </c>
    </row>
    <row r="125" spans="1:12" ht="13.5">
      <c r="A125" s="162"/>
      <c r="B125" s="163" t="s">
        <v>313</v>
      </c>
      <c r="C125" s="164" t="s">
        <v>151</v>
      </c>
      <c r="D125" s="119">
        <v>1.488</v>
      </c>
      <c r="E125" s="85"/>
      <c r="F125" s="98"/>
      <c r="G125" s="99">
        <f t="shared" si="14"/>
        <v>0</v>
      </c>
      <c r="I125" s="22">
        <f>6.2*3</f>
        <v>18.600000000000001</v>
      </c>
      <c r="J125" s="22">
        <f>I125*0.2*0.4</f>
        <v>1.4880000000000004</v>
      </c>
    </row>
    <row r="126" spans="1:12">
      <c r="A126" s="165" t="s">
        <v>68</v>
      </c>
      <c r="B126" s="166" t="s">
        <v>307</v>
      </c>
      <c r="C126" s="167"/>
      <c r="D126" s="168"/>
      <c r="E126" s="169"/>
      <c r="F126" s="98"/>
      <c r="G126" s="99">
        <f t="shared" si="14"/>
        <v>0</v>
      </c>
    </row>
    <row r="127" spans="1:12" ht="13.5">
      <c r="A127" s="162"/>
      <c r="B127" s="163" t="s">
        <v>314</v>
      </c>
      <c r="C127" s="164" t="s">
        <v>151</v>
      </c>
      <c r="D127" s="119">
        <v>37.33</v>
      </c>
      <c r="E127" s="85"/>
      <c r="F127" s="98"/>
      <c r="G127" s="99">
        <f t="shared" si="14"/>
        <v>0</v>
      </c>
      <c r="I127" s="22">
        <f>22.6*8.5</f>
        <v>192.10000000000002</v>
      </c>
      <c r="J127" s="22">
        <f>25.8*2.2</f>
        <v>56.760000000000005</v>
      </c>
      <c r="K127" s="22">
        <f>SUM(I127:J127)</f>
        <v>248.86</v>
      </c>
      <c r="L127" s="22">
        <f>K127*0.15</f>
        <v>37.329000000000001</v>
      </c>
    </row>
    <row r="128" spans="1:12">
      <c r="A128" s="165" t="s">
        <v>72</v>
      </c>
      <c r="B128" s="166" t="s">
        <v>185</v>
      </c>
      <c r="C128" s="167"/>
      <c r="D128" s="168"/>
      <c r="E128" s="169"/>
      <c r="F128" s="170"/>
      <c r="G128" s="171"/>
    </row>
    <row r="129" spans="1:10" ht="13.5">
      <c r="A129" s="162"/>
      <c r="B129" s="163" t="s">
        <v>442</v>
      </c>
      <c r="C129" s="164" t="s">
        <v>151</v>
      </c>
      <c r="D129" s="119">
        <v>4.0599999999999996</v>
      </c>
      <c r="E129" s="85"/>
      <c r="F129" s="98"/>
      <c r="G129" s="99">
        <f t="shared" ref="G129:G133" si="15">(D129*E129)+(D129*F129)</f>
        <v>0</v>
      </c>
      <c r="I129" s="22">
        <f>0.2*0.2*3.5*29</f>
        <v>4.0600000000000005</v>
      </c>
    </row>
    <row r="130" spans="1:10" ht="13.5">
      <c r="A130" s="162"/>
      <c r="B130" s="163" t="s">
        <v>443</v>
      </c>
      <c r="C130" s="164" t="s">
        <v>151</v>
      </c>
      <c r="D130" s="119">
        <v>1.1200000000000001</v>
      </c>
      <c r="E130" s="85"/>
      <c r="F130" s="98"/>
      <c r="G130" s="99">
        <f t="shared" si="15"/>
        <v>0</v>
      </c>
      <c r="I130" s="22">
        <f>0.4*0.2*3.5*4</f>
        <v>1.1200000000000001</v>
      </c>
    </row>
    <row r="131" spans="1:10" ht="13.5">
      <c r="A131" s="162"/>
      <c r="B131" s="163" t="s">
        <v>444</v>
      </c>
      <c r="C131" s="164" t="s">
        <v>151</v>
      </c>
      <c r="D131" s="119">
        <v>0.42</v>
      </c>
      <c r="E131" s="85"/>
      <c r="F131" s="98"/>
      <c r="G131" s="99">
        <f t="shared" si="15"/>
        <v>0</v>
      </c>
      <c r="I131" s="22">
        <f>0.15*0.15*3.05*6</f>
        <v>0.41174999999999995</v>
      </c>
    </row>
    <row r="132" spans="1:10">
      <c r="A132" s="165" t="s">
        <v>101</v>
      </c>
      <c r="B132" s="166" t="s">
        <v>212</v>
      </c>
      <c r="C132" s="167"/>
      <c r="D132" s="168"/>
      <c r="E132" s="169"/>
      <c r="F132" s="98"/>
      <c r="G132" s="99">
        <f t="shared" si="15"/>
        <v>0</v>
      </c>
    </row>
    <row r="133" spans="1:10" ht="13.5">
      <c r="A133" s="162"/>
      <c r="B133" s="163" t="s">
        <v>305</v>
      </c>
      <c r="C133" s="164" t="s">
        <v>151</v>
      </c>
      <c r="D133" s="119">
        <v>2.95</v>
      </c>
      <c r="E133" s="85"/>
      <c r="F133" s="98"/>
      <c r="G133" s="99">
        <f t="shared" si="15"/>
        <v>0</v>
      </c>
    </row>
    <row r="134" spans="1:10">
      <c r="A134" s="165" t="s">
        <v>449</v>
      </c>
      <c r="B134" s="166" t="s">
        <v>445</v>
      </c>
      <c r="C134" s="167"/>
      <c r="D134" s="168"/>
      <c r="E134" s="169"/>
      <c r="F134" s="98"/>
      <c r="G134" s="99">
        <f t="shared" ref="G134:G139" si="16">(D134*E134)+(D134*F134)</f>
        <v>0</v>
      </c>
    </row>
    <row r="135" spans="1:10" ht="13.5">
      <c r="A135" s="162"/>
      <c r="B135" s="163" t="s">
        <v>308</v>
      </c>
      <c r="C135" s="164" t="s">
        <v>151</v>
      </c>
      <c r="D135" s="119">
        <v>0.43</v>
      </c>
      <c r="E135" s="85"/>
      <c r="F135" s="98"/>
      <c r="G135" s="99">
        <f t="shared" si="16"/>
        <v>0</v>
      </c>
      <c r="I135" s="22">
        <f>4.02+3</f>
        <v>7.02</v>
      </c>
      <c r="J135" s="22">
        <f>I135*0.2*0.3</f>
        <v>0.42119999999999996</v>
      </c>
    </row>
    <row r="136" spans="1:10" ht="13.5">
      <c r="A136" s="162"/>
      <c r="B136" s="163" t="s">
        <v>309</v>
      </c>
      <c r="C136" s="164" t="s">
        <v>151</v>
      </c>
      <c r="D136" s="119">
        <v>0.25</v>
      </c>
      <c r="E136" s="85"/>
      <c r="F136" s="98"/>
      <c r="G136" s="99">
        <f t="shared" si="16"/>
        <v>0</v>
      </c>
      <c r="I136" s="22">
        <f>4.02</f>
        <v>4.0199999999999996</v>
      </c>
      <c r="J136" s="22">
        <f t="shared" ref="J136" si="17">I136*0.2*0.3</f>
        <v>0.24119999999999997</v>
      </c>
    </row>
    <row r="137" spans="1:10" ht="14.25" thickBot="1">
      <c r="A137" s="361"/>
      <c r="B137" s="362" t="s">
        <v>312</v>
      </c>
      <c r="C137" s="342" t="s">
        <v>151</v>
      </c>
      <c r="D137" s="363">
        <v>0.24</v>
      </c>
      <c r="E137" s="368"/>
      <c r="F137" s="343"/>
      <c r="G137" s="364">
        <f t="shared" si="16"/>
        <v>0</v>
      </c>
      <c r="I137" s="22">
        <f>3</f>
        <v>3</v>
      </c>
      <c r="J137" s="22">
        <f>I137*0.2*0.4</f>
        <v>0.24000000000000005</v>
      </c>
    </row>
    <row r="138" spans="1:10">
      <c r="A138" s="165" t="s">
        <v>450</v>
      </c>
      <c r="B138" s="166" t="s">
        <v>447</v>
      </c>
      <c r="C138" s="167"/>
      <c r="D138" s="168"/>
      <c r="E138" s="169"/>
      <c r="F138" s="98"/>
      <c r="G138" s="99">
        <f t="shared" si="16"/>
        <v>0</v>
      </c>
    </row>
    <row r="139" spans="1:10" ht="13.5">
      <c r="A139" s="162"/>
      <c r="B139" s="163" t="s">
        <v>448</v>
      </c>
      <c r="C139" s="164" t="s">
        <v>151</v>
      </c>
      <c r="D139" s="119">
        <v>3.05</v>
      </c>
      <c r="E139" s="85"/>
      <c r="F139" s="98"/>
      <c r="G139" s="99">
        <f t="shared" si="16"/>
        <v>0</v>
      </c>
      <c r="I139" s="22">
        <f>5.925*3.4</f>
        <v>20.145</v>
      </c>
      <c r="J139" s="22">
        <f>I139*0.15</f>
        <v>3.0217499999999999</v>
      </c>
    </row>
    <row r="140" spans="1:10">
      <c r="A140" s="162"/>
      <c r="B140" s="163"/>
      <c r="C140" s="164"/>
      <c r="D140" s="119"/>
      <c r="E140" s="85"/>
      <c r="F140" s="98"/>
      <c r="G140" s="99"/>
    </row>
    <row r="141" spans="1:10">
      <c r="A141" s="155" t="s">
        <v>163</v>
      </c>
      <c r="B141" s="156" t="s">
        <v>71</v>
      </c>
      <c r="C141" s="157"/>
      <c r="D141" s="158"/>
      <c r="E141" s="159"/>
      <c r="F141" s="160"/>
      <c r="G141" s="161"/>
    </row>
    <row r="142" spans="1:10">
      <c r="A142" s="165" t="s">
        <v>104</v>
      </c>
      <c r="B142" s="166" t="s">
        <v>306</v>
      </c>
      <c r="C142" s="167"/>
      <c r="D142" s="168"/>
      <c r="E142" s="169"/>
      <c r="F142" s="170"/>
      <c r="G142" s="171"/>
    </row>
    <row r="143" spans="1:10" ht="13.5">
      <c r="A143" s="162"/>
      <c r="B143" s="163" t="s">
        <v>308</v>
      </c>
      <c r="C143" s="164" t="s">
        <v>151</v>
      </c>
      <c r="D143" s="119">
        <v>2.74</v>
      </c>
      <c r="E143" s="85"/>
      <c r="F143" s="98"/>
      <c r="G143" s="99">
        <f t="shared" ref="G143:G148" si="18">(D143*E143)+(D143*F143)</f>
        <v>0</v>
      </c>
      <c r="I143" s="22">
        <f>21*2+1.8*2</f>
        <v>45.6</v>
      </c>
      <c r="J143" s="22">
        <f>I143*0.2*0.3</f>
        <v>2.7360000000000002</v>
      </c>
    </row>
    <row r="144" spans="1:10" ht="13.5">
      <c r="A144" s="162"/>
      <c r="B144" s="163" t="s">
        <v>309</v>
      </c>
      <c r="C144" s="164" t="s">
        <v>151</v>
      </c>
      <c r="D144" s="119">
        <v>0.97199999999999998</v>
      </c>
      <c r="E144" s="85"/>
      <c r="F144" s="98"/>
      <c r="G144" s="99">
        <f t="shared" si="18"/>
        <v>0</v>
      </c>
      <c r="I144" s="22">
        <f>4.02*2+4.08*2</f>
        <v>16.2</v>
      </c>
      <c r="J144" s="22">
        <f t="shared" ref="J144:J146" si="19">I144*0.2*0.3</f>
        <v>0.97199999999999998</v>
      </c>
    </row>
    <row r="145" spans="1:12" ht="13.5">
      <c r="A145" s="162"/>
      <c r="B145" s="163" t="s">
        <v>310</v>
      </c>
      <c r="C145" s="164" t="s">
        <v>151</v>
      </c>
      <c r="D145" s="119">
        <v>1.458</v>
      </c>
      <c r="E145" s="85"/>
      <c r="F145" s="98"/>
      <c r="G145" s="99">
        <f t="shared" si="18"/>
        <v>0</v>
      </c>
      <c r="I145" s="22">
        <f>4.02*3+4.08*3</f>
        <v>24.299999999999997</v>
      </c>
      <c r="J145" s="22">
        <f t="shared" si="19"/>
        <v>1.4579999999999997</v>
      </c>
    </row>
    <row r="146" spans="1:12" ht="13.5">
      <c r="A146" s="162"/>
      <c r="B146" s="163" t="s">
        <v>311</v>
      </c>
      <c r="C146" s="164" t="s">
        <v>151</v>
      </c>
      <c r="D146" s="119">
        <v>1.26</v>
      </c>
      <c r="E146" s="85"/>
      <c r="F146" s="98"/>
      <c r="G146" s="99">
        <f t="shared" si="18"/>
        <v>0</v>
      </c>
      <c r="I146" s="22">
        <v>21</v>
      </c>
      <c r="J146" s="22">
        <f t="shared" si="19"/>
        <v>1.26</v>
      </c>
    </row>
    <row r="147" spans="1:12" ht="13.5">
      <c r="A147" s="162"/>
      <c r="B147" s="163" t="s">
        <v>312</v>
      </c>
      <c r="C147" s="164" t="s">
        <v>151</v>
      </c>
      <c r="D147" s="119">
        <v>0.24</v>
      </c>
      <c r="E147" s="85"/>
      <c r="F147" s="98"/>
      <c r="G147" s="99">
        <f t="shared" si="18"/>
        <v>0</v>
      </c>
      <c r="I147" s="22">
        <v>3</v>
      </c>
      <c r="J147" s="22">
        <f>I147*0.2*0.4</f>
        <v>0.24000000000000005</v>
      </c>
    </row>
    <row r="148" spans="1:12" ht="13.5">
      <c r="A148" s="162"/>
      <c r="B148" s="163" t="s">
        <v>313</v>
      </c>
      <c r="C148" s="164" t="s">
        <v>151</v>
      </c>
      <c r="D148" s="119">
        <v>1.488</v>
      </c>
      <c r="E148" s="85"/>
      <c r="F148" s="98"/>
      <c r="G148" s="99">
        <f t="shared" si="18"/>
        <v>0</v>
      </c>
      <c r="I148" s="22">
        <f>6.2*3</f>
        <v>18.600000000000001</v>
      </c>
      <c r="J148" s="22">
        <f>I148*0.2*0.4</f>
        <v>1.4880000000000004</v>
      </c>
    </row>
    <row r="149" spans="1:12">
      <c r="A149" s="165" t="s">
        <v>144</v>
      </c>
      <c r="B149" s="166" t="s">
        <v>307</v>
      </c>
      <c r="C149" s="167"/>
      <c r="D149" s="168"/>
      <c r="E149" s="169"/>
      <c r="F149" s="98"/>
      <c r="G149" s="99">
        <f t="shared" ref="G149:G150" si="20">(D149*E149)+(D149*F149)</f>
        <v>0</v>
      </c>
    </row>
    <row r="150" spans="1:12" ht="13.5">
      <c r="A150" s="162"/>
      <c r="B150" s="163" t="s">
        <v>314</v>
      </c>
      <c r="C150" s="164" t="s">
        <v>151</v>
      </c>
      <c r="D150" s="119">
        <v>27.1</v>
      </c>
      <c r="E150" s="85"/>
      <c r="F150" s="98"/>
      <c r="G150" s="99">
        <f t="shared" si="20"/>
        <v>0</v>
      </c>
      <c r="I150" s="22">
        <v>180.4</v>
      </c>
      <c r="K150" s="22">
        <f>SUM(I150:J150)</f>
        <v>180.4</v>
      </c>
      <c r="L150" s="22">
        <f>K150*0.15</f>
        <v>27.06</v>
      </c>
    </row>
    <row r="151" spans="1:12">
      <c r="A151" s="165" t="s">
        <v>145</v>
      </c>
      <c r="B151" s="166" t="s">
        <v>185</v>
      </c>
      <c r="C151" s="167"/>
      <c r="D151" s="168"/>
      <c r="E151" s="169"/>
      <c r="F151" s="170"/>
      <c r="G151" s="171"/>
    </row>
    <row r="152" spans="1:12" ht="13.5">
      <c r="A152" s="162"/>
      <c r="B152" s="163" t="s">
        <v>442</v>
      </c>
      <c r="C152" s="164" t="s">
        <v>151</v>
      </c>
      <c r="D152" s="119">
        <v>4.0599999999999996</v>
      </c>
      <c r="E152" s="85"/>
      <c r="F152" s="98"/>
      <c r="G152" s="99">
        <f t="shared" ref="G152:G154" si="21">(D152*E152)+(D152*F152)</f>
        <v>0</v>
      </c>
      <c r="I152" s="22">
        <f>0.2*0.2*3.5*29</f>
        <v>4.0600000000000005</v>
      </c>
    </row>
    <row r="153" spans="1:12" ht="13.5">
      <c r="A153" s="162"/>
      <c r="B153" s="163" t="s">
        <v>443</v>
      </c>
      <c r="C153" s="164" t="s">
        <v>151</v>
      </c>
      <c r="D153" s="119">
        <v>1.1200000000000001</v>
      </c>
      <c r="E153" s="85"/>
      <c r="F153" s="98"/>
      <c r="G153" s="99">
        <f t="shared" si="21"/>
        <v>0</v>
      </c>
      <c r="I153" s="22">
        <f>0.4*0.2*3.5*4</f>
        <v>1.1200000000000001</v>
      </c>
    </row>
    <row r="154" spans="1:12" ht="13.5">
      <c r="A154" s="162"/>
      <c r="B154" s="163" t="s">
        <v>444</v>
      </c>
      <c r="C154" s="164" t="s">
        <v>151</v>
      </c>
      <c r="D154" s="119">
        <v>0.42</v>
      </c>
      <c r="E154" s="85"/>
      <c r="F154" s="98"/>
      <c r="G154" s="99">
        <f t="shared" si="21"/>
        <v>0</v>
      </c>
      <c r="I154" s="22">
        <f>0.15*0.15*3.05*6</f>
        <v>0.41174999999999995</v>
      </c>
    </row>
    <row r="155" spans="1:12">
      <c r="A155" s="155" t="s">
        <v>164</v>
      </c>
      <c r="B155" s="156" t="s">
        <v>283</v>
      </c>
      <c r="C155" s="157"/>
      <c r="D155" s="158"/>
      <c r="E155" s="159"/>
      <c r="F155" s="160"/>
      <c r="G155" s="161"/>
    </row>
    <row r="156" spans="1:12">
      <c r="A156" s="165" t="s">
        <v>110</v>
      </c>
      <c r="B156" s="166" t="s">
        <v>297</v>
      </c>
      <c r="C156" s="167"/>
      <c r="D156" s="168"/>
      <c r="E156" s="169"/>
      <c r="F156" s="170"/>
      <c r="G156" s="171"/>
    </row>
    <row r="157" spans="1:12" ht="13.5">
      <c r="A157" s="162"/>
      <c r="B157" s="163" t="s">
        <v>318</v>
      </c>
      <c r="C157" s="164" t="s">
        <v>151</v>
      </c>
      <c r="D157" s="119">
        <v>1.6739999999999999</v>
      </c>
      <c r="E157" s="85"/>
      <c r="F157" s="98"/>
      <c r="G157" s="99">
        <f t="shared" ref="G157:G159" si="22">(D157*E157)+(D157*F157)</f>
        <v>0</v>
      </c>
      <c r="I157" s="22">
        <f>6.2*3</f>
        <v>18.600000000000001</v>
      </c>
      <c r="J157" s="22">
        <f>I157*0.2*0.45</f>
        <v>1.6740000000000004</v>
      </c>
    </row>
    <row r="158" spans="1:12" ht="13.5">
      <c r="A158" s="162"/>
      <c r="B158" s="163" t="s">
        <v>317</v>
      </c>
      <c r="C158" s="164" t="s">
        <v>151</v>
      </c>
      <c r="D158" s="119">
        <v>0.54</v>
      </c>
      <c r="E158" s="85"/>
      <c r="F158" s="98"/>
      <c r="G158" s="99">
        <f t="shared" si="22"/>
        <v>0</v>
      </c>
      <c r="I158" s="22">
        <f>3*2</f>
        <v>6</v>
      </c>
      <c r="J158" s="22">
        <f>I158*0.2*0.45</f>
        <v>0.54000000000000015</v>
      </c>
    </row>
    <row r="159" spans="1:12" ht="13.5">
      <c r="A159" s="162"/>
      <c r="B159" s="163" t="s">
        <v>316</v>
      </c>
      <c r="C159" s="164" t="s">
        <v>151</v>
      </c>
      <c r="D159" s="119">
        <v>10.512</v>
      </c>
      <c r="E159" s="85"/>
      <c r="F159" s="98"/>
      <c r="G159" s="99">
        <f t="shared" si="22"/>
        <v>0</v>
      </c>
      <c r="I159" s="22">
        <f>3*8*3+4.02*6+4.08*6+1.8*6</f>
        <v>131.4</v>
      </c>
      <c r="J159" s="22">
        <f>I159*0.2*0.4</f>
        <v>10.512</v>
      </c>
    </row>
    <row r="160" spans="1:12">
      <c r="A160" s="162"/>
      <c r="B160" s="163"/>
      <c r="C160" s="164"/>
      <c r="D160" s="119"/>
      <c r="E160" s="85"/>
      <c r="F160" s="98"/>
      <c r="G160" s="99"/>
    </row>
    <row r="161" spans="1:17">
      <c r="A161" s="142" t="s">
        <v>72</v>
      </c>
      <c r="B161" s="172" t="s">
        <v>12</v>
      </c>
      <c r="C161" s="154"/>
      <c r="D161" s="145"/>
      <c r="E161" s="146"/>
      <c r="F161" s="145"/>
      <c r="G161" s="173"/>
      <c r="M161" s="22" t="e">
        <f>#REF!-#REF!</f>
        <v>#REF!</v>
      </c>
    </row>
    <row r="162" spans="1:17" ht="16.5" customHeight="1">
      <c r="A162" s="81"/>
      <c r="B162" s="445" t="s">
        <v>142</v>
      </c>
      <c r="C162" s="445"/>
      <c r="D162" s="445"/>
      <c r="E162" s="445"/>
      <c r="F162" s="107"/>
      <c r="G162" s="174"/>
    </row>
    <row r="163" spans="1:17" ht="38.25" customHeight="1">
      <c r="A163" s="81"/>
      <c r="B163" s="445" t="s">
        <v>73</v>
      </c>
      <c r="C163" s="445"/>
      <c r="D163" s="445"/>
      <c r="E163" s="445"/>
      <c r="F163" s="107"/>
      <c r="G163" s="174"/>
    </row>
    <row r="164" spans="1:17" ht="28.5" customHeight="1">
      <c r="A164" s="81"/>
      <c r="B164" s="445" t="s">
        <v>74</v>
      </c>
      <c r="C164" s="445"/>
      <c r="D164" s="445"/>
      <c r="E164" s="445"/>
      <c r="F164" s="107"/>
      <c r="G164" s="174"/>
    </row>
    <row r="165" spans="1:17" ht="38.25" customHeight="1">
      <c r="A165" s="81"/>
      <c r="B165" s="446" t="s">
        <v>75</v>
      </c>
      <c r="C165" s="446"/>
      <c r="D165" s="446"/>
      <c r="E165" s="446"/>
      <c r="F165" s="102"/>
      <c r="G165" s="175"/>
    </row>
    <row r="166" spans="1:17">
      <c r="A166" s="155" t="s">
        <v>161</v>
      </c>
      <c r="B166" s="156" t="s">
        <v>64</v>
      </c>
      <c r="C166" s="157"/>
      <c r="D166" s="158"/>
      <c r="E166" s="159"/>
      <c r="F166" s="160"/>
      <c r="G166" s="161"/>
    </row>
    <row r="167" spans="1:17" ht="13.5">
      <c r="A167" s="81"/>
      <c r="B167" s="133" t="s">
        <v>301</v>
      </c>
      <c r="C167" s="176" t="s">
        <v>153</v>
      </c>
      <c r="D167" s="96">
        <v>54.9</v>
      </c>
      <c r="E167" s="85"/>
      <c r="F167" s="98"/>
      <c r="G167" s="99">
        <f t="shared" ref="G167:G169" si="23">(D167*E167)+(D167*F167)</f>
        <v>0</v>
      </c>
      <c r="I167" s="33">
        <f>1.05*4*0.3*7</f>
        <v>8.82</v>
      </c>
      <c r="J167" s="28">
        <f>1.15*4*0.3*4</f>
        <v>5.52</v>
      </c>
      <c r="K167" s="26">
        <f>1.45*4*0.3*7</f>
        <v>12.18</v>
      </c>
      <c r="L167" s="60">
        <f>1.35*4*0.3*5</f>
        <v>8.1000000000000014</v>
      </c>
      <c r="M167" s="26">
        <f>1.55*4*0.3*4</f>
        <v>7.4399999999999995</v>
      </c>
      <c r="N167" s="60">
        <f>2.2*4*0.3*2</f>
        <v>5.28</v>
      </c>
      <c r="O167" s="22">
        <f>2.35*4*0.3*2</f>
        <v>5.64</v>
      </c>
      <c r="P167" s="22">
        <f>0.8*4*0.3*2</f>
        <v>1.92</v>
      </c>
      <c r="Q167" s="33">
        <f>SUM(I167:P167)</f>
        <v>54.900000000000006</v>
      </c>
    </row>
    <row r="168" spans="1:17" ht="13.5">
      <c r="A168" s="81"/>
      <c r="B168" s="133" t="s">
        <v>302</v>
      </c>
      <c r="C168" s="176" t="s">
        <v>153</v>
      </c>
      <c r="D168" s="96">
        <v>87.26</v>
      </c>
      <c r="E168" s="85"/>
      <c r="F168" s="98"/>
      <c r="G168" s="99">
        <f t="shared" si="23"/>
        <v>0</v>
      </c>
      <c r="I168" s="33">
        <f>25.8*3+3.97*2+4.055*2+1.75*2</f>
        <v>96.95</v>
      </c>
      <c r="J168" s="28">
        <f>I168*2*0.45</f>
        <v>87.25500000000001</v>
      </c>
      <c r="K168" s="28"/>
      <c r="L168" s="60"/>
      <c r="M168" s="26"/>
      <c r="N168" s="60"/>
    </row>
    <row r="169" spans="1:17" ht="13.5">
      <c r="A169" s="81"/>
      <c r="B169" s="133" t="s">
        <v>303</v>
      </c>
      <c r="C169" s="176" t="s">
        <v>153</v>
      </c>
      <c r="D169" s="96">
        <v>58.41</v>
      </c>
      <c r="E169" s="85"/>
      <c r="F169" s="98"/>
      <c r="G169" s="99">
        <f t="shared" si="23"/>
        <v>0</v>
      </c>
      <c r="I169" s="33">
        <f>3.97*4+4.055*4+1.75*4+25.8</f>
        <v>64.900000000000006</v>
      </c>
      <c r="J169" s="28">
        <f>I169*2*0.45</f>
        <v>58.410000000000004</v>
      </c>
      <c r="K169" s="28"/>
      <c r="L169" s="60"/>
      <c r="M169" s="26"/>
      <c r="N169" s="60"/>
    </row>
    <row r="170" spans="1:17">
      <c r="A170" s="155" t="s">
        <v>162</v>
      </c>
      <c r="B170" s="156" t="s">
        <v>67</v>
      </c>
      <c r="C170" s="157"/>
      <c r="D170" s="158"/>
      <c r="E170" s="159"/>
      <c r="F170" s="160"/>
      <c r="G170" s="161"/>
    </row>
    <row r="171" spans="1:17">
      <c r="A171" s="165" t="s">
        <v>166</v>
      </c>
      <c r="B171" s="166" t="s">
        <v>185</v>
      </c>
      <c r="C171" s="167"/>
      <c r="D171" s="168"/>
      <c r="E171" s="169"/>
      <c r="F171" s="170"/>
      <c r="G171" s="171"/>
    </row>
    <row r="172" spans="1:17" ht="13.5">
      <c r="A172" s="162"/>
      <c r="B172" s="163" t="s">
        <v>451</v>
      </c>
      <c r="C172" s="176" t="s">
        <v>153</v>
      </c>
      <c r="D172" s="119">
        <v>108</v>
      </c>
      <c r="E172" s="85"/>
      <c r="F172" s="98"/>
      <c r="G172" s="99">
        <f t="shared" ref="G172:G182" si="24">(D172*E172)+(D172*F172)</f>
        <v>0</v>
      </c>
      <c r="I172" s="22">
        <f>0.2*4*4.655*29</f>
        <v>107.99600000000001</v>
      </c>
    </row>
    <row r="173" spans="1:17" ht="13.5">
      <c r="A173" s="162"/>
      <c r="B173" s="163" t="s">
        <v>452</v>
      </c>
      <c r="C173" s="176" t="s">
        <v>153</v>
      </c>
      <c r="D173" s="119">
        <v>22.344000000000001</v>
      </c>
      <c r="E173" s="85"/>
      <c r="F173" s="98"/>
      <c r="G173" s="99">
        <f t="shared" si="24"/>
        <v>0</v>
      </c>
      <c r="I173" s="22">
        <f>1.2*4.655*4</f>
        <v>22.344000000000001</v>
      </c>
    </row>
    <row r="174" spans="1:17" ht="13.5">
      <c r="A174" s="162"/>
      <c r="B174" s="163" t="s">
        <v>453</v>
      </c>
      <c r="C174" s="176" t="s">
        <v>153</v>
      </c>
      <c r="D174" s="119">
        <v>15.14</v>
      </c>
      <c r="E174" s="85"/>
      <c r="F174" s="98"/>
      <c r="G174" s="99">
        <f t="shared" si="24"/>
        <v>0</v>
      </c>
      <c r="I174" s="22">
        <f>0.6*4.205*6</f>
        <v>15.138000000000002</v>
      </c>
    </row>
    <row r="175" spans="1:17">
      <c r="A175" s="165" t="s">
        <v>10</v>
      </c>
      <c r="B175" s="166" t="s">
        <v>212</v>
      </c>
      <c r="C175" s="167"/>
      <c r="D175" s="168"/>
      <c r="E175" s="169"/>
      <c r="F175" s="98"/>
      <c r="G175" s="99">
        <f t="shared" si="24"/>
        <v>0</v>
      </c>
    </row>
    <row r="176" spans="1:17" ht="13.5">
      <c r="A176" s="162"/>
      <c r="B176" s="163" t="s">
        <v>305</v>
      </c>
      <c r="C176" s="176" t="s">
        <v>153</v>
      </c>
      <c r="D176" s="119">
        <v>28.5</v>
      </c>
      <c r="E176" s="85"/>
      <c r="F176" s="98"/>
      <c r="G176" s="99">
        <f t="shared" si="24"/>
        <v>0</v>
      </c>
    </row>
    <row r="177" spans="1:10">
      <c r="A177" s="165" t="s">
        <v>16</v>
      </c>
      <c r="B177" s="166" t="s">
        <v>445</v>
      </c>
      <c r="C177" s="167"/>
      <c r="D177" s="168"/>
      <c r="E177" s="169"/>
      <c r="F177" s="98"/>
      <c r="G177" s="99">
        <f t="shared" si="24"/>
        <v>0</v>
      </c>
    </row>
    <row r="178" spans="1:10" ht="13.5">
      <c r="A178" s="162"/>
      <c r="B178" s="163" t="s">
        <v>308</v>
      </c>
      <c r="C178" s="176" t="s">
        <v>153</v>
      </c>
      <c r="D178" s="119">
        <v>7.3710000000000004</v>
      </c>
      <c r="E178" s="85"/>
      <c r="F178" s="98"/>
      <c r="G178" s="99">
        <f t="shared" si="24"/>
        <v>0</v>
      </c>
      <c r="I178" s="22">
        <f>4.02+3</f>
        <v>7.02</v>
      </c>
      <c r="J178" s="22">
        <f>I178*1.05</f>
        <v>7.3709999999999996</v>
      </c>
    </row>
    <row r="179" spans="1:10" ht="13.5">
      <c r="A179" s="162"/>
      <c r="B179" s="163" t="s">
        <v>309</v>
      </c>
      <c r="C179" s="176" t="s">
        <v>153</v>
      </c>
      <c r="D179" s="119">
        <v>4.2210000000000001</v>
      </c>
      <c r="E179" s="85"/>
      <c r="F179" s="98"/>
      <c r="G179" s="99">
        <f t="shared" si="24"/>
        <v>0</v>
      </c>
      <c r="I179" s="22">
        <f>4.02</f>
        <v>4.0199999999999996</v>
      </c>
      <c r="J179" s="22">
        <f>I179*1.05</f>
        <v>4.2210000000000001</v>
      </c>
    </row>
    <row r="180" spans="1:10" ht="13.5">
      <c r="A180" s="162"/>
      <c r="B180" s="163" t="s">
        <v>312</v>
      </c>
      <c r="C180" s="176" t="s">
        <v>153</v>
      </c>
      <c r="D180" s="119">
        <v>3.3</v>
      </c>
      <c r="E180" s="85"/>
      <c r="F180" s="98"/>
      <c r="G180" s="99">
        <f t="shared" si="24"/>
        <v>0</v>
      </c>
      <c r="I180" s="22">
        <f>3</f>
        <v>3</v>
      </c>
      <c r="J180" s="22">
        <f>I180*1.1</f>
        <v>3.3000000000000003</v>
      </c>
    </row>
    <row r="181" spans="1:10">
      <c r="A181" s="165" t="s">
        <v>48</v>
      </c>
      <c r="B181" s="166" t="s">
        <v>447</v>
      </c>
      <c r="C181" s="167"/>
      <c r="D181" s="168"/>
      <c r="E181" s="169"/>
      <c r="F181" s="98"/>
      <c r="G181" s="99">
        <f t="shared" si="24"/>
        <v>0</v>
      </c>
    </row>
    <row r="182" spans="1:10" ht="13.5">
      <c r="A182" s="162"/>
      <c r="B182" s="163" t="s">
        <v>448</v>
      </c>
      <c r="C182" s="176" t="s">
        <v>153</v>
      </c>
      <c r="D182" s="119">
        <v>20.655000000000001</v>
      </c>
      <c r="E182" s="85"/>
      <c r="F182" s="98"/>
      <c r="G182" s="99">
        <f t="shared" si="24"/>
        <v>0</v>
      </c>
      <c r="I182" s="22">
        <f>5.925*3.4</f>
        <v>20.145</v>
      </c>
      <c r="J182" s="22">
        <f>I182*0.15</f>
        <v>3.0217499999999999</v>
      </c>
    </row>
    <row r="183" spans="1:10">
      <c r="A183" s="162"/>
      <c r="B183" s="163"/>
      <c r="C183" s="176"/>
      <c r="D183" s="119"/>
      <c r="E183" s="85"/>
      <c r="F183" s="98"/>
      <c r="G183" s="99"/>
    </row>
    <row r="184" spans="1:10">
      <c r="A184" s="162"/>
      <c r="B184" s="163"/>
      <c r="C184" s="176"/>
      <c r="D184" s="119"/>
      <c r="E184" s="85"/>
      <c r="F184" s="98"/>
      <c r="G184" s="99"/>
    </row>
    <row r="185" spans="1:10">
      <c r="A185" s="162"/>
      <c r="B185" s="163"/>
      <c r="C185" s="176"/>
      <c r="D185" s="119"/>
      <c r="E185" s="85"/>
      <c r="F185" s="98"/>
      <c r="G185" s="99"/>
    </row>
    <row r="186" spans="1:10" ht="12.75" thickBot="1">
      <c r="A186" s="361"/>
      <c r="B186" s="362"/>
      <c r="C186" s="410"/>
      <c r="D186" s="363"/>
      <c r="E186" s="368"/>
      <c r="F186" s="343"/>
      <c r="G186" s="364"/>
    </row>
    <row r="187" spans="1:10">
      <c r="A187" s="162"/>
      <c r="B187" s="163"/>
      <c r="C187" s="176"/>
      <c r="D187" s="119"/>
      <c r="E187" s="85"/>
      <c r="F187" s="98"/>
      <c r="G187" s="99"/>
    </row>
    <row r="188" spans="1:10">
      <c r="A188" s="155" t="s">
        <v>57</v>
      </c>
      <c r="B188" s="156" t="s">
        <v>69</v>
      </c>
      <c r="C188" s="157"/>
      <c r="D188" s="158"/>
      <c r="E188" s="159"/>
      <c r="F188" s="160"/>
      <c r="G188" s="161"/>
    </row>
    <row r="189" spans="1:10">
      <c r="A189" s="165" t="s">
        <v>167</v>
      </c>
      <c r="B189" s="166" t="s">
        <v>306</v>
      </c>
      <c r="C189" s="167"/>
      <c r="D189" s="168"/>
      <c r="E189" s="169"/>
      <c r="F189" s="170"/>
      <c r="G189" s="171"/>
    </row>
    <row r="190" spans="1:10" ht="13.5">
      <c r="A190" s="162"/>
      <c r="B190" s="163" t="s">
        <v>308</v>
      </c>
      <c r="C190" s="176" t="s">
        <v>153</v>
      </c>
      <c r="D190" s="119">
        <v>47.88</v>
      </c>
      <c r="E190" s="85"/>
      <c r="F190" s="98"/>
      <c r="G190" s="99">
        <f t="shared" ref="G190:G197" si="25">(D190*E190)+(D190*F190)</f>
        <v>0</v>
      </c>
      <c r="I190" s="22">
        <f>21*2+1.8*2</f>
        <v>45.6</v>
      </c>
      <c r="J190" s="22">
        <f>I190*1.05</f>
        <v>47.88</v>
      </c>
    </row>
    <row r="191" spans="1:10" ht="13.5">
      <c r="A191" s="162"/>
      <c r="B191" s="163" t="s">
        <v>309</v>
      </c>
      <c r="C191" s="176" t="s">
        <v>153</v>
      </c>
      <c r="D191" s="119">
        <v>17.010000000000002</v>
      </c>
      <c r="E191" s="85"/>
      <c r="F191" s="98"/>
      <c r="G191" s="99">
        <f t="shared" si="25"/>
        <v>0</v>
      </c>
      <c r="I191" s="22">
        <f>4.02*2+4.08*2</f>
        <v>16.2</v>
      </c>
      <c r="J191" s="22">
        <f>I191*1.05</f>
        <v>17.010000000000002</v>
      </c>
    </row>
    <row r="192" spans="1:10" ht="13.5">
      <c r="A192" s="162"/>
      <c r="B192" s="163" t="s">
        <v>310</v>
      </c>
      <c r="C192" s="176" t="s">
        <v>153</v>
      </c>
      <c r="D192" s="119">
        <v>21.87</v>
      </c>
      <c r="E192" s="85"/>
      <c r="F192" s="98"/>
      <c r="G192" s="99">
        <f t="shared" si="25"/>
        <v>0</v>
      </c>
      <c r="I192" s="22">
        <f>4.02*3+4.08*3</f>
        <v>24.299999999999997</v>
      </c>
      <c r="J192" s="22">
        <f>I192*0.9</f>
        <v>21.869999999999997</v>
      </c>
    </row>
    <row r="193" spans="1:11" ht="13.5">
      <c r="A193" s="162"/>
      <c r="B193" s="163" t="s">
        <v>311</v>
      </c>
      <c r="C193" s="176" t="s">
        <v>153</v>
      </c>
      <c r="D193" s="119">
        <v>18.899999999999999</v>
      </c>
      <c r="E193" s="85"/>
      <c r="F193" s="98"/>
      <c r="G193" s="99">
        <f t="shared" si="25"/>
        <v>0</v>
      </c>
      <c r="I193" s="22">
        <v>21</v>
      </c>
      <c r="J193" s="22">
        <f>I193*0.9</f>
        <v>18.900000000000002</v>
      </c>
    </row>
    <row r="194" spans="1:11" ht="13.5">
      <c r="A194" s="162"/>
      <c r="B194" s="163" t="s">
        <v>312</v>
      </c>
      <c r="C194" s="176" t="s">
        <v>153</v>
      </c>
      <c r="D194" s="119">
        <v>3.3</v>
      </c>
      <c r="E194" s="85"/>
      <c r="F194" s="98"/>
      <c r="G194" s="99">
        <f t="shared" si="25"/>
        <v>0</v>
      </c>
      <c r="I194" s="22">
        <v>3</v>
      </c>
      <c r="J194" s="22">
        <f>I194*1.1</f>
        <v>3.3000000000000003</v>
      </c>
    </row>
    <row r="195" spans="1:11" ht="13.5">
      <c r="A195" s="162"/>
      <c r="B195" s="163" t="s">
        <v>313</v>
      </c>
      <c r="C195" s="176" t="s">
        <v>153</v>
      </c>
      <c r="D195" s="119">
        <v>20.46</v>
      </c>
      <c r="E195" s="85"/>
      <c r="F195" s="98"/>
      <c r="G195" s="99">
        <f t="shared" si="25"/>
        <v>0</v>
      </c>
      <c r="I195" s="22">
        <f>6.2*3</f>
        <v>18.600000000000001</v>
      </c>
      <c r="J195" s="22">
        <f>I195*1.1</f>
        <v>20.460000000000004</v>
      </c>
    </row>
    <row r="196" spans="1:11">
      <c r="A196" s="165" t="s">
        <v>68</v>
      </c>
      <c r="B196" s="166" t="s">
        <v>307</v>
      </c>
      <c r="C196" s="167"/>
      <c r="D196" s="168"/>
      <c r="E196" s="169"/>
      <c r="F196" s="98"/>
      <c r="G196" s="99">
        <f t="shared" si="25"/>
        <v>0</v>
      </c>
    </row>
    <row r="197" spans="1:11" ht="13.5">
      <c r="A197" s="162"/>
      <c r="B197" s="163" t="s">
        <v>314</v>
      </c>
      <c r="C197" s="176" t="s">
        <v>153</v>
      </c>
      <c r="D197" s="119">
        <v>248.9</v>
      </c>
      <c r="E197" s="85"/>
      <c r="F197" s="98"/>
      <c r="G197" s="99">
        <f t="shared" si="25"/>
        <v>0</v>
      </c>
      <c r="I197" s="22">
        <f>22.6*8.5</f>
        <v>192.10000000000002</v>
      </c>
      <c r="J197" s="22">
        <f>25.8*2.2</f>
        <v>56.760000000000005</v>
      </c>
      <c r="K197" s="22">
        <f>SUM(I197:J197)</f>
        <v>248.86</v>
      </c>
    </row>
    <row r="198" spans="1:11">
      <c r="A198" s="165" t="s">
        <v>72</v>
      </c>
      <c r="B198" s="166" t="s">
        <v>185</v>
      </c>
      <c r="C198" s="167"/>
      <c r="D198" s="168"/>
      <c r="E198" s="169"/>
      <c r="F198" s="170"/>
      <c r="G198" s="171"/>
    </row>
    <row r="199" spans="1:11" ht="13.5">
      <c r="A199" s="162"/>
      <c r="B199" s="163" t="s">
        <v>455</v>
      </c>
      <c r="C199" s="176" t="s">
        <v>153</v>
      </c>
      <c r="D199" s="119">
        <v>81.2</v>
      </c>
      <c r="E199" s="85"/>
      <c r="F199" s="98"/>
      <c r="G199" s="99">
        <f t="shared" ref="G199:G203" si="26">(D199*E199)+(D199*F199)</f>
        <v>0</v>
      </c>
      <c r="I199" s="22">
        <f>0.8*3.5*29</f>
        <v>81.2</v>
      </c>
    </row>
    <row r="200" spans="1:11" ht="13.5">
      <c r="A200" s="162"/>
      <c r="B200" s="163" t="s">
        <v>443</v>
      </c>
      <c r="C200" s="176" t="s">
        <v>153</v>
      </c>
      <c r="D200" s="119">
        <v>16.8</v>
      </c>
      <c r="E200" s="85"/>
      <c r="F200" s="98"/>
      <c r="G200" s="99">
        <f t="shared" si="26"/>
        <v>0</v>
      </c>
      <c r="I200" s="22">
        <f>1.2*3.5*4</f>
        <v>16.8</v>
      </c>
    </row>
    <row r="201" spans="1:11" ht="13.5">
      <c r="A201" s="162"/>
      <c r="B201" s="163" t="s">
        <v>454</v>
      </c>
      <c r="C201" s="176" t="s">
        <v>153</v>
      </c>
      <c r="D201" s="119">
        <v>10.98</v>
      </c>
      <c r="E201" s="85"/>
      <c r="F201" s="98"/>
      <c r="G201" s="99">
        <f t="shared" si="26"/>
        <v>0</v>
      </c>
      <c r="I201" s="22">
        <f>0.6*3.05*6</f>
        <v>10.979999999999999</v>
      </c>
    </row>
    <row r="202" spans="1:11">
      <c r="A202" s="165" t="s">
        <v>101</v>
      </c>
      <c r="B202" s="166" t="s">
        <v>212</v>
      </c>
      <c r="C202" s="167"/>
      <c r="D202" s="168"/>
      <c r="E202" s="169"/>
      <c r="F202" s="98"/>
      <c r="G202" s="99">
        <f t="shared" si="26"/>
        <v>0</v>
      </c>
    </row>
    <row r="203" spans="1:11" ht="13.5">
      <c r="A203" s="162"/>
      <c r="B203" s="163" t="s">
        <v>305</v>
      </c>
      <c r="C203" s="176" t="s">
        <v>153</v>
      </c>
      <c r="D203" s="119">
        <v>24.5</v>
      </c>
      <c r="E203" s="85"/>
      <c r="F203" s="98"/>
      <c r="G203" s="99">
        <f t="shared" si="26"/>
        <v>0</v>
      </c>
      <c r="I203" s="22">
        <f>19.4*0.56</f>
        <v>10.864000000000001</v>
      </c>
      <c r="J203" s="22">
        <f>214.37+I203</f>
        <v>225.23400000000001</v>
      </c>
      <c r="K203" s="22">
        <f>J203*0.1</f>
        <v>22.523400000000002</v>
      </c>
    </row>
    <row r="204" spans="1:11">
      <c r="A204" s="165" t="s">
        <v>449</v>
      </c>
      <c r="B204" s="166" t="s">
        <v>445</v>
      </c>
      <c r="C204" s="167"/>
      <c r="D204" s="168"/>
      <c r="E204" s="169"/>
      <c r="F204" s="98"/>
      <c r="G204" s="99">
        <f t="shared" ref="G204:G209" si="27">(D204*E204)+(D204*F204)</f>
        <v>0</v>
      </c>
    </row>
    <row r="205" spans="1:11" ht="13.5">
      <c r="A205" s="162"/>
      <c r="B205" s="163" t="s">
        <v>308</v>
      </c>
      <c r="C205" s="176" t="s">
        <v>153</v>
      </c>
      <c r="D205" s="119">
        <v>7.3710000000000004</v>
      </c>
      <c r="E205" s="85"/>
      <c r="F205" s="98"/>
      <c r="G205" s="99">
        <f t="shared" si="27"/>
        <v>0</v>
      </c>
      <c r="I205" s="22">
        <f>4.02+3</f>
        <v>7.02</v>
      </c>
      <c r="J205" s="22">
        <f>I205*1.05</f>
        <v>7.3709999999999996</v>
      </c>
    </row>
    <row r="206" spans="1:11" ht="13.5">
      <c r="A206" s="162"/>
      <c r="B206" s="163" t="s">
        <v>309</v>
      </c>
      <c r="C206" s="176" t="s">
        <v>153</v>
      </c>
      <c r="D206" s="119">
        <v>4.2210000000000001</v>
      </c>
      <c r="E206" s="85"/>
      <c r="F206" s="98"/>
      <c r="G206" s="99">
        <f t="shared" si="27"/>
        <v>0</v>
      </c>
      <c r="I206" s="22">
        <f>4.02</f>
        <v>4.0199999999999996</v>
      </c>
      <c r="J206" s="22">
        <f>I206*1.05</f>
        <v>4.2210000000000001</v>
      </c>
    </row>
    <row r="207" spans="1:11" ht="13.5">
      <c r="A207" s="162"/>
      <c r="B207" s="163" t="s">
        <v>312</v>
      </c>
      <c r="C207" s="176" t="s">
        <v>153</v>
      </c>
      <c r="D207" s="119">
        <v>3.3</v>
      </c>
      <c r="E207" s="85"/>
      <c r="F207" s="98"/>
      <c r="G207" s="99">
        <f t="shared" si="27"/>
        <v>0</v>
      </c>
      <c r="I207" s="22">
        <f>3</f>
        <v>3</v>
      </c>
      <c r="J207" s="22">
        <f>I207*1.1</f>
        <v>3.3000000000000003</v>
      </c>
    </row>
    <row r="208" spans="1:11">
      <c r="A208" s="165" t="s">
        <v>450</v>
      </c>
      <c r="B208" s="166" t="s">
        <v>447</v>
      </c>
      <c r="C208" s="167"/>
      <c r="D208" s="168"/>
      <c r="E208" s="169"/>
      <c r="F208" s="98"/>
      <c r="G208" s="99">
        <f t="shared" si="27"/>
        <v>0</v>
      </c>
    </row>
    <row r="209" spans="1:12" ht="13.5">
      <c r="A209" s="162"/>
      <c r="B209" s="163" t="s">
        <v>448</v>
      </c>
      <c r="C209" s="176" t="s">
        <v>153</v>
      </c>
      <c r="D209" s="119">
        <v>20.655000000000001</v>
      </c>
      <c r="E209" s="85"/>
      <c r="F209" s="98"/>
      <c r="G209" s="99">
        <f t="shared" si="27"/>
        <v>0</v>
      </c>
      <c r="I209" s="22">
        <f>5.925*3.4</f>
        <v>20.145</v>
      </c>
      <c r="J209" s="22">
        <f>I209*0.15</f>
        <v>3.0217499999999999</v>
      </c>
    </row>
    <row r="210" spans="1:12">
      <c r="A210" s="162"/>
      <c r="B210" s="163"/>
      <c r="C210" s="164"/>
      <c r="D210" s="119"/>
      <c r="E210" s="85"/>
      <c r="F210" s="98"/>
      <c r="G210" s="99"/>
    </row>
    <row r="211" spans="1:12">
      <c r="A211" s="155" t="s">
        <v>163</v>
      </c>
      <c r="B211" s="156" t="s">
        <v>71</v>
      </c>
      <c r="C211" s="157"/>
      <c r="D211" s="158"/>
      <c r="E211" s="159"/>
      <c r="F211" s="160"/>
      <c r="G211" s="161"/>
    </row>
    <row r="212" spans="1:12">
      <c r="A212" s="165" t="s">
        <v>104</v>
      </c>
      <c r="B212" s="166" t="s">
        <v>306</v>
      </c>
      <c r="C212" s="167"/>
      <c r="D212" s="168"/>
      <c r="E212" s="169"/>
      <c r="F212" s="170"/>
      <c r="G212" s="171"/>
    </row>
    <row r="213" spans="1:12" ht="13.5">
      <c r="A213" s="162"/>
      <c r="B213" s="163" t="s">
        <v>308</v>
      </c>
      <c r="C213" s="176" t="s">
        <v>153</v>
      </c>
      <c r="D213" s="119">
        <v>47.88</v>
      </c>
      <c r="E213" s="85"/>
      <c r="F213" s="98"/>
      <c r="G213" s="99">
        <f t="shared" ref="G213:G218" si="28">(D213*E213)+(D213*F213)</f>
        <v>0</v>
      </c>
      <c r="I213" s="22">
        <f>21*2+1.8*2</f>
        <v>45.6</v>
      </c>
      <c r="J213" s="22">
        <f>I213*1.05</f>
        <v>47.88</v>
      </c>
    </row>
    <row r="214" spans="1:12" ht="13.5">
      <c r="A214" s="162"/>
      <c r="B214" s="163" t="s">
        <v>309</v>
      </c>
      <c r="C214" s="176" t="s">
        <v>153</v>
      </c>
      <c r="D214" s="119">
        <v>17.010000000000002</v>
      </c>
      <c r="E214" s="85"/>
      <c r="F214" s="98"/>
      <c r="G214" s="99">
        <f t="shared" si="28"/>
        <v>0</v>
      </c>
      <c r="I214" s="22">
        <f>4.02*2+4.08*2</f>
        <v>16.2</v>
      </c>
      <c r="J214" s="22">
        <f>I214*1.05</f>
        <v>17.010000000000002</v>
      </c>
    </row>
    <row r="215" spans="1:12" ht="13.5">
      <c r="A215" s="162"/>
      <c r="B215" s="163" t="s">
        <v>310</v>
      </c>
      <c r="C215" s="176" t="s">
        <v>153</v>
      </c>
      <c r="D215" s="119">
        <v>21.87</v>
      </c>
      <c r="E215" s="85"/>
      <c r="F215" s="98"/>
      <c r="G215" s="99">
        <f t="shared" si="28"/>
        <v>0</v>
      </c>
      <c r="I215" s="22">
        <f>4.02*3+4.08*3</f>
        <v>24.299999999999997</v>
      </c>
      <c r="J215" s="22">
        <f>I215*0.9</f>
        <v>21.869999999999997</v>
      </c>
    </row>
    <row r="216" spans="1:12" ht="13.5">
      <c r="A216" s="162"/>
      <c r="B216" s="163" t="s">
        <v>311</v>
      </c>
      <c r="C216" s="176" t="s">
        <v>153</v>
      </c>
      <c r="D216" s="119">
        <v>18.899999999999999</v>
      </c>
      <c r="E216" s="85"/>
      <c r="F216" s="98"/>
      <c r="G216" s="99">
        <f t="shared" si="28"/>
        <v>0</v>
      </c>
      <c r="I216" s="22">
        <v>21</v>
      </c>
      <c r="J216" s="22">
        <f>I216*0.9</f>
        <v>18.900000000000002</v>
      </c>
    </row>
    <row r="217" spans="1:12" ht="13.5">
      <c r="A217" s="162"/>
      <c r="B217" s="163" t="s">
        <v>312</v>
      </c>
      <c r="C217" s="176" t="s">
        <v>153</v>
      </c>
      <c r="D217" s="119">
        <v>3.3</v>
      </c>
      <c r="E217" s="85"/>
      <c r="F217" s="98"/>
      <c r="G217" s="99">
        <f t="shared" si="28"/>
        <v>0</v>
      </c>
      <c r="I217" s="22">
        <v>3</v>
      </c>
      <c r="J217" s="22">
        <f>I217*1.1</f>
        <v>3.3000000000000003</v>
      </c>
    </row>
    <row r="218" spans="1:12" ht="13.5">
      <c r="A218" s="162"/>
      <c r="B218" s="163" t="s">
        <v>313</v>
      </c>
      <c r="C218" s="176" t="s">
        <v>153</v>
      </c>
      <c r="D218" s="119">
        <v>20.46</v>
      </c>
      <c r="E218" s="85"/>
      <c r="F218" s="98"/>
      <c r="G218" s="99">
        <f t="shared" si="28"/>
        <v>0</v>
      </c>
      <c r="I218" s="22">
        <f>6.2*3</f>
        <v>18.600000000000001</v>
      </c>
      <c r="J218" s="22">
        <f>I218*1.1</f>
        <v>20.460000000000004</v>
      </c>
    </row>
    <row r="219" spans="1:12">
      <c r="A219" s="162"/>
      <c r="B219" s="163"/>
      <c r="C219" s="176"/>
      <c r="D219" s="119"/>
      <c r="E219" s="85"/>
      <c r="F219" s="98"/>
      <c r="G219" s="99"/>
    </row>
    <row r="220" spans="1:12">
      <c r="A220" s="165" t="s">
        <v>144</v>
      </c>
      <c r="B220" s="166" t="s">
        <v>307</v>
      </c>
      <c r="C220" s="167"/>
      <c r="D220" s="168"/>
      <c r="E220" s="169"/>
      <c r="F220" s="98"/>
      <c r="G220" s="99">
        <f t="shared" ref="G220:G221" si="29">(D220*E220)+(D220*F220)</f>
        <v>0</v>
      </c>
    </row>
    <row r="221" spans="1:12" ht="13.5">
      <c r="A221" s="162"/>
      <c r="B221" s="163" t="s">
        <v>314</v>
      </c>
      <c r="C221" s="176" t="s">
        <v>153</v>
      </c>
      <c r="D221" s="119">
        <v>248.9</v>
      </c>
      <c r="E221" s="85"/>
      <c r="F221" s="98"/>
      <c r="G221" s="99">
        <f t="shared" si="29"/>
        <v>0</v>
      </c>
      <c r="I221" s="22">
        <f>22.6*8.5</f>
        <v>192.10000000000002</v>
      </c>
      <c r="J221" s="22">
        <f>25.8*2.2</f>
        <v>56.760000000000005</v>
      </c>
      <c r="K221" s="22">
        <f>SUM(I221:J221)</f>
        <v>248.86</v>
      </c>
      <c r="L221" s="22">
        <f>K221*0.15</f>
        <v>37.329000000000001</v>
      </c>
    </row>
    <row r="222" spans="1:12">
      <c r="A222" s="162"/>
      <c r="B222" s="163"/>
      <c r="C222" s="176"/>
      <c r="D222" s="119"/>
      <c r="E222" s="85"/>
      <c r="F222" s="98"/>
      <c r="G222" s="99"/>
    </row>
    <row r="223" spans="1:12">
      <c r="A223" s="165" t="s">
        <v>145</v>
      </c>
      <c r="B223" s="166" t="s">
        <v>185</v>
      </c>
      <c r="C223" s="167"/>
      <c r="D223" s="168"/>
      <c r="E223" s="169"/>
      <c r="F223" s="170"/>
      <c r="G223" s="171"/>
    </row>
    <row r="224" spans="1:12" ht="13.5">
      <c r="A224" s="162"/>
      <c r="B224" s="163" t="s">
        <v>455</v>
      </c>
      <c r="C224" s="176" t="s">
        <v>153</v>
      </c>
      <c r="D224" s="119">
        <v>81.2</v>
      </c>
      <c r="E224" s="85"/>
      <c r="F224" s="98"/>
      <c r="G224" s="99">
        <f t="shared" ref="G224:G226" si="30">(D224*E224)+(D224*F224)</f>
        <v>0</v>
      </c>
      <c r="I224" s="22">
        <f>0.8*3.5*29</f>
        <v>81.2</v>
      </c>
    </row>
    <row r="225" spans="1:10" ht="13.5">
      <c r="A225" s="162"/>
      <c r="B225" s="163" t="s">
        <v>443</v>
      </c>
      <c r="C225" s="176" t="s">
        <v>153</v>
      </c>
      <c r="D225" s="119">
        <v>16.8</v>
      </c>
      <c r="E225" s="85"/>
      <c r="F225" s="98"/>
      <c r="G225" s="99">
        <f t="shared" si="30"/>
        <v>0</v>
      </c>
      <c r="I225" s="22">
        <f>1.2*3.5*4</f>
        <v>16.8</v>
      </c>
    </row>
    <row r="226" spans="1:10" ht="13.5">
      <c r="A226" s="162"/>
      <c r="B226" s="163" t="s">
        <v>456</v>
      </c>
      <c r="C226" s="176" t="s">
        <v>153</v>
      </c>
      <c r="D226" s="119">
        <v>11.16</v>
      </c>
      <c r="E226" s="85"/>
      <c r="F226" s="98"/>
      <c r="G226" s="99">
        <f t="shared" si="30"/>
        <v>0</v>
      </c>
      <c r="I226" s="22">
        <f>0.6*3.1*6</f>
        <v>11.16</v>
      </c>
    </row>
    <row r="227" spans="1:10">
      <c r="A227" s="162"/>
      <c r="B227" s="163"/>
      <c r="C227" s="164"/>
      <c r="D227" s="119"/>
      <c r="E227" s="85"/>
      <c r="F227" s="98"/>
      <c r="G227" s="99"/>
    </row>
    <row r="228" spans="1:10">
      <c r="A228" s="155" t="s">
        <v>164</v>
      </c>
      <c r="B228" s="156" t="s">
        <v>283</v>
      </c>
      <c r="C228" s="157"/>
      <c r="D228" s="158"/>
      <c r="E228" s="159"/>
      <c r="F228" s="160"/>
      <c r="G228" s="161"/>
    </row>
    <row r="229" spans="1:10">
      <c r="A229" s="165" t="s">
        <v>110</v>
      </c>
      <c r="B229" s="166" t="s">
        <v>297</v>
      </c>
      <c r="C229" s="167"/>
      <c r="D229" s="168"/>
      <c r="E229" s="169"/>
      <c r="F229" s="170"/>
      <c r="G229" s="171"/>
    </row>
    <row r="230" spans="1:10" ht="13.5">
      <c r="A230" s="162"/>
      <c r="B230" s="163" t="s">
        <v>318</v>
      </c>
      <c r="C230" s="176" t="s">
        <v>153</v>
      </c>
      <c r="D230" s="119">
        <v>22.32</v>
      </c>
      <c r="E230" s="85"/>
      <c r="F230" s="98"/>
      <c r="G230" s="99">
        <f t="shared" ref="G230:G232" si="31">(D230*E230)+(D230*F230)</f>
        <v>0</v>
      </c>
      <c r="I230" s="22">
        <f>6.2*3</f>
        <v>18.600000000000001</v>
      </c>
      <c r="J230" s="22">
        <f>I230*1.2</f>
        <v>22.32</v>
      </c>
    </row>
    <row r="231" spans="1:10" ht="13.5">
      <c r="A231" s="162"/>
      <c r="B231" s="163" t="s">
        <v>317</v>
      </c>
      <c r="C231" s="176" t="s">
        <v>153</v>
      </c>
      <c r="D231" s="119">
        <v>7.2</v>
      </c>
      <c r="E231" s="85"/>
      <c r="F231" s="98"/>
      <c r="G231" s="99">
        <f t="shared" si="31"/>
        <v>0</v>
      </c>
      <c r="I231" s="22">
        <f>3*2</f>
        <v>6</v>
      </c>
      <c r="J231" s="22">
        <f>I231*1.2</f>
        <v>7.1999999999999993</v>
      </c>
    </row>
    <row r="232" spans="1:10" ht="13.5">
      <c r="A232" s="162"/>
      <c r="B232" s="163" t="s">
        <v>316</v>
      </c>
      <c r="C232" s="176" t="s">
        <v>153</v>
      </c>
      <c r="D232" s="119">
        <v>144.54</v>
      </c>
      <c r="E232" s="85"/>
      <c r="F232" s="98"/>
      <c r="G232" s="99">
        <f t="shared" si="31"/>
        <v>0</v>
      </c>
      <c r="I232" s="22">
        <f>24*3+4.02*6+4.08*6+1.8*6</f>
        <v>131.4</v>
      </c>
      <c r="J232" s="22">
        <f>I232*1.1</f>
        <v>144.54000000000002</v>
      </c>
    </row>
    <row r="233" spans="1:10">
      <c r="A233" s="162"/>
      <c r="B233" s="163"/>
      <c r="C233" s="176"/>
      <c r="D233" s="119"/>
      <c r="E233" s="85"/>
      <c r="F233" s="98"/>
      <c r="G233" s="99"/>
    </row>
    <row r="234" spans="1:10">
      <c r="A234" s="162"/>
      <c r="B234" s="163"/>
      <c r="C234" s="176"/>
      <c r="D234" s="119"/>
      <c r="E234" s="85"/>
      <c r="F234" s="98"/>
      <c r="G234" s="99"/>
    </row>
    <row r="235" spans="1:10">
      <c r="A235" s="162"/>
      <c r="B235" s="163"/>
      <c r="C235" s="176"/>
      <c r="D235" s="119"/>
      <c r="E235" s="85"/>
      <c r="F235" s="98"/>
      <c r="G235" s="99"/>
    </row>
    <row r="236" spans="1:10">
      <c r="A236" s="162"/>
      <c r="B236" s="163"/>
      <c r="C236" s="176"/>
      <c r="D236" s="119"/>
      <c r="E236" s="85"/>
      <c r="F236" s="98"/>
      <c r="G236" s="99"/>
    </row>
    <row r="237" spans="1:10">
      <c r="A237" s="162"/>
      <c r="B237" s="163"/>
      <c r="C237" s="176"/>
      <c r="D237" s="119"/>
      <c r="E237" s="85"/>
      <c r="F237" s="98"/>
      <c r="G237" s="99"/>
    </row>
    <row r="238" spans="1:10">
      <c r="A238" s="162"/>
      <c r="B238" s="163"/>
      <c r="C238" s="176"/>
      <c r="D238" s="119"/>
      <c r="E238" s="85"/>
      <c r="F238" s="98"/>
      <c r="G238" s="99"/>
    </row>
    <row r="239" spans="1:10">
      <c r="A239" s="162"/>
      <c r="B239" s="163"/>
      <c r="C239" s="176"/>
      <c r="D239" s="119"/>
      <c r="E239" s="85"/>
      <c r="F239" s="98"/>
      <c r="G239" s="99"/>
    </row>
    <row r="240" spans="1:10">
      <c r="A240" s="162"/>
      <c r="B240" s="163"/>
      <c r="C240" s="176"/>
      <c r="D240" s="119"/>
      <c r="E240" s="85"/>
      <c r="F240" s="98"/>
      <c r="G240" s="99"/>
    </row>
    <row r="241" spans="1:12" ht="12.75" thickBot="1">
      <c r="A241" s="361"/>
      <c r="B241" s="362"/>
      <c r="C241" s="410"/>
      <c r="D241" s="363"/>
      <c r="E241" s="368"/>
      <c r="F241" s="343"/>
      <c r="G241" s="364"/>
    </row>
    <row r="242" spans="1:12">
      <c r="A242" s="162"/>
      <c r="B242" s="163"/>
      <c r="C242" s="176"/>
      <c r="D242" s="119"/>
      <c r="E242" s="85"/>
      <c r="F242" s="98"/>
      <c r="G242" s="99"/>
    </row>
    <row r="243" spans="1:12">
      <c r="A243" s="142" t="s">
        <v>101</v>
      </c>
      <c r="B243" s="172" t="s">
        <v>11</v>
      </c>
      <c r="C243" s="154"/>
      <c r="D243" s="145"/>
      <c r="E243" s="146"/>
      <c r="F243" s="145"/>
      <c r="G243" s="173"/>
    </row>
    <row r="244" spans="1:12" ht="39.75" customHeight="1">
      <c r="A244" s="129"/>
      <c r="B244" s="447" t="s">
        <v>102</v>
      </c>
      <c r="C244" s="447"/>
      <c r="D244" s="447"/>
      <c r="E244" s="447"/>
      <c r="F244" s="102"/>
      <c r="G244" s="175"/>
    </row>
    <row r="245" spans="1:12" ht="29.25" customHeight="1">
      <c r="A245" s="103"/>
      <c r="B245" s="447" t="s">
        <v>103</v>
      </c>
      <c r="C245" s="447"/>
      <c r="D245" s="447"/>
      <c r="E245" s="447"/>
      <c r="F245" s="102"/>
      <c r="G245" s="175"/>
    </row>
    <row r="246" spans="1:12" ht="42" customHeight="1">
      <c r="A246" s="129"/>
      <c r="B246" s="447" t="s">
        <v>298</v>
      </c>
      <c r="C246" s="447"/>
      <c r="D246" s="447"/>
      <c r="E246" s="447"/>
      <c r="F246" s="102"/>
      <c r="G246" s="175"/>
    </row>
    <row r="247" spans="1:12">
      <c r="A247" s="155" t="s">
        <v>104</v>
      </c>
      <c r="B247" s="156" t="s">
        <v>243</v>
      </c>
      <c r="C247" s="177"/>
      <c r="D247" s="178"/>
      <c r="E247" s="179"/>
      <c r="F247" s="180"/>
      <c r="G247" s="181"/>
    </row>
    <row r="248" spans="1:12">
      <c r="A248" s="155" t="s">
        <v>177</v>
      </c>
      <c r="B248" s="156" t="s">
        <v>64</v>
      </c>
      <c r="C248" s="177"/>
      <c r="D248" s="178"/>
      <c r="E248" s="179"/>
      <c r="F248" s="180"/>
      <c r="G248" s="181"/>
    </row>
    <row r="249" spans="1:12">
      <c r="A249" s="162"/>
      <c r="B249" s="182" t="s">
        <v>319</v>
      </c>
      <c r="C249" s="164" t="s">
        <v>143</v>
      </c>
      <c r="D249" s="119">
        <f>I252/1000</f>
        <v>1.6151040000000001</v>
      </c>
      <c r="E249" s="120"/>
      <c r="F249" s="98"/>
      <c r="G249" s="99">
        <f t="shared" ref="G249:G252" si="32">(D249*E249)+(D249*F249)</f>
        <v>0</v>
      </c>
    </row>
    <row r="250" spans="1:12">
      <c r="A250" s="162"/>
      <c r="B250" s="163" t="s">
        <v>244</v>
      </c>
      <c r="C250" s="164" t="s">
        <v>8</v>
      </c>
      <c r="D250" s="119">
        <v>90</v>
      </c>
      <c r="E250" s="120"/>
      <c r="F250" s="98"/>
      <c r="G250" s="99">
        <f t="shared" si="32"/>
        <v>0</v>
      </c>
      <c r="I250" s="33">
        <f>D250*1.58*6</f>
        <v>853.2</v>
      </c>
      <c r="K250" s="33">
        <f>44+46</f>
        <v>90</v>
      </c>
    </row>
    <row r="251" spans="1:12">
      <c r="A251" s="162"/>
      <c r="B251" s="163" t="s">
        <v>245</v>
      </c>
      <c r="C251" s="164" t="s">
        <v>8</v>
      </c>
      <c r="D251" s="119">
        <v>143</v>
      </c>
      <c r="E251" s="120"/>
      <c r="F251" s="98"/>
      <c r="G251" s="99">
        <f t="shared" si="32"/>
        <v>0</v>
      </c>
      <c r="I251" s="33">
        <f>D251*0.888*6</f>
        <v>761.904</v>
      </c>
      <c r="J251" s="22">
        <f>23+16+47+23+30+4</f>
        <v>143</v>
      </c>
      <c r="K251" s="33"/>
    </row>
    <row r="252" spans="1:12">
      <c r="A252" s="162"/>
      <c r="B252" s="163" t="s">
        <v>14</v>
      </c>
      <c r="C252" s="164" t="s">
        <v>9</v>
      </c>
      <c r="D252" s="119">
        <f>D249*20</f>
        <v>32.302080000000004</v>
      </c>
      <c r="E252" s="120"/>
      <c r="F252" s="98"/>
      <c r="G252" s="99">
        <f t="shared" si="32"/>
        <v>0</v>
      </c>
      <c r="I252" s="33">
        <f>SUM(I249:I251)</f>
        <v>1615.104</v>
      </c>
      <c r="J252" s="33"/>
    </row>
    <row r="253" spans="1:12">
      <c r="A253" s="162"/>
      <c r="B253" s="182" t="s">
        <v>320</v>
      </c>
      <c r="C253" s="164" t="s">
        <v>143</v>
      </c>
      <c r="D253" s="119">
        <f>I256/1000</f>
        <v>1.085904</v>
      </c>
      <c r="E253" s="120"/>
      <c r="F253" s="98"/>
      <c r="G253" s="99">
        <f t="shared" ref="G253:G256" si="33">(D253*E253)+(D253*F253)</f>
        <v>0</v>
      </c>
      <c r="J253" s="33"/>
    </row>
    <row r="254" spans="1:12">
      <c r="A254" s="162"/>
      <c r="B254" s="163" t="s">
        <v>244</v>
      </c>
      <c r="C254" s="164" t="s">
        <v>8</v>
      </c>
      <c r="D254" s="119">
        <v>96</v>
      </c>
      <c r="E254" s="120"/>
      <c r="F254" s="98"/>
      <c r="G254" s="99">
        <f t="shared" si="33"/>
        <v>0</v>
      </c>
      <c r="I254" s="33">
        <f>D254*1.58*6</f>
        <v>910.08</v>
      </c>
      <c r="J254" s="33">
        <v>98.8</v>
      </c>
      <c r="K254" s="54">
        <f>J254/0.15</f>
        <v>658.66666666666663</v>
      </c>
      <c r="L254" s="54">
        <f>K254/5</f>
        <v>131.73333333333332</v>
      </c>
    </row>
    <row r="255" spans="1:12">
      <c r="A255" s="162"/>
      <c r="B255" s="163" t="s">
        <v>247</v>
      </c>
      <c r="C255" s="164" t="s">
        <v>8</v>
      </c>
      <c r="D255" s="119">
        <v>132</v>
      </c>
      <c r="E255" s="120"/>
      <c r="F255" s="98"/>
      <c r="G255" s="99">
        <f t="shared" si="33"/>
        <v>0</v>
      </c>
      <c r="I255" s="33">
        <f>0.222*D255*6</f>
        <v>175.82400000000001</v>
      </c>
      <c r="J255" s="33"/>
    </row>
    <row r="256" spans="1:12">
      <c r="A256" s="162"/>
      <c r="B256" s="163" t="s">
        <v>14</v>
      </c>
      <c r="C256" s="164" t="s">
        <v>9</v>
      </c>
      <c r="D256" s="119">
        <f>D253*20</f>
        <v>21.71808</v>
      </c>
      <c r="E256" s="120"/>
      <c r="F256" s="98"/>
      <c r="G256" s="99">
        <f t="shared" si="33"/>
        <v>0</v>
      </c>
      <c r="I256" s="33">
        <f>SUM(I254:I255)</f>
        <v>1085.904</v>
      </c>
      <c r="J256" s="33"/>
    </row>
    <row r="257" spans="1:14">
      <c r="A257" s="162"/>
      <c r="B257" s="182" t="s">
        <v>321</v>
      </c>
      <c r="C257" s="164" t="s">
        <v>143</v>
      </c>
      <c r="D257" s="119">
        <f>I260/1000</f>
        <v>0.84200399999999997</v>
      </c>
      <c r="E257" s="120"/>
      <c r="F257" s="98"/>
      <c r="G257" s="99">
        <f t="shared" ref="G257:G260" si="34">(D257*E257)+(D257*F257)</f>
        <v>0</v>
      </c>
      <c r="J257" s="33"/>
    </row>
    <row r="258" spans="1:14">
      <c r="A258" s="162"/>
      <c r="B258" s="163" t="s">
        <v>244</v>
      </c>
      <c r="C258" s="164" t="s">
        <v>8</v>
      </c>
      <c r="D258" s="119">
        <v>78</v>
      </c>
      <c r="E258" s="120"/>
      <c r="F258" s="98"/>
      <c r="G258" s="99">
        <f t="shared" si="34"/>
        <v>0</v>
      </c>
      <c r="I258" s="33">
        <f>D258*1.58*6</f>
        <v>739.44</v>
      </c>
      <c r="J258" s="33">
        <v>68.599999999999994</v>
      </c>
      <c r="K258" s="54">
        <f>J258/0.15</f>
        <v>457.33333333333331</v>
      </c>
      <c r="L258" s="54">
        <f>K258/6</f>
        <v>76.222222222222214</v>
      </c>
    </row>
    <row r="259" spans="1:14">
      <c r="A259" s="162"/>
      <c r="B259" s="163" t="s">
        <v>247</v>
      </c>
      <c r="C259" s="164" t="s">
        <v>8</v>
      </c>
      <c r="D259" s="119">
        <v>77</v>
      </c>
      <c r="E259" s="120"/>
      <c r="F259" s="98"/>
      <c r="G259" s="99">
        <f t="shared" si="34"/>
        <v>0</v>
      </c>
      <c r="I259" s="33">
        <f>0.222*D259*6</f>
        <v>102.56400000000001</v>
      </c>
      <c r="J259" s="33"/>
    </row>
    <row r="260" spans="1:14">
      <c r="A260" s="162"/>
      <c r="B260" s="163" t="s">
        <v>14</v>
      </c>
      <c r="C260" s="164" t="s">
        <v>9</v>
      </c>
      <c r="D260" s="119">
        <f>D257*20</f>
        <v>16.84008</v>
      </c>
      <c r="E260" s="120"/>
      <c r="F260" s="98"/>
      <c r="G260" s="99">
        <f t="shared" si="34"/>
        <v>0</v>
      </c>
      <c r="I260" s="33">
        <f>SUM(I258:I259)</f>
        <v>842.00400000000002</v>
      </c>
      <c r="J260" s="33"/>
    </row>
    <row r="261" spans="1:14">
      <c r="A261" s="155" t="s">
        <v>144</v>
      </c>
      <c r="B261" s="156" t="s">
        <v>67</v>
      </c>
      <c r="C261" s="177"/>
      <c r="D261" s="178"/>
      <c r="E261" s="179"/>
      <c r="F261" s="180"/>
      <c r="G261" s="181">
        <f t="shared" ref="G261" si="35">(D261*E261)+(D261*F261)</f>
        <v>0</v>
      </c>
    </row>
    <row r="262" spans="1:14">
      <c r="A262" s="183" t="s">
        <v>177</v>
      </c>
      <c r="B262" s="184" t="s">
        <v>185</v>
      </c>
      <c r="C262" s="185"/>
      <c r="D262" s="186"/>
      <c r="E262" s="187"/>
      <c r="F262" s="98"/>
      <c r="G262" s="99"/>
    </row>
    <row r="263" spans="1:14">
      <c r="A263" s="162" t="s">
        <v>199</v>
      </c>
      <c r="B263" s="163" t="s">
        <v>457</v>
      </c>
      <c r="C263" s="164" t="s">
        <v>143</v>
      </c>
      <c r="D263" s="119">
        <f>I266/1000</f>
        <v>1.2235560000000001</v>
      </c>
      <c r="E263" s="120"/>
      <c r="F263" s="98"/>
      <c r="G263" s="99">
        <f t="shared" ref="G263" si="36">(D263*E263)+(D263*F263)</f>
        <v>0</v>
      </c>
    </row>
    <row r="264" spans="1:14">
      <c r="A264" s="165"/>
      <c r="B264" s="163" t="s">
        <v>244</v>
      </c>
      <c r="C264" s="164" t="s">
        <v>8</v>
      </c>
      <c r="D264" s="119">
        <v>116</v>
      </c>
      <c r="E264" s="120"/>
      <c r="F264" s="98"/>
      <c r="G264" s="99">
        <f t="shared" ref="G264:G266" si="37">(D264*E264)+(D264*F264)</f>
        <v>0</v>
      </c>
      <c r="I264" s="33">
        <f>D264*1.58*6</f>
        <v>1099.68</v>
      </c>
      <c r="J264" s="22">
        <f>4*29</f>
        <v>116</v>
      </c>
      <c r="L264" s="22">
        <f>5.3/0.15</f>
        <v>35.333333333333336</v>
      </c>
      <c r="M264" s="22">
        <f>35*29</f>
        <v>1015</v>
      </c>
      <c r="N264" s="22">
        <f>M264/11</f>
        <v>92.272727272727266</v>
      </c>
    </row>
    <row r="265" spans="1:14">
      <c r="A265" s="162"/>
      <c r="B265" s="163" t="s">
        <v>247</v>
      </c>
      <c r="C265" s="164" t="s">
        <v>8</v>
      </c>
      <c r="D265" s="119">
        <v>93</v>
      </c>
      <c r="E265" s="120"/>
      <c r="F265" s="98"/>
      <c r="G265" s="99">
        <f t="shared" si="37"/>
        <v>0</v>
      </c>
      <c r="I265" s="33">
        <f>0.222*D265*6</f>
        <v>123.876</v>
      </c>
    </row>
    <row r="266" spans="1:14">
      <c r="A266" s="162"/>
      <c r="B266" s="163" t="s">
        <v>14</v>
      </c>
      <c r="C266" s="164" t="s">
        <v>9</v>
      </c>
      <c r="D266" s="119">
        <f>D263*20</f>
        <v>24.471120000000003</v>
      </c>
      <c r="E266" s="120"/>
      <c r="F266" s="98"/>
      <c r="G266" s="99">
        <f t="shared" si="37"/>
        <v>0</v>
      </c>
      <c r="I266" s="33">
        <f>SUM(I264:I265)</f>
        <v>1223.556</v>
      </c>
      <c r="J266" s="33"/>
    </row>
    <row r="267" spans="1:14">
      <c r="A267" s="162" t="s">
        <v>200</v>
      </c>
      <c r="B267" s="163" t="s">
        <v>458</v>
      </c>
      <c r="C267" s="164" t="s">
        <v>143</v>
      </c>
      <c r="D267" s="119">
        <f>I270/1000</f>
        <v>0.26348400000000005</v>
      </c>
      <c r="E267" s="120"/>
      <c r="F267" s="98"/>
      <c r="G267" s="99">
        <f t="shared" ref="G267:G274" si="38">(D267*E267)+(D267*F267)</f>
        <v>0</v>
      </c>
      <c r="I267" s="33"/>
      <c r="J267" s="33"/>
    </row>
    <row r="268" spans="1:14">
      <c r="A268" s="162"/>
      <c r="B268" s="163" t="s">
        <v>244</v>
      </c>
      <c r="C268" s="164" t="s">
        <v>8</v>
      </c>
      <c r="D268" s="119">
        <v>24</v>
      </c>
      <c r="E268" s="120"/>
      <c r="F268" s="98"/>
      <c r="G268" s="99">
        <f t="shared" si="38"/>
        <v>0</v>
      </c>
      <c r="I268" s="33">
        <f>D268*1.58*6</f>
        <v>227.52</v>
      </c>
      <c r="J268" s="22">
        <v>44</v>
      </c>
    </row>
    <row r="269" spans="1:14">
      <c r="A269" s="162"/>
      <c r="B269" s="163" t="s">
        <v>247</v>
      </c>
      <c r="C269" s="164" t="s">
        <v>8</v>
      </c>
      <c r="D269" s="119">
        <v>27</v>
      </c>
      <c r="E269" s="120"/>
      <c r="F269" s="98"/>
      <c r="G269" s="99">
        <f t="shared" si="38"/>
        <v>0</v>
      </c>
      <c r="I269" s="33">
        <f>0.222*D269*6</f>
        <v>35.963999999999999</v>
      </c>
    </row>
    <row r="270" spans="1:14">
      <c r="A270" s="162"/>
      <c r="B270" s="163" t="s">
        <v>14</v>
      </c>
      <c r="C270" s="164" t="s">
        <v>9</v>
      </c>
      <c r="D270" s="119">
        <f>D267*20</f>
        <v>5.269680000000001</v>
      </c>
      <c r="E270" s="120"/>
      <c r="F270" s="98"/>
      <c r="G270" s="99">
        <f t="shared" si="38"/>
        <v>0</v>
      </c>
      <c r="I270" s="33">
        <f>SUM(I268:I269)</f>
        <v>263.48400000000004</v>
      </c>
      <c r="J270" s="33"/>
    </row>
    <row r="271" spans="1:14">
      <c r="A271" s="162" t="s">
        <v>202</v>
      </c>
      <c r="B271" s="163" t="s">
        <v>459</v>
      </c>
      <c r="C271" s="164" t="s">
        <v>143</v>
      </c>
      <c r="D271" s="119">
        <f>I274/1000</f>
        <v>6.9888000000000006E-2</v>
      </c>
      <c r="E271" s="120"/>
      <c r="F271" s="98"/>
      <c r="G271" s="99">
        <f t="shared" si="38"/>
        <v>0</v>
      </c>
      <c r="I271" s="33"/>
      <c r="J271" s="33"/>
    </row>
    <row r="272" spans="1:14">
      <c r="A272" s="162"/>
      <c r="B272" s="163" t="s">
        <v>246</v>
      </c>
      <c r="C272" s="164" t="s">
        <v>8</v>
      </c>
      <c r="D272" s="119">
        <v>16</v>
      </c>
      <c r="E272" s="120"/>
      <c r="F272" s="98"/>
      <c r="G272" s="99">
        <f t="shared" si="38"/>
        <v>0</v>
      </c>
      <c r="I272" s="33">
        <f>D272*0.617*6</f>
        <v>59.231999999999999</v>
      </c>
      <c r="J272" s="33">
        <f>1.5*6</f>
        <v>9</v>
      </c>
      <c r="K272" s="54">
        <f>D272/3</f>
        <v>5.333333333333333</v>
      </c>
      <c r="L272" s="54">
        <f>K272*4</f>
        <v>21.333333333333332</v>
      </c>
    </row>
    <row r="273" spans="1:13">
      <c r="A273" s="162"/>
      <c r="B273" s="163" t="s">
        <v>247</v>
      </c>
      <c r="C273" s="164" t="s">
        <v>8</v>
      </c>
      <c r="D273" s="119">
        <v>8</v>
      </c>
      <c r="E273" s="120"/>
      <c r="F273" s="98"/>
      <c r="G273" s="99">
        <f t="shared" si="38"/>
        <v>0</v>
      </c>
      <c r="I273" s="33">
        <f>0.222*D273*6</f>
        <v>10.656000000000001</v>
      </c>
      <c r="J273" s="33"/>
    </row>
    <row r="274" spans="1:13">
      <c r="A274" s="162"/>
      <c r="B274" s="163" t="s">
        <v>14</v>
      </c>
      <c r="C274" s="164" t="s">
        <v>9</v>
      </c>
      <c r="D274" s="119">
        <f>D271*20</f>
        <v>1.3977600000000001</v>
      </c>
      <c r="E274" s="120"/>
      <c r="F274" s="98"/>
      <c r="G274" s="99">
        <f t="shared" si="38"/>
        <v>0</v>
      </c>
      <c r="I274" s="33">
        <f>SUM(I272:I273)</f>
        <v>69.888000000000005</v>
      </c>
      <c r="J274" s="33"/>
    </row>
    <row r="275" spans="1:13">
      <c r="A275" s="183" t="s">
        <v>178</v>
      </c>
      <c r="B275" s="184" t="s">
        <v>212</v>
      </c>
      <c r="C275" s="185" t="s">
        <v>143</v>
      </c>
      <c r="D275" s="186">
        <f>I277/1000</f>
        <v>0.42943200000000004</v>
      </c>
      <c r="E275" s="187"/>
      <c r="F275" s="98"/>
      <c r="G275" s="99">
        <f t="shared" ref="G275:G277" si="39">(D275*E275)+(D275*F275)</f>
        <v>0</v>
      </c>
      <c r="H275" s="41"/>
      <c r="I275" s="36"/>
    </row>
    <row r="276" spans="1:13">
      <c r="A276" s="188" t="s">
        <v>188</v>
      </c>
      <c r="B276" s="163" t="s">
        <v>246</v>
      </c>
      <c r="C276" s="189" t="s">
        <v>8</v>
      </c>
      <c r="D276" s="190">
        <v>116</v>
      </c>
      <c r="E276" s="191"/>
      <c r="F276" s="192"/>
      <c r="G276" s="99">
        <f t="shared" si="39"/>
        <v>0</v>
      </c>
      <c r="H276" s="41"/>
      <c r="I276" s="33">
        <f>0.617*D276*6</f>
        <v>429.43200000000002</v>
      </c>
    </row>
    <row r="277" spans="1:13">
      <c r="A277" s="188"/>
      <c r="B277" s="193" t="s">
        <v>14</v>
      </c>
      <c r="C277" s="189" t="s">
        <v>9</v>
      </c>
      <c r="D277" s="190">
        <f>D275*20</f>
        <v>8.5886400000000016</v>
      </c>
      <c r="E277" s="191"/>
      <c r="F277" s="192"/>
      <c r="G277" s="99">
        <f t="shared" si="39"/>
        <v>0</v>
      </c>
      <c r="H277" s="41"/>
      <c r="I277" s="33">
        <f>SUM(I275:I276)</f>
        <v>429.43200000000002</v>
      </c>
    </row>
    <row r="278" spans="1:13">
      <c r="A278" s="165" t="s">
        <v>189</v>
      </c>
      <c r="B278" s="166" t="s">
        <v>229</v>
      </c>
      <c r="C278" s="167" t="s">
        <v>143</v>
      </c>
      <c r="D278" s="168">
        <f>I280/1000</f>
        <v>1.3586340000000001</v>
      </c>
      <c r="E278" s="169"/>
      <c r="F278" s="98"/>
      <c r="G278" s="99">
        <f t="shared" ref="G278:G280" si="40">(D278*E278)+(D278*F278)</f>
        <v>0</v>
      </c>
    </row>
    <row r="279" spans="1:13">
      <c r="A279" s="165"/>
      <c r="B279" s="163" t="s">
        <v>246</v>
      </c>
      <c r="C279" s="164" t="s">
        <v>8</v>
      </c>
      <c r="D279" s="119">
        <v>367</v>
      </c>
      <c r="E279" s="120"/>
      <c r="F279" s="98"/>
      <c r="G279" s="99">
        <f t="shared" si="40"/>
        <v>0</v>
      </c>
      <c r="I279" s="33">
        <f>0.617*D279*6</f>
        <v>1358.634</v>
      </c>
      <c r="J279" s="22">
        <v>285.73500000000001</v>
      </c>
      <c r="K279" s="22">
        <f>J279*7*110%</f>
        <v>2200.1595000000002</v>
      </c>
      <c r="L279" s="22">
        <f>K279/6</f>
        <v>366.69325000000003</v>
      </c>
    </row>
    <row r="280" spans="1:13">
      <c r="A280" s="162"/>
      <c r="B280" s="163" t="s">
        <v>14</v>
      </c>
      <c r="C280" s="164" t="s">
        <v>9</v>
      </c>
      <c r="D280" s="119">
        <f>D278*20</f>
        <v>27.172680000000003</v>
      </c>
      <c r="E280" s="120"/>
      <c r="F280" s="98"/>
      <c r="G280" s="99">
        <f t="shared" si="40"/>
        <v>0</v>
      </c>
      <c r="I280" s="33">
        <f>SUM(I278:I279)</f>
        <v>1358.634</v>
      </c>
    </row>
    <row r="281" spans="1:13">
      <c r="A281" s="183" t="s">
        <v>190</v>
      </c>
      <c r="B281" s="184" t="s">
        <v>445</v>
      </c>
      <c r="C281" s="185"/>
      <c r="D281" s="186"/>
      <c r="E281" s="187"/>
      <c r="F281" s="98"/>
      <c r="G281" s="99"/>
    </row>
    <row r="282" spans="1:13">
      <c r="A282" s="162" t="s">
        <v>199</v>
      </c>
      <c r="B282" s="163" t="s">
        <v>308</v>
      </c>
      <c r="C282" s="164" t="s">
        <v>143</v>
      </c>
      <c r="D282" s="119">
        <f>I285/1000</f>
        <v>9.0492000000000003E-2</v>
      </c>
      <c r="E282" s="120"/>
      <c r="F282" s="98"/>
      <c r="G282" s="99">
        <f t="shared" ref="G282:G296" si="41">(D282*E282)+(D282*F282)</f>
        <v>0</v>
      </c>
    </row>
    <row r="283" spans="1:13">
      <c r="A283" s="165"/>
      <c r="B283" s="163" t="s">
        <v>244</v>
      </c>
      <c r="C283" s="164" t="s">
        <v>8</v>
      </c>
      <c r="D283" s="119">
        <v>8</v>
      </c>
      <c r="E283" s="120"/>
      <c r="F283" s="98"/>
      <c r="G283" s="99">
        <f t="shared" si="41"/>
        <v>0</v>
      </c>
      <c r="I283" s="33">
        <f>D283*1.58*6</f>
        <v>75.84</v>
      </c>
      <c r="J283" s="22">
        <f>19.4*2+10.7+2.2</f>
        <v>51.7</v>
      </c>
      <c r="L283" s="22">
        <f>J283/0.15</f>
        <v>344.66666666666669</v>
      </c>
      <c r="M283" s="22">
        <f>L283/5</f>
        <v>68.933333333333337</v>
      </c>
    </row>
    <row r="284" spans="1:13">
      <c r="A284" s="162"/>
      <c r="B284" s="163" t="s">
        <v>247</v>
      </c>
      <c r="C284" s="164" t="s">
        <v>8</v>
      </c>
      <c r="D284" s="119">
        <v>11</v>
      </c>
      <c r="E284" s="120"/>
      <c r="F284" s="98"/>
      <c r="G284" s="99">
        <f t="shared" si="41"/>
        <v>0</v>
      </c>
      <c r="I284" s="33">
        <f>0.222*D284*6</f>
        <v>14.652000000000001</v>
      </c>
    </row>
    <row r="285" spans="1:13">
      <c r="A285" s="162"/>
      <c r="B285" s="163" t="s">
        <v>14</v>
      </c>
      <c r="C285" s="164" t="s">
        <v>9</v>
      </c>
      <c r="D285" s="119">
        <f>D282*20</f>
        <v>1.8098400000000001</v>
      </c>
      <c r="E285" s="120"/>
      <c r="F285" s="98"/>
      <c r="G285" s="99">
        <f t="shared" si="41"/>
        <v>0</v>
      </c>
      <c r="I285" s="33">
        <f>SUM(I283:I284)</f>
        <v>90.492000000000004</v>
      </c>
      <c r="J285" s="33"/>
    </row>
    <row r="286" spans="1:13">
      <c r="A286" s="162" t="s">
        <v>200</v>
      </c>
      <c r="B286" s="163" t="s">
        <v>323</v>
      </c>
      <c r="C286" s="164" t="s">
        <v>143</v>
      </c>
      <c r="D286" s="119">
        <f>I289/1000</f>
        <v>6.4871999999999999E-2</v>
      </c>
      <c r="E286" s="120"/>
      <c r="F286" s="98"/>
      <c r="G286" s="99">
        <f t="shared" si="41"/>
        <v>0</v>
      </c>
      <c r="I286" s="33"/>
      <c r="J286" s="33"/>
    </row>
    <row r="287" spans="1:13">
      <c r="A287" s="162"/>
      <c r="B287" s="163" t="s">
        <v>244</v>
      </c>
      <c r="C287" s="164" t="s">
        <v>8</v>
      </c>
      <c r="D287" s="119">
        <v>6</v>
      </c>
      <c r="E287" s="120"/>
      <c r="F287" s="98"/>
      <c r="G287" s="99">
        <f t="shared" si="41"/>
        <v>0</v>
      </c>
      <c r="I287" s="33">
        <f>D287*1.58*6</f>
        <v>56.88</v>
      </c>
      <c r="J287" s="22">
        <f>8.7*2+4.42</f>
        <v>21.82</v>
      </c>
      <c r="K287" s="22">
        <f>J287/0.15</f>
        <v>145.46666666666667</v>
      </c>
      <c r="L287" s="22">
        <f>K287/5</f>
        <v>29.093333333333334</v>
      </c>
    </row>
    <row r="288" spans="1:13">
      <c r="A288" s="162"/>
      <c r="B288" s="163" t="s">
        <v>247</v>
      </c>
      <c r="C288" s="164" t="s">
        <v>8</v>
      </c>
      <c r="D288" s="119">
        <v>6</v>
      </c>
      <c r="E288" s="120"/>
      <c r="F288" s="98"/>
      <c r="G288" s="99">
        <f t="shared" si="41"/>
        <v>0</v>
      </c>
      <c r="I288" s="33">
        <f>0.222*D288*6</f>
        <v>7.9920000000000009</v>
      </c>
    </row>
    <row r="289" spans="1:13">
      <c r="A289" s="162"/>
      <c r="B289" s="163" t="s">
        <v>14</v>
      </c>
      <c r="C289" s="164" t="s">
        <v>9</v>
      </c>
      <c r="D289" s="119">
        <f>D286*20</f>
        <v>1.2974399999999999</v>
      </c>
      <c r="E289" s="120"/>
      <c r="F289" s="98"/>
      <c r="G289" s="99">
        <f t="shared" si="41"/>
        <v>0</v>
      </c>
      <c r="I289" s="33">
        <f>SUM(I287:I288)</f>
        <v>64.872</v>
      </c>
      <c r="J289" s="33"/>
    </row>
    <row r="290" spans="1:13">
      <c r="A290" s="162" t="s">
        <v>202</v>
      </c>
      <c r="B290" s="163" t="s">
        <v>328</v>
      </c>
      <c r="C290" s="164" t="s">
        <v>143</v>
      </c>
      <c r="D290" s="119">
        <f>I293/1000</f>
        <v>6.7248000000000002E-2</v>
      </c>
      <c r="E290" s="120"/>
      <c r="F290" s="98"/>
      <c r="G290" s="99">
        <f t="shared" si="41"/>
        <v>0</v>
      </c>
      <c r="I290" s="33"/>
      <c r="J290" s="33"/>
    </row>
    <row r="291" spans="1:13">
      <c r="A291" s="162"/>
      <c r="B291" s="163" t="s">
        <v>330</v>
      </c>
      <c r="C291" s="164" t="s">
        <v>8</v>
      </c>
      <c r="D291" s="119">
        <v>4</v>
      </c>
      <c r="E291" s="120"/>
      <c r="F291" s="98"/>
      <c r="G291" s="99">
        <f t="shared" si="41"/>
        <v>0</v>
      </c>
      <c r="I291" s="33">
        <f>D291*2.469*6</f>
        <v>59.256</v>
      </c>
      <c r="J291" s="33">
        <v>6.6</v>
      </c>
      <c r="K291" s="22">
        <f>(J291/0.15)</f>
        <v>44</v>
      </c>
      <c r="L291" s="22">
        <f>K291/4</f>
        <v>11</v>
      </c>
    </row>
    <row r="292" spans="1:13">
      <c r="A292" s="162"/>
      <c r="B292" s="163" t="s">
        <v>247</v>
      </c>
      <c r="C292" s="164" t="s">
        <v>8</v>
      </c>
      <c r="D292" s="119">
        <v>6</v>
      </c>
      <c r="E292" s="120"/>
      <c r="F292" s="98"/>
      <c r="G292" s="99">
        <f t="shared" si="41"/>
        <v>0</v>
      </c>
      <c r="I292" s="33">
        <f>0.222*D292*6</f>
        <v>7.9920000000000009</v>
      </c>
      <c r="J292" s="33"/>
    </row>
    <row r="293" spans="1:13" ht="12.75" thickBot="1">
      <c r="A293" s="361"/>
      <c r="B293" s="362" t="s">
        <v>14</v>
      </c>
      <c r="C293" s="342" t="s">
        <v>9</v>
      </c>
      <c r="D293" s="363">
        <f>D290*20</f>
        <v>1.3449599999999999</v>
      </c>
      <c r="E293" s="344"/>
      <c r="F293" s="343"/>
      <c r="G293" s="364">
        <f t="shared" si="41"/>
        <v>0</v>
      </c>
      <c r="I293" s="33">
        <f>SUM(I291:I292)</f>
        <v>67.248000000000005</v>
      </c>
      <c r="J293" s="33"/>
    </row>
    <row r="294" spans="1:13">
      <c r="A294" s="183" t="s">
        <v>191</v>
      </c>
      <c r="B294" s="184" t="s">
        <v>460</v>
      </c>
      <c r="C294" s="185" t="s">
        <v>143</v>
      </c>
      <c r="D294" s="186">
        <f>I296/1000</f>
        <v>0.34798800000000002</v>
      </c>
      <c r="E294" s="187"/>
      <c r="F294" s="98"/>
      <c r="G294" s="99">
        <f t="shared" si="41"/>
        <v>0</v>
      </c>
      <c r="H294" s="41"/>
      <c r="I294" s="36"/>
      <c r="K294" s="22">
        <f>5.925*3.4</f>
        <v>20.145</v>
      </c>
      <c r="L294" s="22">
        <f>K294*14*2</f>
        <v>564.05999999999995</v>
      </c>
      <c r="M294" s="22">
        <f>L294/6</f>
        <v>94.009999999999991</v>
      </c>
    </row>
    <row r="295" spans="1:13">
      <c r="A295" s="188" t="s">
        <v>188</v>
      </c>
      <c r="B295" s="163" t="s">
        <v>246</v>
      </c>
      <c r="C295" s="189" t="s">
        <v>8</v>
      </c>
      <c r="D295" s="190">
        <v>94</v>
      </c>
      <c r="E295" s="191"/>
      <c r="F295" s="192"/>
      <c r="G295" s="99">
        <f t="shared" si="41"/>
        <v>0</v>
      </c>
      <c r="H295" s="41"/>
      <c r="I295" s="33">
        <f>0.617*D295*6</f>
        <v>347.988</v>
      </c>
    </row>
    <row r="296" spans="1:13">
      <c r="A296" s="188"/>
      <c r="B296" s="193" t="s">
        <v>14</v>
      </c>
      <c r="C296" s="189" t="s">
        <v>9</v>
      </c>
      <c r="D296" s="190">
        <f>D294*20</f>
        <v>6.9597600000000002</v>
      </c>
      <c r="E296" s="191"/>
      <c r="F296" s="192"/>
      <c r="G296" s="99">
        <f t="shared" si="41"/>
        <v>0</v>
      </c>
      <c r="H296" s="41"/>
      <c r="I296" s="33">
        <f>SUM(I294:I295)</f>
        <v>347.988</v>
      </c>
    </row>
    <row r="297" spans="1:13">
      <c r="A297" s="162"/>
      <c r="B297" s="163"/>
      <c r="C297" s="164"/>
      <c r="D297" s="119"/>
      <c r="E297" s="120"/>
      <c r="F297" s="98"/>
      <c r="G297" s="99"/>
      <c r="I297" s="33"/>
    </row>
    <row r="298" spans="1:13">
      <c r="A298" s="155" t="s">
        <v>145</v>
      </c>
      <c r="B298" s="156" t="s">
        <v>69</v>
      </c>
      <c r="C298" s="177"/>
      <c r="D298" s="178"/>
      <c r="E298" s="179"/>
      <c r="F298" s="180"/>
      <c r="G298" s="181">
        <f t="shared" ref="G298" si="42">(D298*E298)+(D298*F298)</f>
        <v>0</v>
      </c>
    </row>
    <row r="299" spans="1:13">
      <c r="A299" s="183" t="s">
        <v>177</v>
      </c>
      <c r="B299" s="184" t="s">
        <v>322</v>
      </c>
      <c r="C299" s="185"/>
      <c r="D299" s="186"/>
      <c r="E299" s="187"/>
      <c r="F299" s="98"/>
      <c r="G299" s="99"/>
    </row>
    <row r="300" spans="1:13">
      <c r="A300" s="162" t="s">
        <v>199</v>
      </c>
      <c r="B300" s="163" t="s">
        <v>308</v>
      </c>
      <c r="C300" s="164" t="s">
        <v>143</v>
      </c>
      <c r="D300" s="119">
        <f>I303/1000</f>
        <v>0.49273199999999995</v>
      </c>
      <c r="E300" s="120"/>
      <c r="F300" s="98"/>
      <c r="G300" s="99">
        <f t="shared" ref="G300:G328" si="43">(D300*E300)+(D300*F300)</f>
        <v>0</v>
      </c>
    </row>
    <row r="301" spans="1:13">
      <c r="A301" s="165"/>
      <c r="B301" s="163" t="s">
        <v>244</v>
      </c>
      <c r="C301" s="164" t="s">
        <v>8</v>
      </c>
      <c r="D301" s="119">
        <v>42</v>
      </c>
      <c r="E301" s="120"/>
      <c r="F301" s="98"/>
      <c r="G301" s="99">
        <f t="shared" si="43"/>
        <v>0</v>
      </c>
      <c r="I301" s="33">
        <f>D301*1.58*6</f>
        <v>398.15999999999997</v>
      </c>
      <c r="J301" s="22">
        <f>19.4*2+10.7+2.2</f>
        <v>51.7</v>
      </c>
      <c r="L301" s="22">
        <f>J301/0.15</f>
        <v>344.66666666666669</v>
      </c>
      <c r="M301" s="22">
        <f>L301/5</f>
        <v>68.933333333333337</v>
      </c>
    </row>
    <row r="302" spans="1:13">
      <c r="A302" s="162"/>
      <c r="B302" s="163" t="s">
        <v>247</v>
      </c>
      <c r="C302" s="164" t="s">
        <v>8</v>
      </c>
      <c r="D302" s="119">
        <v>71</v>
      </c>
      <c r="E302" s="120"/>
      <c r="F302" s="98"/>
      <c r="G302" s="99">
        <f t="shared" si="43"/>
        <v>0</v>
      </c>
      <c r="I302" s="33">
        <f>0.222*D302*6</f>
        <v>94.572000000000003</v>
      </c>
    </row>
    <row r="303" spans="1:13">
      <c r="A303" s="162"/>
      <c r="B303" s="163" t="s">
        <v>14</v>
      </c>
      <c r="C303" s="164" t="s">
        <v>9</v>
      </c>
      <c r="D303" s="119">
        <f>D300*20</f>
        <v>9.8546399999999998</v>
      </c>
      <c r="E303" s="120"/>
      <c r="F303" s="98"/>
      <c r="G303" s="99">
        <f t="shared" si="43"/>
        <v>0</v>
      </c>
      <c r="I303" s="33">
        <f>SUM(I301:I302)</f>
        <v>492.73199999999997</v>
      </c>
      <c r="J303" s="33"/>
    </row>
    <row r="304" spans="1:13">
      <c r="A304" s="162" t="s">
        <v>200</v>
      </c>
      <c r="B304" s="163" t="s">
        <v>323</v>
      </c>
      <c r="C304" s="164" t="s">
        <v>143</v>
      </c>
      <c r="D304" s="119">
        <f>I307/1000</f>
        <v>0.29740800000000001</v>
      </c>
      <c r="E304" s="120"/>
      <c r="F304" s="98"/>
      <c r="G304" s="99">
        <f t="shared" ref="G304:G311" si="44">(D304*E304)+(D304*F304)</f>
        <v>0</v>
      </c>
      <c r="I304" s="33"/>
      <c r="J304" s="33"/>
    </row>
    <row r="305" spans="1:12">
      <c r="A305" s="162"/>
      <c r="B305" s="163" t="s">
        <v>244</v>
      </c>
      <c r="C305" s="164" t="s">
        <v>8</v>
      </c>
      <c r="D305" s="119">
        <v>28</v>
      </c>
      <c r="E305" s="120"/>
      <c r="F305" s="98"/>
      <c r="G305" s="99">
        <f t="shared" si="44"/>
        <v>0</v>
      </c>
      <c r="I305" s="33">
        <f>D305*1.58*6</f>
        <v>265.44</v>
      </c>
      <c r="J305" s="22">
        <f>8.7*2+4.42</f>
        <v>21.82</v>
      </c>
      <c r="K305" s="22">
        <f>J305/0.15</f>
        <v>145.46666666666667</v>
      </c>
      <c r="L305" s="22">
        <f>K305/5</f>
        <v>29.093333333333334</v>
      </c>
    </row>
    <row r="306" spans="1:12">
      <c r="A306" s="162"/>
      <c r="B306" s="163" t="s">
        <v>247</v>
      </c>
      <c r="C306" s="164" t="s">
        <v>8</v>
      </c>
      <c r="D306" s="119">
        <v>24</v>
      </c>
      <c r="E306" s="120"/>
      <c r="F306" s="98"/>
      <c r="G306" s="99">
        <f t="shared" si="44"/>
        <v>0</v>
      </c>
      <c r="I306" s="33">
        <f>0.222*D306*6</f>
        <v>31.968000000000004</v>
      </c>
    </row>
    <row r="307" spans="1:12">
      <c r="A307" s="162"/>
      <c r="B307" s="163" t="s">
        <v>14</v>
      </c>
      <c r="C307" s="164" t="s">
        <v>9</v>
      </c>
      <c r="D307" s="119">
        <f>D304*20</f>
        <v>5.9481599999999997</v>
      </c>
      <c r="E307" s="120"/>
      <c r="F307" s="98"/>
      <c r="G307" s="99">
        <f t="shared" si="44"/>
        <v>0</v>
      </c>
      <c r="I307" s="33">
        <f>SUM(I305:I306)</f>
        <v>297.40800000000002</v>
      </c>
      <c r="J307" s="33"/>
    </row>
    <row r="308" spans="1:12">
      <c r="A308" s="162" t="s">
        <v>202</v>
      </c>
      <c r="B308" s="163" t="s">
        <v>324</v>
      </c>
      <c r="C308" s="164" t="s">
        <v>143</v>
      </c>
      <c r="D308" s="119">
        <f>I311/1000</f>
        <v>0.67098599999999997</v>
      </c>
      <c r="E308" s="120"/>
      <c r="F308" s="98"/>
      <c r="G308" s="99">
        <f t="shared" si="44"/>
        <v>0</v>
      </c>
      <c r="I308" s="33"/>
      <c r="J308" s="33"/>
    </row>
    <row r="309" spans="1:12">
      <c r="A309" s="162"/>
      <c r="B309" s="163" t="s">
        <v>330</v>
      </c>
      <c r="C309" s="164" t="s">
        <v>8</v>
      </c>
      <c r="D309" s="119">
        <v>39</v>
      </c>
      <c r="E309" s="120"/>
      <c r="F309" s="98"/>
      <c r="G309" s="99">
        <f t="shared" si="44"/>
        <v>0</v>
      </c>
      <c r="I309" s="33">
        <f>D309*2.469*6</f>
        <v>577.74599999999998</v>
      </c>
      <c r="J309" s="22">
        <f>8.7*3</f>
        <v>26.099999999999998</v>
      </c>
      <c r="K309" s="22">
        <f>(J309/0.15)*2</f>
        <v>348</v>
      </c>
      <c r="L309" s="22">
        <f>K309/5</f>
        <v>69.599999999999994</v>
      </c>
    </row>
    <row r="310" spans="1:12">
      <c r="A310" s="162"/>
      <c r="B310" s="163" t="s">
        <v>247</v>
      </c>
      <c r="C310" s="164" t="s">
        <v>8</v>
      </c>
      <c r="D310" s="119">
        <v>70</v>
      </c>
      <c r="E310" s="120"/>
      <c r="F310" s="98"/>
      <c r="G310" s="99">
        <f t="shared" si="44"/>
        <v>0</v>
      </c>
      <c r="I310" s="33">
        <f>0.222*D310*6</f>
        <v>93.240000000000009</v>
      </c>
      <c r="J310" s="33"/>
    </row>
    <row r="311" spans="1:12">
      <c r="A311" s="162"/>
      <c r="B311" s="163" t="s">
        <v>14</v>
      </c>
      <c r="C311" s="164" t="s">
        <v>9</v>
      </c>
      <c r="D311" s="119">
        <f>D308*20</f>
        <v>13.41972</v>
      </c>
      <c r="E311" s="120"/>
      <c r="F311" s="98"/>
      <c r="G311" s="99">
        <f t="shared" si="44"/>
        <v>0</v>
      </c>
      <c r="I311" s="33">
        <f>SUM(I309:I310)</f>
        <v>670.98599999999999</v>
      </c>
      <c r="J311" s="33"/>
    </row>
    <row r="312" spans="1:12">
      <c r="A312" s="162" t="s">
        <v>201</v>
      </c>
      <c r="B312" s="163" t="s">
        <v>327</v>
      </c>
      <c r="C312" s="164" t="s">
        <v>143</v>
      </c>
      <c r="D312" s="119">
        <f>I316/1000</f>
        <v>0.35545800000000005</v>
      </c>
      <c r="E312" s="120"/>
      <c r="F312" s="98"/>
      <c r="G312" s="99">
        <f t="shared" ref="G312:G325" si="45">(D312*E312)+(D312*F312)</f>
        <v>0</v>
      </c>
      <c r="I312" s="33"/>
      <c r="J312" s="33"/>
    </row>
    <row r="313" spans="1:12">
      <c r="A313" s="162"/>
      <c r="B313" s="163" t="s">
        <v>330</v>
      </c>
      <c r="C313" s="164" t="s">
        <v>8</v>
      </c>
      <c r="D313" s="119">
        <v>11</v>
      </c>
      <c r="E313" s="120"/>
      <c r="F313" s="98"/>
      <c r="G313" s="99">
        <f t="shared" ref="G313:G314" si="46">(D313*E313)+(D313*F313)</f>
        <v>0</v>
      </c>
      <c r="I313" s="33">
        <f>D313*2.469*6</f>
        <v>162.95400000000001</v>
      </c>
      <c r="J313" s="22">
        <v>19.399999999999999</v>
      </c>
      <c r="K313" s="22">
        <f>(J313/0.1)*2</f>
        <v>387.99999999999994</v>
      </c>
      <c r="L313" s="22">
        <f>K313/5</f>
        <v>77.599999999999994</v>
      </c>
    </row>
    <row r="314" spans="1:12">
      <c r="A314" s="162"/>
      <c r="B314" s="163" t="s">
        <v>244</v>
      </c>
      <c r="C314" s="164" t="s">
        <v>8</v>
      </c>
      <c r="D314" s="119">
        <v>13</v>
      </c>
      <c r="E314" s="120"/>
      <c r="F314" s="98"/>
      <c r="G314" s="99">
        <f t="shared" si="46"/>
        <v>0</v>
      </c>
      <c r="I314" s="33">
        <f>D314*1.58*6</f>
        <v>123.24</v>
      </c>
      <c r="J314" s="33"/>
    </row>
    <row r="315" spans="1:12">
      <c r="A315" s="162"/>
      <c r="B315" s="163" t="s">
        <v>247</v>
      </c>
      <c r="C315" s="164" t="s">
        <v>8</v>
      </c>
      <c r="D315" s="119">
        <v>52</v>
      </c>
      <c r="E315" s="120"/>
      <c r="F315" s="98"/>
      <c r="G315" s="99">
        <f t="shared" si="45"/>
        <v>0</v>
      </c>
      <c r="I315" s="33">
        <f>0.222*D315*6</f>
        <v>69.26400000000001</v>
      </c>
      <c r="J315" s="33"/>
    </row>
    <row r="316" spans="1:12">
      <c r="A316" s="162"/>
      <c r="B316" s="163" t="s">
        <v>14</v>
      </c>
      <c r="C316" s="164" t="s">
        <v>9</v>
      </c>
      <c r="D316" s="119">
        <f>D312*20</f>
        <v>7.109160000000001</v>
      </c>
      <c r="E316" s="120"/>
      <c r="F316" s="98"/>
      <c r="G316" s="99">
        <f t="shared" si="45"/>
        <v>0</v>
      </c>
      <c r="I316" s="33">
        <f>SUM(I313:I315)</f>
        <v>355.45800000000003</v>
      </c>
      <c r="J316" s="33"/>
    </row>
    <row r="317" spans="1:12">
      <c r="A317" s="162" t="s">
        <v>325</v>
      </c>
      <c r="B317" s="163" t="s">
        <v>328</v>
      </c>
      <c r="C317" s="164" t="s">
        <v>143</v>
      </c>
      <c r="D317" s="119">
        <f>I320/1000</f>
        <v>8.2061999999999996E-2</v>
      </c>
      <c r="E317" s="120"/>
      <c r="F317" s="98"/>
      <c r="G317" s="99">
        <f t="shared" si="45"/>
        <v>0</v>
      </c>
      <c r="I317" s="33"/>
      <c r="J317" s="33"/>
    </row>
    <row r="318" spans="1:12">
      <c r="A318" s="162"/>
      <c r="B318" s="163" t="s">
        <v>330</v>
      </c>
      <c r="C318" s="164" t="s">
        <v>8</v>
      </c>
      <c r="D318" s="119">
        <v>5</v>
      </c>
      <c r="E318" s="120"/>
      <c r="F318" s="98"/>
      <c r="G318" s="99">
        <f t="shared" si="45"/>
        <v>0</v>
      </c>
      <c r="I318" s="33">
        <f>D318*2.469*6</f>
        <v>74.069999999999993</v>
      </c>
      <c r="J318" s="33">
        <v>6.6</v>
      </c>
      <c r="K318" s="22">
        <f>(J318/0.15)</f>
        <v>44</v>
      </c>
      <c r="L318" s="22">
        <f>K318/4</f>
        <v>11</v>
      </c>
    </row>
    <row r="319" spans="1:12">
      <c r="A319" s="162"/>
      <c r="B319" s="163" t="s">
        <v>247</v>
      </c>
      <c r="C319" s="164" t="s">
        <v>8</v>
      </c>
      <c r="D319" s="119">
        <v>6</v>
      </c>
      <c r="E319" s="120"/>
      <c r="F319" s="98"/>
      <c r="G319" s="99">
        <f t="shared" si="45"/>
        <v>0</v>
      </c>
      <c r="I319" s="33">
        <f>0.222*D319*6</f>
        <v>7.9920000000000009</v>
      </c>
      <c r="J319" s="33"/>
    </row>
    <row r="320" spans="1:12">
      <c r="A320" s="162"/>
      <c r="B320" s="163" t="s">
        <v>14</v>
      </c>
      <c r="C320" s="164" t="s">
        <v>9</v>
      </c>
      <c r="D320" s="119">
        <f>D317*20</f>
        <v>1.6412399999999998</v>
      </c>
      <c r="E320" s="120"/>
      <c r="F320" s="98"/>
      <c r="G320" s="99">
        <f t="shared" si="45"/>
        <v>0</v>
      </c>
      <c r="I320" s="33">
        <f>SUM(I318:I319)</f>
        <v>82.061999999999998</v>
      </c>
      <c r="J320" s="33"/>
    </row>
    <row r="321" spans="1:14">
      <c r="A321" s="162" t="s">
        <v>326</v>
      </c>
      <c r="B321" s="163" t="s">
        <v>329</v>
      </c>
      <c r="C321" s="164" t="s">
        <v>143</v>
      </c>
      <c r="D321" s="119">
        <f>I325/1000</f>
        <v>0.53006400000000009</v>
      </c>
      <c r="E321" s="120"/>
      <c r="F321" s="98"/>
      <c r="G321" s="99">
        <f t="shared" si="45"/>
        <v>0</v>
      </c>
      <c r="I321" s="33"/>
      <c r="J321" s="33"/>
    </row>
    <row r="322" spans="1:14">
      <c r="A322" s="162"/>
      <c r="B322" s="163" t="s">
        <v>330</v>
      </c>
      <c r="C322" s="164" t="s">
        <v>8</v>
      </c>
      <c r="D322" s="119">
        <v>22</v>
      </c>
      <c r="E322" s="120"/>
      <c r="F322" s="98"/>
      <c r="G322" s="99">
        <f t="shared" ref="G322:G323" si="47">(D322*E322)+(D322*F322)</f>
        <v>0</v>
      </c>
      <c r="I322" s="33">
        <f t="shared" ref="I322" si="48">D322*2.469*6</f>
        <v>325.90800000000002</v>
      </c>
      <c r="J322" s="33">
        <v>12.9</v>
      </c>
      <c r="K322" s="22">
        <f>(J322/0.1)</f>
        <v>129</v>
      </c>
      <c r="L322" s="22">
        <f>K322/4</f>
        <v>32.25</v>
      </c>
    </row>
    <row r="323" spans="1:14">
      <c r="A323" s="162"/>
      <c r="B323" s="163" t="s">
        <v>331</v>
      </c>
      <c r="C323" s="164" t="s">
        <v>8</v>
      </c>
      <c r="D323" s="119">
        <v>6</v>
      </c>
      <c r="E323" s="120"/>
      <c r="F323" s="98"/>
      <c r="G323" s="99">
        <f t="shared" si="47"/>
        <v>0</v>
      </c>
      <c r="I323" s="33">
        <f>D323*3.858*6</f>
        <v>138.88800000000001</v>
      </c>
      <c r="J323" s="33"/>
    </row>
    <row r="324" spans="1:14">
      <c r="A324" s="162"/>
      <c r="B324" s="163" t="s">
        <v>247</v>
      </c>
      <c r="C324" s="164" t="s">
        <v>8</v>
      </c>
      <c r="D324" s="119">
        <v>49</v>
      </c>
      <c r="E324" s="120"/>
      <c r="F324" s="98"/>
      <c r="G324" s="99">
        <f t="shared" si="45"/>
        <v>0</v>
      </c>
      <c r="I324" s="33">
        <f>0.222*D324*6</f>
        <v>65.268000000000001</v>
      </c>
      <c r="J324" s="33"/>
    </row>
    <row r="325" spans="1:14">
      <c r="A325" s="162"/>
      <c r="B325" s="163" t="s">
        <v>14</v>
      </c>
      <c r="C325" s="164" t="s">
        <v>9</v>
      </c>
      <c r="D325" s="119">
        <f>D321*20</f>
        <v>10.601280000000003</v>
      </c>
      <c r="E325" s="120"/>
      <c r="F325" s="98"/>
      <c r="G325" s="99">
        <f t="shared" si="45"/>
        <v>0</v>
      </c>
      <c r="I325" s="33">
        <f>SUM(I322:I324)</f>
        <v>530.06400000000008</v>
      </c>
      <c r="J325" s="33"/>
    </row>
    <row r="326" spans="1:14">
      <c r="A326" s="183" t="s">
        <v>178</v>
      </c>
      <c r="B326" s="184" t="s">
        <v>307</v>
      </c>
      <c r="C326" s="185" t="s">
        <v>143</v>
      </c>
      <c r="D326" s="186">
        <f>I328/1000</f>
        <v>3.7649340000000002</v>
      </c>
      <c r="E326" s="187"/>
      <c r="F326" s="98"/>
      <c r="G326" s="99">
        <f t="shared" si="43"/>
        <v>0</v>
      </c>
      <c r="H326" s="41"/>
      <c r="I326" s="36"/>
      <c r="K326" s="22">
        <f>248.87*14</f>
        <v>3484.1800000000003</v>
      </c>
      <c r="L326" s="22">
        <f>K326*75%</f>
        <v>2613.1350000000002</v>
      </c>
      <c r="M326" s="22">
        <f>SUM(K326:L326)</f>
        <v>6097.3150000000005</v>
      </c>
      <c r="N326" s="22">
        <f>M326/6</f>
        <v>1016.2191666666668</v>
      </c>
    </row>
    <row r="327" spans="1:14">
      <c r="A327" s="188" t="s">
        <v>188</v>
      </c>
      <c r="B327" s="163" t="s">
        <v>246</v>
      </c>
      <c r="C327" s="189" t="s">
        <v>8</v>
      </c>
      <c r="D327" s="190">
        <v>1017</v>
      </c>
      <c r="E327" s="191"/>
      <c r="F327" s="192"/>
      <c r="G327" s="99">
        <f t="shared" si="43"/>
        <v>0</v>
      </c>
      <c r="H327" s="41"/>
      <c r="I327" s="33">
        <f>0.617*D327*6</f>
        <v>3764.9340000000002</v>
      </c>
    </row>
    <row r="328" spans="1:14">
      <c r="A328" s="188"/>
      <c r="B328" s="193" t="s">
        <v>14</v>
      </c>
      <c r="C328" s="189" t="s">
        <v>9</v>
      </c>
      <c r="D328" s="190">
        <f>D326*20</f>
        <v>75.298680000000004</v>
      </c>
      <c r="E328" s="191"/>
      <c r="F328" s="192"/>
      <c r="G328" s="99">
        <f t="shared" si="43"/>
        <v>0</v>
      </c>
      <c r="H328" s="41"/>
      <c r="I328" s="33">
        <f>SUM(I326:I327)</f>
        <v>3764.9340000000002</v>
      </c>
    </row>
    <row r="329" spans="1:14">
      <c r="A329" s="183" t="s">
        <v>189</v>
      </c>
      <c r="B329" s="184" t="s">
        <v>185</v>
      </c>
      <c r="C329" s="185"/>
      <c r="D329" s="186"/>
      <c r="E329" s="187"/>
      <c r="F329" s="98"/>
      <c r="G329" s="99"/>
    </row>
    <row r="330" spans="1:14">
      <c r="A330" s="162" t="s">
        <v>199</v>
      </c>
      <c r="B330" s="163" t="s">
        <v>457</v>
      </c>
      <c r="C330" s="164" t="s">
        <v>143</v>
      </c>
      <c r="D330" s="119">
        <f>I333/1000</f>
        <v>0.91000800000000004</v>
      </c>
      <c r="E330" s="120"/>
      <c r="F330" s="98"/>
      <c r="G330" s="99">
        <f t="shared" ref="G330:G344" si="49">(D330*E330)+(D330*F330)</f>
        <v>0</v>
      </c>
    </row>
    <row r="331" spans="1:14">
      <c r="A331" s="165"/>
      <c r="B331" s="163" t="s">
        <v>244</v>
      </c>
      <c r="C331" s="164" t="s">
        <v>8</v>
      </c>
      <c r="D331" s="119">
        <v>87</v>
      </c>
      <c r="E331" s="120"/>
      <c r="F331" s="98"/>
      <c r="G331" s="99">
        <f t="shared" si="49"/>
        <v>0</v>
      </c>
      <c r="I331" s="33">
        <f>D331*1.58*6</f>
        <v>824.76</v>
      </c>
      <c r="J331" s="22">
        <f>1.5*2*29</f>
        <v>87</v>
      </c>
      <c r="L331" s="22">
        <f>3.5/0.15</f>
        <v>23.333333333333336</v>
      </c>
      <c r="M331" s="22">
        <f>24*29</f>
        <v>696</v>
      </c>
      <c r="N331" s="22">
        <f>M331/11</f>
        <v>63.272727272727273</v>
      </c>
    </row>
    <row r="332" spans="1:14">
      <c r="A332" s="162"/>
      <c r="B332" s="163" t="s">
        <v>247</v>
      </c>
      <c r="C332" s="164" t="s">
        <v>8</v>
      </c>
      <c r="D332" s="119">
        <v>64</v>
      </c>
      <c r="E332" s="120"/>
      <c r="F332" s="98"/>
      <c r="G332" s="99">
        <f t="shared" si="49"/>
        <v>0</v>
      </c>
      <c r="I332" s="33">
        <f>0.222*D332*6</f>
        <v>85.248000000000005</v>
      </c>
    </row>
    <row r="333" spans="1:14">
      <c r="A333" s="162"/>
      <c r="B333" s="163" t="s">
        <v>14</v>
      </c>
      <c r="C333" s="164" t="s">
        <v>9</v>
      </c>
      <c r="D333" s="119">
        <f>D330*20</f>
        <v>18.20016</v>
      </c>
      <c r="E333" s="120"/>
      <c r="F333" s="98"/>
      <c r="G333" s="99">
        <f t="shared" si="49"/>
        <v>0</v>
      </c>
      <c r="I333" s="33">
        <f>SUM(I331:I332)</f>
        <v>910.00800000000004</v>
      </c>
      <c r="J333" s="33"/>
    </row>
    <row r="334" spans="1:14">
      <c r="A334" s="162" t="s">
        <v>200</v>
      </c>
      <c r="B334" s="163" t="s">
        <v>458</v>
      </c>
      <c r="C334" s="164" t="s">
        <v>143</v>
      </c>
      <c r="D334" s="119">
        <f>I337/1000</f>
        <v>0.26481600000000005</v>
      </c>
      <c r="E334" s="120"/>
      <c r="F334" s="98"/>
      <c r="G334" s="99">
        <f t="shared" si="49"/>
        <v>0</v>
      </c>
      <c r="I334" s="33"/>
      <c r="J334" s="33"/>
    </row>
    <row r="335" spans="1:14">
      <c r="A335" s="162"/>
      <c r="B335" s="163" t="s">
        <v>244</v>
      </c>
      <c r="C335" s="164" t="s">
        <v>8</v>
      </c>
      <c r="D335" s="119">
        <v>24</v>
      </c>
      <c r="E335" s="120"/>
      <c r="F335" s="98"/>
      <c r="G335" s="99">
        <f t="shared" si="49"/>
        <v>0</v>
      </c>
      <c r="I335" s="33">
        <f>D335*1.58*6</f>
        <v>227.52</v>
      </c>
      <c r="J335" s="22">
        <f>1.5*4*4</f>
        <v>24</v>
      </c>
      <c r="K335" s="22">
        <f>24*3</f>
        <v>72</v>
      </c>
      <c r="L335" s="22">
        <f>K335/6</f>
        <v>12</v>
      </c>
      <c r="M335" s="22">
        <f>K335/8</f>
        <v>9</v>
      </c>
    </row>
    <row r="336" spans="1:14">
      <c r="A336" s="162"/>
      <c r="B336" s="163" t="s">
        <v>247</v>
      </c>
      <c r="C336" s="164" t="s">
        <v>8</v>
      </c>
      <c r="D336" s="119">
        <v>28</v>
      </c>
      <c r="E336" s="120"/>
      <c r="F336" s="98"/>
      <c r="G336" s="99">
        <f t="shared" si="49"/>
        <v>0</v>
      </c>
      <c r="I336" s="33">
        <f>0.222*D336*6</f>
        <v>37.295999999999999</v>
      </c>
      <c r="J336" s="54">
        <f>D336/3</f>
        <v>9.3333333333333339</v>
      </c>
      <c r="K336" s="54">
        <f>J336*4</f>
        <v>37.333333333333336</v>
      </c>
    </row>
    <row r="337" spans="1:10">
      <c r="A337" s="162"/>
      <c r="B337" s="163" t="s">
        <v>14</v>
      </c>
      <c r="C337" s="164" t="s">
        <v>9</v>
      </c>
      <c r="D337" s="119">
        <f>D334*20</f>
        <v>5.2963200000000015</v>
      </c>
      <c r="E337" s="120"/>
      <c r="F337" s="98"/>
      <c r="G337" s="99">
        <f t="shared" si="49"/>
        <v>0</v>
      </c>
      <c r="I337" s="33">
        <f>SUM(I335:I336)</f>
        <v>264.81600000000003</v>
      </c>
      <c r="J337" s="33"/>
    </row>
    <row r="338" spans="1:10">
      <c r="A338" s="162" t="s">
        <v>202</v>
      </c>
      <c r="B338" s="163" t="s">
        <v>459</v>
      </c>
      <c r="C338" s="164" t="s">
        <v>143</v>
      </c>
      <c r="D338" s="119">
        <f>I341/1000</f>
        <v>7.7292E-2</v>
      </c>
      <c r="E338" s="120"/>
      <c r="F338" s="98"/>
      <c r="G338" s="99">
        <f t="shared" si="49"/>
        <v>0</v>
      </c>
      <c r="I338" s="33"/>
      <c r="J338" s="33"/>
    </row>
    <row r="339" spans="1:10">
      <c r="A339" s="162"/>
      <c r="B339" s="163" t="s">
        <v>246</v>
      </c>
      <c r="C339" s="164" t="s">
        <v>8</v>
      </c>
      <c r="D339" s="119">
        <v>18</v>
      </c>
      <c r="E339" s="120"/>
      <c r="F339" s="98"/>
      <c r="G339" s="99">
        <f t="shared" si="49"/>
        <v>0</v>
      </c>
      <c r="I339" s="33">
        <f>D339*0.617*6</f>
        <v>66.635999999999996</v>
      </c>
      <c r="J339" s="33">
        <f>3*6</f>
        <v>18</v>
      </c>
    </row>
    <row r="340" spans="1:10">
      <c r="A340" s="162"/>
      <c r="B340" s="163" t="s">
        <v>247</v>
      </c>
      <c r="C340" s="164" t="s">
        <v>8</v>
      </c>
      <c r="D340" s="119">
        <v>8</v>
      </c>
      <c r="E340" s="120"/>
      <c r="F340" s="98"/>
      <c r="G340" s="99">
        <f t="shared" si="49"/>
        <v>0</v>
      </c>
      <c r="I340" s="33">
        <f>0.222*D340*6</f>
        <v>10.656000000000001</v>
      </c>
      <c r="J340" s="33"/>
    </row>
    <row r="341" spans="1:10">
      <c r="A341" s="162"/>
      <c r="B341" s="163" t="s">
        <v>14</v>
      </c>
      <c r="C341" s="164" t="s">
        <v>9</v>
      </c>
      <c r="D341" s="119">
        <f>D338*20</f>
        <v>1.5458400000000001</v>
      </c>
      <c r="E341" s="120"/>
      <c r="F341" s="98"/>
      <c r="G341" s="99">
        <f t="shared" si="49"/>
        <v>0</v>
      </c>
      <c r="I341" s="33">
        <f>SUM(I339:I340)</f>
        <v>77.292000000000002</v>
      </c>
      <c r="J341" s="33">
        <f>1.25*6</f>
        <v>7.5</v>
      </c>
    </row>
    <row r="342" spans="1:10">
      <c r="A342" s="183" t="s">
        <v>190</v>
      </c>
      <c r="B342" s="184" t="s">
        <v>212</v>
      </c>
      <c r="C342" s="185" t="s">
        <v>143</v>
      </c>
      <c r="D342" s="186">
        <f>I344/1000</f>
        <v>0.39981599999999995</v>
      </c>
      <c r="E342" s="187"/>
      <c r="F342" s="98"/>
      <c r="G342" s="99">
        <f t="shared" si="49"/>
        <v>0</v>
      </c>
      <c r="H342" s="41"/>
      <c r="I342" s="36"/>
    </row>
    <row r="343" spans="1:10">
      <c r="A343" s="188" t="s">
        <v>188</v>
      </c>
      <c r="B343" s="163" t="s">
        <v>246</v>
      </c>
      <c r="C343" s="189" t="s">
        <v>8</v>
      </c>
      <c r="D343" s="190">
        <v>108</v>
      </c>
      <c r="E343" s="191"/>
      <c r="F343" s="192"/>
      <c r="G343" s="99">
        <f t="shared" si="49"/>
        <v>0</v>
      </c>
      <c r="H343" s="41"/>
      <c r="I343" s="33">
        <f>0.617*D343*6</f>
        <v>399.81599999999997</v>
      </c>
    </row>
    <row r="344" spans="1:10">
      <c r="A344" s="188"/>
      <c r="B344" s="193" t="s">
        <v>14</v>
      </c>
      <c r="C344" s="189" t="s">
        <v>9</v>
      </c>
      <c r="D344" s="190">
        <f>D342*20</f>
        <v>7.996319999999999</v>
      </c>
      <c r="E344" s="191"/>
      <c r="F344" s="192"/>
      <c r="G344" s="99">
        <f t="shared" si="49"/>
        <v>0</v>
      </c>
      <c r="H344" s="41"/>
      <c r="I344" s="33">
        <f>SUM(I342:I343)</f>
        <v>399.81599999999997</v>
      </c>
    </row>
    <row r="345" spans="1:10">
      <c r="A345" s="188"/>
      <c r="B345" s="193"/>
      <c r="C345" s="189"/>
      <c r="D345" s="190"/>
      <c r="E345" s="191"/>
      <c r="F345" s="192"/>
      <c r="G345" s="99"/>
      <c r="H345" s="41"/>
      <c r="I345" s="33"/>
    </row>
    <row r="346" spans="1:10">
      <c r="A346" s="188"/>
      <c r="B346" s="193"/>
      <c r="C346" s="189"/>
      <c r="D346" s="190"/>
      <c r="E346" s="191"/>
      <c r="F346" s="192"/>
      <c r="G346" s="99"/>
      <c r="H346" s="41"/>
      <c r="I346" s="33"/>
    </row>
    <row r="347" spans="1:10">
      <c r="A347" s="188"/>
      <c r="B347" s="193"/>
      <c r="C347" s="189"/>
      <c r="D347" s="190"/>
      <c r="E347" s="191"/>
      <c r="F347" s="192"/>
      <c r="G347" s="99"/>
      <c r="H347" s="41"/>
      <c r="I347" s="33"/>
    </row>
    <row r="348" spans="1:10">
      <c r="A348" s="188"/>
      <c r="B348" s="193"/>
      <c r="C348" s="189"/>
      <c r="D348" s="190"/>
      <c r="E348" s="191"/>
      <c r="F348" s="192"/>
      <c r="G348" s="99"/>
      <c r="H348" s="41"/>
      <c r="I348" s="33"/>
    </row>
    <row r="349" spans="1:10">
      <c r="A349" s="188"/>
      <c r="B349" s="193"/>
      <c r="C349" s="189"/>
      <c r="D349" s="190"/>
      <c r="E349" s="191"/>
      <c r="F349" s="192"/>
      <c r="G349" s="99"/>
      <c r="H349" s="41"/>
      <c r="I349" s="33"/>
    </row>
    <row r="350" spans="1:10">
      <c r="A350" s="188"/>
      <c r="B350" s="193"/>
      <c r="C350" s="189"/>
      <c r="D350" s="190"/>
      <c r="E350" s="191"/>
      <c r="F350" s="192"/>
      <c r="G350" s="99"/>
      <c r="H350" s="41"/>
      <c r="I350" s="33"/>
    </row>
    <row r="351" spans="1:10">
      <c r="A351" s="188"/>
      <c r="B351" s="193"/>
      <c r="C351" s="189"/>
      <c r="D351" s="190"/>
      <c r="E351" s="191"/>
      <c r="F351" s="192"/>
      <c r="G351" s="99"/>
      <c r="H351" s="41"/>
      <c r="I351" s="33"/>
    </row>
    <row r="352" spans="1:10" ht="12.75" thickBot="1">
      <c r="A352" s="411"/>
      <c r="B352" s="412"/>
      <c r="C352" s="413"/>
      <c r="D352" s="414"/>
      <c r="E352" s="373"/>
      <c r="F352" s="374"/>
      <c r="G352" s="364"/>
      <c r="H352" s="41"/>
      <c r="I352" s="33"/>
    </row>
    <row r="353" spans="1:13">
      <c r="A353" s="188"/>
      <c r="B353" s="193"/>
      <c r="C353" s="189"/>
      <c r="D353" s="190"/>
      <c r="E353" s="191"/>
      <c r="F353" s="192"/>
      <c r="G353" s="99"/>
      <c r="H353" s="41"/>
      <c r="I353" s="33"/>
    </row>
    <row r="354" spans="1:13">
      <c r="A354" s="155" t="s">
        <v>315</v>
      </c>
      <c r="B354" s="156" t="s">
        <v>71</v>
      </c>
      <c r="C354" s="177"/>
      <c r="D354" s="178"/>
      <c r="E354" s="179"/>
      <c r="F354" s="180"/>
      <c r="G354" s="181">
        <f t="shared" ref="G354" si="50">(D354*E354)+(D354*F354)</f>
        <v>0</v>
      </c>
    </row>
    <row r="355" spans="1:13">
      <c r="A355" s="183" t="s">
        <v>177</v>
      </c>
      <c r="B355" s="184" t="s">
        <v>322</v>
      </c>
      <c r="C355" s="185"/>
      <c r="D355" s="186"/>
      <c r="E355" s="187"/>
      <c r="F355" s="98"/>
      <c r="G355" s="99"/>
    </row>
    <row r="356" spans="1:13">
      <c r="A356" s="162" t="s">
        <v>199</v>
      </c>
      <c r="B356" s="163" t="s">
        <v>308</v>
      </c>
      <c r="C356" s="164" t="s">
        <v>143</v>
      </c>
      <c r="D356" s="119">
        <f>I359/1000</f>
        <v>0.49273199999999995</v>
      </c>
      <c r="E356" s="120"/>
      <c r="F356" s="98"/>
      <c r="G356" s="99">
        <f t="shared" ref="G356:G384" si="51">(D356*E356)+(D356*F356)</f>
        <v>0</v>
      </c>
    </row>
    <row r="357" spans="1:13">
      <c r="A357" s="165"/>
      <c r="B357" s="163" t="s">
        <v>244</v>
      </c>
      <c r="C357" s="164" t="s">
        <v>8</v>
      </c>
      <c r="D357" s="119">
        <v>42</v>
      </c>
      <c r="E357" s="120"/>
      <c r="F357" s="98"/>
      <c r="G357" s="99">
        <f t="shared" si="51"/>
        <v>0</v>
      </c>
      <c r="I357" s="33">
        <f>D357*1.58*6</f>
        <v>398.15999999999997</v>
      </c>
      <c r="J357" s="22">
        <f>19.4*2+10.7+2.2</f>
        <v>51.7</v>
      </c>
      <c r="L357" s="22">
        <f>J357/0.15</f>
        <v>344.66666666666669</v>
      </c>
      <c r="M357" s="22">
        <f>L357/5</f>
        <v>68.933333333333337</v>
      </c>
    </row>
    <row r="358" spans="1:13">
      <c r="A358" s="162"/>
      <c r="B358" s="163" t="s">
        <v>247</v>
      </c>
      <c r="C358" s="164" t="s">
        <v>8</v>
      </c>
      <c r="D358" s="119">
        <v>71</v>
      </c>
      <c r="E358" s="120"/>
      <c r="F358" s="98"/>
      <c r="G358" s="99">
        <f t="shared" si="51"/>
        <v>0</v>
      </c>
      <c r="I358" s="33">
        <f>0.222*D358*6</f>
        <v>94.572000000000003</v>
      </c>
    </row>
    <row r="359" spans="1:13">
      <c r="A359" s="162"/>
      <c r="B359" s="163" t="s">
        <v>14</v>
      </c>
      <c r="C359" s="164" t="s">
        <v>9</v>
      </c>
      <c r="D359" s="119">
        <f>D356*20</f>
        <v>9.8546399999999998</v>
      </c>
      <c r="E359" s="120"/>
      <c r="F359" s="98"/>
      <c r="G359" s="99">
        <f t="shared" si="51"/>
        <v>0</v>
      </c>
      <c r="I359" s="33">
        <f>SUM(I357:I358)</f>
        <v>492.73199999999997</v>
      </c>
      <c r="J359" s="33"/>
    </row>
    <row r="360" spans="1:13">
      <c r="A360" s="162" t="s">
        <v>200</v>
      </c>
      <c r="B360" s="163" t="s">
        <v>323</v>
      </c>
      <c r="C360" s="164" t="s">
        <v>143</v>
      </c>
      <c r="D360" s="119">
        <f>I363/1000</f>
        <v>0.29740800000000001</v>
      </c>
      <c r="E360" s="120"/>
      <c r="F360" s="98"/>
      <c r="G360" s="99">
        <f t="shared" si="51"/>
        <v>0</v>
      </c>
      <c r="I360" s="33"/>
      <c r="J360" s="33"/>
    </row>
    <row r="361" spans="1:13">
      <c r="A361" s="162"/>
      <c r="B361" s="163" t="s">
        <v>244</v>
      </c>
      <c r="C361" s="164" t="s">
        <v>8</v>
      </c>
      <c r="D361" s="119">
        <v>28</v>
      </c>
      <c r="E361" s="120"/>
      <c r="F361" s="98"/>
      <c r="G361" s="99">
        <f t="shared" si="51"/>
        <v>0</v>
      </c>
      <c r="I361" s="33">
        <f>D361*1.58*6</f>
        <v>265.44</v>
      </c>
      <c r="J361" s="22">
        <f>8.7*2+4.42</f>
        <v>21.82</v>
      </c>
      <c r="K361" s="22">
        <f>J361/0.15</f>
        <v>145.46666666666667</v>
      </c>
      <c r="L361" s="22">
        <f>K361/5</f>
        <v>29.093333333333334</v>
      </c>
    </row>
    <row r="362" spans="1:13">
      <c r="A362" s="162"/>
      <c r="B362" s="163" t="s">
        <v>247</v>
      </c>
      <c r="C362" s="164" t="s">
        <v>8</v>
      </c>
      <c r="D362" s="119">
        <v>24</v>
      </c>
      <c r="E362" s="120"/>
      <c r="F362" s="98"/>
      <c r="G362" s="99">
        <f t="shared" si="51"/>
        <v>0</v>
      </c>
      <c r="I362" s="33">
        <f>0.222*D362*6</f>
        <v>31.968000000000004</v>
      </c>
    </row>
    <row r="363" spans="1:13">
      <c r="A363" s="162"/>
      <c r="B363" s="163" t="s">
        <v>14</v>
      </c>
      <c r="C363" s="164" t="s">
        <v>9</v>
      </c>
      <c r="D363" s="119">
        <f>D360*20</f>
        <v>5.9481599999999997</v>
      </c>
      <c r="E363" s="120"/>
      <c r="F363" s="98"/>
      <c r="G363" s="99">
        <f t="shared" si="51"/>
        <v>0</v>
      </c>
      <c r="I363" s="33">
        <f>SUM(I361:I362)</f>
        <v>297.40800000000002</v>
      </c>
      <c r="J363" s="33"/>
    </row>
    <row r="364" spans="1:13">
      <c r="A364" s="162" t="s">
        <v>202</v>
      </c>
      <c r="B364" s="163" t="s">
        <v>324</v>
      </c>
      <c r="C364" s="164" t="s">
        <v>143</v>
      </c>
      <c r="D364" s="119">
        <f>I367/1000</f>
        <v>0.67098599999999997</v>
      </c>
      <c r="E364" s="120"/>
      <c r="F364" s="98"/>
      <c r="G364" s="99">
        <f t="shared" si="51"/>
        <v>0</v>
      </c>
      <c r="I364" s="33"/>
      <c r="J364" s="33"/>
    </row>
    <row r="365" spans="1:13">
      <c r="A365" s="162"/>
      <c r="B365" s="163" t="s">
        <v>330</v>
      </c>
      <c r="C365" s="164" t="s">
        <v>8</v>
      </c>
      <c r="D365" s="119">
        <v>39</v>
      </c>
      <c r="E365" s="120"/>
      <c r="F365" s="98"/>
      <c r="G365" s="99">
        <f t="shared" si="51"/>
        <v>0</v>
      </c>
      <c r="I365" s="33">
        <f>D365*2.469*6</f>
        <v>577.74599999999998</v>
      </c>
      <c r="J365" s="22">
        <f>8.7*3</f>
        <v>26.099999999999998</v>
      </c>
      <c r="K365" s="22">
        <f>(J365/0.15)*2</f>
        <v>348</v>
      </c>
      <c r="L365" s="22">
        <f>K365/5</f>
        <v>69.599999999999994</v>
      </c>
    </row>
    <row r="366" spans="1:13">
      <c r="A366" s="162"/>
      <c r="B366" s="163" t="s">
        <v>247</v>
      </c>
      <c r="C366" s="164" t="s">
        <v>8</v>
      </c>
      <c r="D366" s="119">
        <v>70</v>
      </c>
      <c r="E366" s="120"/>
      <c r="F366" s="98"/>
      <c r="G366" s="99">
        <f t="shared" si="51"/>
        <v>0</v>
      </c>
      <c r="I366" s="33">
        <f>0.222*D366*6</f>
        <v>93.240000000000009</v>
      </c>
      <c r="J366" s="33"/>
    </row>
    <row r="367" spans="1:13">
      <c r="A367" s="162"/>
      <c r="B367" s="163" t="s">
        <v>14</v>
      </c>
      <c r="C367" s="164" t="s">
        <v>9</v>
      </c>
      <c r="D367" s="119">
        <f>D364*20</f>
        <v>13.41972</v>
      </c>
      <c r="E367" s="120"/>
      <c r="F367" s="98"/>
      <c r="G367" s="99">
        <f t="shared" si="51"/>
        <v>0</v>
      </c>
      <c r="I367" s="33">
        <f>SUM(I365:I366)</f>
        <v>670.98599999999999</v>
      </c>
      <c r="J367" s="33"/>
    </row>
    <row r="368" spans="1:13">
      <c r="A368" s="162" t="s">
        <v>201</v>
      </c>
      <c r="B368" s="163" t="s">
        <v>327</v>
      </c>
      <c r="C368" s="164" t="s">
        <v>143</v>
      </c>
      <c r="D368" s="119">
        <f>I372/1000</f>
        <v>0.35545800000000005</v>
      </c>
      <c r="E368" s="120"/>
      <c r="F368" s="98"/>
      <c r="G368" s="99">
        <f t="shared" si="51"/>
        <v>0</v>
      </c>
      <c r="I368" s="33"/>
      <c r="J368" s="33"/>
    </row>
    <row r="369" spans="1:17">
      <c r="A369" s="162"/>
      <c r="B369" s="163" t="s">
        <v>330</v>
      </c>
      <c r="C369" s="164" t="s">
        <v>8</v>
      </c>
      <c r="D369" s="119">
        <v>11</v>
      </c>
      <c r="E369" s="120"/>
      <c r="F369" s="98"/>
      <c r="G369" s="99">
        <f t="shared" si="51"/>
        <v>0</v>
      </c>
      <c r="I369" s="33">
        <f>D369*2.469*6</f>
        <v>162.95400000000001</v>
      </c>
      <c r="J369" s="22">
        <v>19.399999999999999</v>
      </c>
      <c r="K369" s="22">
        <f>(J369/0.1)*2</f>
        <v>387.99999999999994</v>
      </c>
      <c r="L369" s="22">
        <f>K369/5</f>
        <v>77.599999999999994</v>
      </c>
    </row>
    <row r="370" spans="1:17">
      <c r="A370" s="162"/>
      <c r="B370" s="163" t="s">
        <v>244</v>
      </c>
      <c r="C370" s="164" t="s">
        <v>8</v>
      </c>
      <c r="D370" s="119">
        <v>13</v>
      </c>
      <c r="E370" s="120"/>
      <c r="F370" s="98"/>
      <c r="G370" s="99">
        <f t="shared" si="51"/>
        <v>0</v>
      </c>
      <c r="I370" s="33">
        <f>D370*1.58*6</f>
        <v>123.24</v>
      </c>
      <c r="J370" s="33"/>
    </row>
    <row r="371" spans="1:17">
      <c r="A371" s="162"/>
      <c r="B371" s="163" t="s">
        <v>247</v>
      </c>
      <c r="C371" s="164" t="s">
        <v>8</v>
      </c>
      <c r="D371" s="119">
        <v>52</v>
      </c>
      <c r="E371" s="120"/>
      <c r="F371" s="98"/>
      <c r="G371" s="99">
        <f t="shared" si="51"/>
        <v>0</v>
      </c>
      <c r="I371" s="33">
        <f>0.222*D371*6</f>
        <v>69.26400000000001</v>
      </c>
      <c r="J371" s="33"/>
    </row>
    <row r="372" spans="1:17">
      <c r="A372" s="162"/>
      <c r="B372" s="163" t="s">
        <v>14</v>
      </c>
      <c r="C372" s="164" t="s">
        <v>9</v>
      </c>
      <c r="D372" s="119">
        <f>D368*20</f>
        <v>7.109160000000001</v>
      </c>
      <c r="E372" s="120"/>
      <c r="F372" s="98"/>
      <c r="G372" s="99">
        <f t="shared" si="51"/>
        <v>0</v>
      </c>
      <c r="I372" s="33">
        <f>SUM(I369:I371)</f>
        <v>355.45800000000003</v>
      </c>
      <c r="J372" s="33"/>
    </row>
    <row r="373" spans="1:17">
      <c r="A373" s="162" t="s">
        <v>325</v>
      </c>
      <c r="B373" s="163" t="s">
        <v>328</v>
      </c>
      <c r="C373" s="164" t="s">
        <v>143</v>
      </c>
      <c r="D373" s="119">
        <f>I376/1000</f>
        <v>8.2061999999999996E-2</v>
      </c>
      <c r="E373" s="120"/>
      <c r="F373" s="98"/>
      <c r="G373" s="99">
        <f t="shared" si="51"/>
        <v>0</v>
      </c>
      <c r="I373" s="33"/>
      <c r="J373" s="33"/>
    </row>
    <row r="374" spans="1:17">
      <c r="A374" s="162"/>
      <c r="B374" s="163" t="s">
        <v>330</v>
      </c>
      <c r="C374" s="164" t="s">
        <v>8</v>
      </c>
      <c r="D374" s="119">
        <v>5</v>
      </c>
      <c r="E374" s="120"/>
      <c r="F374" s="98"/>
      <c r="G374" s="99">
        <f t="shared" si="51"/>
        <v>0</v>
      </c>
      <c r="I374" s="33">
        <f>D374*2.469*6</f>
        <v>74.069999999999993</v>
      </c>
      <c r="J374" s="33">
        <v>6.6</v>
      </c>
      <c r="K374" s="22">
        <f>(J374/0.15)</f>
        <v>44</v>
      </c>
      <c r="L374" s="22">
        <f>K374/4</f>
        <v>11</v>
      </c>
    </row>
    <row r="375" spans="1:17">
      <c r="A375" s="162"/>
      <c r="B375" s="163" t="s">
        <v>247</v>
      </c>
      <c r="C375" s="164" t="s">
        <v>8</v>
      </c>
      <c r="D375" s="119">
        <v>6</v>
      </c>
      <c r="E375" s="120"/>
      <c r="F375" s="98"/>
      <c r="G375" s="99">
        <f t="shared" si="51"/>
        <v>0</v>
      </c>
      <c r="I375" s="33">
        <f>0.222*D375*6</f>
        <v>7.9920000000000009</v>
      </c>
      <c r="J375" s="33"/>
    </row>
    <row r="376" spans="1:17">
      <c r="A376" s="162"/>
      <c r="B376" s="163" t="s">
        <v>14</v>
      </c>
      <c r="C376" s="164" t="s">
        <v>9</v>
      </c>
      <c r="D376" s="119">
        <f>D373*20</f>
        <v>1.6412399999999998</v>
      </c>
      <c r="E376" s="120"/>
      <c r="F376" s="98"/>
      <c r="G376" s="99">
        <f t="shared" si="51"/>
        <v>0</v>
      </c>
      <c r="I376" s="33">
        <f>SUM(I374:I375)</f>
        <v>82.061999999999998</v>
      </c>
      <c r="J376" s="33"/>
    </row>
    <row r="377" spans="1:17">
      <c r="A377" s="162" t="s">
        <v>326</v>
      </c>
      <c r="B377" s="163" t="s">
        <v>329</v>
      </c>
      <c r="C377" s="164" t="s">
        <v>143</v>
      </c>
      <c r="D377" s="119">
        <f>I381/1000</f>
        <v>0.53006400000000009</v>
      </c>
      <c r="E377" s="120"/>
      <c r="F377" s="98"/>
      <c r="G377" s="99">
        <f t="shared" si="51"/>
        <v>0</v>
      </c>
      <c r="I377" s="33"/>
      <c r="J377" s="33"/>
    </row>
    <row r="378" spans="1:17">
      <c r="A378" s="162"/>
      <c r="B378" s="163" t="s">
        <v>330</v>
      </c>
      <c r="C378" s="164" t="s">
        <v>8</v>
      </c>
      <c r="D378" s="119">
        <v>22</v>
      </c>
      <c r="E378" s="120"/>
      <c r="F378" s="98"/>
      <c r="G378" s="99">
        <f t="shared" si="51"/>
        <v>0</v>
      </c>
      <c r="I378" s="33">
        <f t="shared" ref="I378" si="52">D378*2.469*6</f>
        <v>325.90800000000002</v>
      </c>
      <c r="J378" s="33">
        <v>12.9</v>
      </c>
      <c r="K378" s="22">
        <f>(J378/0.1)</f>
        <v>129</v>
      </c>
      <c r="L378" s="22">
        <f>K378/4</f>
        <v>32.25</v>
      </c>
    </row>
    <row r="379" spans="1:17">
      <c r="A379" s="162"/>
      <c r="B379" s="163" t="s">
        <v>331</v>
      </c>
      <c r="C379" s="164" t="s">
        <v>8</v>
      </c>
      <c r="D379" s="119">
        <v>6</v>
      </c>
      <c r="E379" s="120"/>
      <c r="F379" s="98"/>
      <c r="G379" s="99">
        <f t="shared" si="51"/>
        <v>0</v>
      </c>
      <c r="I379" s="33">
        <f>D379*3.858*6</f>
        <v>138.88800000000001</v>
      </c>
      <c r="J379" s="33"/>
    </row>
    <row r="380" spans="1:17">
      <c r="A380" s="162"/>
      <c r="B380" s="163" t="s">
        <v>247</v>
      </c>
      <c r="C380" s="164" t="s">
        <v>8</v>
      </c>
      <c r="D380" s="119">
        <v>49</v>
      </c>
      <c r="E380" s="120"/>
      <c r="F380" s="98"/>
      <c r="G380" s="99">
        <f t="shared" si="51"/>
        <v>0</v>
      </c>
      <c r="I380" s="33">
        <f>0.222*D380*6</f>
        <v>65.268000000000001</v>
      </c>
      <c r="J380" s="33"/>
    </row>
    <row r="381" spans="1:17">
      <c r="A381" s="162"/>
      <c r="B381" s="163" t="s">
        <v>14</v>
      </c>
      <c r="C381" s="164" t="s">
        <v>9</v>
      </c>
      <c r="D381" s="119">
        <f>D377*20</f>
        <v>10.601280000000003</v>
      </c>
      <c r="E381" s="120"/>
      <c r="F381" s="98"/>
      <c r="G381" s="99">
        <f t="shared" si="51"/>
        <v>0</v>
      </c>
      <c r="I381" s="33">
        <f>SUM(I378:I380)</f>
        <v>530.06400000000008</v>
      </c>
      <c r="J381" s="33"/>
    </row>
    <row r="382" spans="1:17">
      <c r="A382" s="183" t="s">
        <v>178</v>
      </c>
      <c r="B382" s="184" t="s">
        <v>307</v>
      </c>
      <c r="C382" s="185" t="s">
        <v>143</v>
      </c>
      <c r="D382" s="186">
        <f>I384/1000</f>
        <v>3.7649340000000002</v>
      </c>
      <c r="E382" s="187"/>
      <c r="F382" s="98"/>
      <c r="G382" s="99">
        <f t="shared" si="51"/>
        <v>0</v>
      </c>
      <c r="H382" s="41"/>
      <c r="I382" s="36"/>
      <c r="K382" s="22">
        <f>248.87*14</f>
        <v>3484.1800000000003</v>
      </c>
      <c r="L382" s="22">
        <f>K382*75%</f>
        <v>2613.1350000000002</v>
      </c>
      <c r="M382" s="22">
        <f>SUM(K382:L382)</f>
        <v>6097.3150000000005</v>
      </c>
      <c r="N382" s="22">
        <f>M382/6</f>
        <v>1016.2191666666668</v>
      </c>
      <c r="P382" s="22">
        <f>SUM(N382:O382)</f>
        <v>1016.2191666666668</v>
      </c>
      <c r="Q382" s="22">
        <f>P382/6</f>
        <v>169.36986111111113</v>
      </c>
    </row>
    <row r="383" spans="1:17">
      <c r="A383" s="188" t="s">
        <v>188</v>
      </c>
      <c r="B383" s="163" t="s">
        <v>246</v>
      </c>
      <c r="C383" s="189" t="s">
        <v>8</v>
      </c>
      <c r="D383" s="190">
        <v>1017</v>
      </c>
      <c r="E383" s="191"/>
      <c r="F383" s="192"/>
      <c r="G383" s="99">
        <f t="shared" si="51"/>
        <v>0</v>
      </c>
      <c r="H383" s="41"/>
      <c r="I383" s="33">
        <f>0.617*D383*6</f>
        <v>3764.9340000000002</v>
      </c>
    </row>
    <row r="384" spans="1:17">
      <c r="A384" s="188"/>
      <c r="B384" s="193" t="s">
        <v>14</v>
      </c>
      <c r="C384" s="189" t="s">
        <v>9</v>
      </c>
      <c r="D384" s="190">
        <f>D382*20</f>
        <v>75.298680000000004</v>
      </c>
      <c r="E384" s="191"/>
      <c r="F384" s="192"/>
      <c r="G384" s="99">
        <f t="shared" si="51"/>
        <v>0</v>
      </c>
      <c r="H384" s="41"/>
      <c r="I384" s="33">
        <f>SUM(I382:I383)</f>
        <v>3764.9340000000002</v>
      </c>
    </row>
    <row r="385" spans="1:14">
      <c r="A385" s="183" t="s">
        <v>189</v>
      </c>
      <c r="B385" s="184" t="s">
        <v>185</v>
      </c>
      <c r="C385" s="185"/>
      <c r="D385" s="186"/>
      <c r="E385" s="187"/>
      <c r="F385" s="98"/>
      <c r="G385" s="99"/>
    </row>
    <row r="386" spans="1:14">
      <c r="A386" s="162" t="s">
        <v>199</v>
      </c>
      <c r="B386" s="163" t="s">
        <v>457</v>
      </c>
      <c r="C386" s="164" t="s">
        <v>143</v>
      </c>
      <c r="D386" s="119">
        <f>I389/1000</f>
        <v>0.91000800000000004</v>
      </c>
      <c r="E386" s="120"/>
      <c r="F386" s="98"/>
      <c r="G386" s="99">
        <f t="shared" ref="G386:G397" si="53">(D386*E386)+(D386*F386)</f>
        <v>0</v>
      </c>
    </row>
    <row r="387" spans="1:14">
      <c r="A387" s="165"/>
      <c r="B387" s="163" t="s">
        <v>244</v>
      </c>
      <c r="C387" s="164" t="s">
        <v>8</v>
      </c>
      <c r="D387" s="119">
        <v>87</v>
      </c>
      <c r="E387" s="120"/>
      <c r="F387" s="98"/>
      <c r="G387" s="99">
        <f t="shared" si="53"/>
        <v>0</v>
      </c>
      <c r="I387" s="33">
        <f>D387*1.58*6</f>
        <v>824.76</v>
      </c>
      <c r="J387" s="22">
        <f>1.5*2*29</f>
        <v>87</v>
      </c>
      <c r="L387" s="22">
        <f>3.5/0.15</f>
        <v>23.333333333333336</v>
      </c>
      <c r="M387" s="22">
        <f>24*29</f>
        <v>696</v>
      </c>
      <c r="N387" s="22">
        <f>M387/11</f>
        <v>63.272727272727273</v>
      </c>
    </row>
    <row r="388" spans="1:14">
      <c r="A388" s="162"/>
      <c r="B388" s="163" t="s">
        <v>247</v>
      </c>
      <c r="C388" s="164" t="s">
        <v>8</v>
      </c>
      <c r="D388" s="119">
        <v>64</v>
      </c>
      <c r="E388" s="120"/>
      <c r="F388" s="98"/>
      <c r="G388" s="99">
        <f t="shared" si="53"/>
        <v>0</v>
      </c>
      <c r="I388" s="33">
        <f>0.222*D388*6</f>
        <v>85.248000000000005</v>
      </c>
    </row>
    <row r="389" spans="1:14">
      <c r="A389" s="162"/>
      <c r="B389" s="163" t="s">
        <v>14</v>
      </c>
      <c r="C389" s="164" t="s">
        <v>9</v>
      </c>
      <c r="D389" s="119">
        <f>D386*20</f>
        <v>18.20016</v>
      </c>
      <c r="E389" s="120"/>
      <c r="F389" s="98"/>
      <c r="G389" s="99">
        <f t="shared" si="53"/>
        <v>0</v>
      </c>
      <c r="I389" s="33">
        <f>SUM(I387:I388)</f>
        <v>910.00800000000004</v>
      </c>
      <c r="J389" s="33"/>
    </row>
    <row r="390" spans="1:14">
      <c r="A390" s="162" t="s">
        <v>200</v>
      </c>
      <c r="B390" s="163" t="s">
        <v>458</v>
      </c>
      <c r="C390" s="164" t="s">
        <v>143</v>
      </c>
      <c r="D390" s="119">
        <f>I393/1000</f>
        <v>0.26481600000000005</v>
      </c>
      <c r="E390" s="120"/>
      <c r="F390" s="98"/>
      <c r="G390" s="99">
        <f t="shared" si="53"/>
        <v>0</v>
      </c>
      <c r="I390" s="33"/>
      <c r="J390" s="33"/>
    </row>
    <row r="391" spans="1:14">
      <c r="A391" s="162"/>
      <c r="B391" s="163" t="s">
        <v>244</v>
      </c>
      <c r="C391" s="164" t="s">
        <v>8</v>
      </c>
      <c r="D391" s="119">
        <v>24</v>
      </c>
      <c r="E391" s="120"/>
      <c r="F391" s="98"/>
      <c r="G391" s="99">
        <f t="shared" si="53"/>
        <v>0</v>
      </c>
      <c r="I391" s="33">
        <f>D391*1.58*6</f>
        <v>227.52</v>
      </c>
      <c r="J391" s="22">
        <f>1.5*4*4</f>
        <v>24</v>
      </c>
      <c r="K391" s="22">
        <f>24*3</f>
        <v>72</v>
      </c>
      <c r="L391" s="22">
        <f>K391/6</f>
        <v>12</v>
      </c>
      <c r="M391" s="22">
        <f>K391/8</f>
        <v>9</v>
      </c>
    </row>
    <row r="392" spans="1:14">
      <c r="A392" s="162"/>
      <c r="B392" s="163" t="s">
        <v>247</v>
      </c>
      <c r="C392" s="164" t="s">
        <v>8</v>
      </c>
      <c r="D392" s="119">
        <v>28</v>
      </c>
      <c r="E392" s="120"/>
      <c r="F392" s="98"/>
      <c r="G392" s="99">
        <f t="shared" si="53"/>
        <v>0</v>
      </c>
      <c r="I392" s="33">
        <f>0.222*D392*6</f>
        <v>37.295999999999999</v>
      </c>
      <c r="J392" s="54">
        <f>D392/3</f>
        <v>9.3333333333333339</v>
      </c>
      <c r="K392" s="54">
        <f>J392*4</f>
        <v>37.333333333333336</v>
      </c>
    </row>
    <row r="393" spans="1:14">
      <c r="A393" s="162"/>
      <c r="B393" s="163" t="s">
        <v>14</v>
      </c>
      <c r="C393" s="164" t="s">
        <v>9</v>
      </c>
      <c r="D393" s="119">
        <f>D390*20</f>
        <v>5.2963200000000015</v>
      </c>
      <c r="E393" s="120"/>
      <c r="F393" s="98"/>
      <c r="G393" s="99">
        <f t="shared" si="53"/>
        <v>0</v>
      </c>
      <c r="I393" s="33">
        <f>SUM(I391:I392)</f>
        <v>264.81600000000003</v>
      </c>
      <c r="J393" s="33"/>
    </row>
    <row r="394" spans="1:14">
      <c r="A394" s="162" t="s">
        <v>202</v>
      </c>
      <c r="B394" s="163" t="s">
        <v>459</v>
      </c>
      <c r="C394" s="164" t="s">
        <v>143</v>
      </c>
      <c r="D394" s="119">
        <f>I397/1000</f>
        <v>7.7292E-2</v>
      </c>
      <c r="E394" s="120"/>
      <c r="F394" s="98"/>
      <c r="G394" s="99">
        <f t="shared" si="53"/>
        <v>0</v>
      </c>
      <c r="I394" s="33"/>
      <c r="J394" s="33"/>
    </row>
    <row r="395" spans="1:14">
      <c r="A395" s="162"/>
      <c r="B395" s="163" t="s">
        <v>246</v>
      </c>
      <c r="C395" s="164" t="s">
        <v>8</v>
      </c>
      <c r="D395" s="119">
        <v>18</v>
      </c>
      <c r="E395" s="120"/>
      <c r="F395" s="98"/>
      <c r="G395" s="99">
        <f t="shared" si="53"/>
        <v>0</v>
      </c>
      <c r="I395" s="33">
        <f>D395*0.617*6</f>
        <v>66.635999999999996</v>
      </c>
      <c r="J395" s="33">
        <f>3*6</f>
        <v>18</v>
      </c>
    </row>
    <row r="396" spans="1:14">
      <c r="A396" s="162"/>
      <c r="B396" s="163" t="s">
        <v>247</v>
      </c>
      <c r="C396" s="164" t="s">
        <v>8</v>
      </c>
      <c r="D396" s="119">
        <v>8</v>
      </c>
      <c r="E396" s="120"/>
      <c r="F396" s="98"/>
      <c r="G396" s="99">
        <f t="shared" si="53"/>
        <v>0</v>
      </c>
      <c r="I396" s="33">
        <f>0.222*D396*6</f>
        <v>10.656000000000001</v>
      </c>
      <c r="J396" s="33"/>
    </row>
    <row r="397" spans="1:14">
      <c r="A397" s="162"/>
      <c r="B397" s="163" t="s">
        <v>14</v>
      </c>
      <c r="C397" s="164" t="s">
        <v>9</v>
      </c>
      <c r="D397" s="119">
        <f>D394*20</f>
        <v>1.5458400000000001</v>
      </c>
      <c r="E397" s="120"/>
      <c r="F397" s="98"/>
      <c r="G397" s="99">
        <f t="shared" si="53"/>
        <v>0</v>
      </c>
      <c r="I397" s="33">
        <f>SUM(I395:I396)</f>
        <v>77.292000000000002</v>
      </c>
      <c r="J397" s="33">
        <f>1.25*6</f>
        <v>7.5</v>
      </c>
    </row>
    <row r="398" spans="1:14">
      <c r="A398" s="155" t="s">
        <v>332</v>
      </c>
      <c r="B398" s="156" t="s">
        <v>297</v>
      </c>
      <c r="C398" s="177"/>
      <c r="D398" s="178"/>
      <c r="E398" s="179"/>
      <c r="F398" s="180"/>
      <c r="G398" s="181">
        <f t="shared" ref="G398" si="54">(D398*E398)+(D398*F398)</f>
        <v>0</v>
      </c>
    </row>
    <row r="399" spans="1:14">
      <c r="A399" s="183" t="s">
        <v>177</v>
      </c>
      <c r="B399" s="184" t="s">
        <v>297</v>
      </c>
      <c r="C399" s="185"/>
      <c r="D399" s="186"/>
      <c r="E399" s="187"/>
      <c r="F399" s="98"/>
      <c r="G399" s="99"/>
    </row>
    <row r="400" spans="1:14">
      <c r="A400" s="162" t="s">
        <v>199</v>
      </c>
      <c r="B400" s="163" t="s">
        <v>333</v>
      </c>
      <c r="C400" s="164" t="s">
        <v>143</v>
      </c>
      <c r="D400" s="119">
        <f>I403/1000</f>
        <v>0.31903200000000004</v>
      </c>
      <c r="E400" s="120"/>
      <c r="F400" s="98"/>
      <c r="G400" s="99">
        <f t="shared" ref="G400:G408" si="55">(D400*E400)+(D400*F400)</f>
        <v>0</v>
      </c>
    </row>
    <row r="401" spans="1:13">
      <c r="A401" s="165"/>
      <c r="B401" s="163" t="s">
        <v>244</v>
      </c>
      <c r="C401" s="164" t="s">
        <v>8</v>
      </c>
      <c r="D401" s="119">
        <v>30</v>
      </c>
      <c r="E401" s="120"/>
      <c r="F401" s="98"/>
      <c r="G401" s="99">
        <f t="shared" si="55"/>
        <v>0</v>
      </c>
      <c r="I401" s="33">
        <f>D401*1.58*6</f>
        <v>284.40000000000003</v>
      </c>
      <c r="J401" s="22">
        <v>13</v>
      </c>
      <c r="L401" s="22">
        <f>J401/0.15</f>
        <v>86.666666666666671</v>
      </c>
      <c r="M401" s="22">
        <f>L401/5</f>
        <v>17.333333333333336</v>
      </c>
    </row>
    <row r="402" spans="1:13">
      <c r="A402" s="162"/>
      <c r="B402" s="163" t="s">
        <v>247</v>
      </c>
      <c r="C402" s="164" t="s">
        <v>8</v>
      </c>
      <c r="D402" s="119">
        <v>26</v>
      </c>
      <c r="E402" s="120"/>
      <c r="F402" s="98"/>
      <c r="G402" s="99">
        <f t="shared" si="55"/>
        <v>0</v>
      </c>
      <c r="I402" s="33">
        <f>0.222*D402*6</f>
        <v>34.632000000000005</v>
      </c>
    </row>
    <row r="403" spans="1:13">
      <c r="A403" s="162"/>
      <c r="B403" s="163" t="s">
        <v>14</v>
      </c>
      <c r="C403" s="164" t="s">
        <v>9</v>
      </c>
      <c r="D403" s="119">
        <f>D400*20</f>
        <v>6.3806400000000005</v>
      </c>
      <c r="E403" s="120"/>
      <c r="F403" s="98"/>
      <c r="G403" s="99">
        <f t="shared" si="55"/>
        <v>0</v>
      </c>
      <c r="I403" s="33">
        <f>SUM(I401:I402)</f>
        <v>319.03200000000004</v>
      </c>
      <c r="J403" s="33"/>
    </row>
    <row r="404" spans="1:13">
      <c r="A404" s="162" t="s">
        <v>200</v>
      </c>
      <c r="B404" s="163" t="s">
        <v>317</v>
      </c>
      <c r="C404" s="164" t="s">
        <v>143</v>
      </c>
      <c r="D404" s="119">
        <f>I407/1000</f>
        <v>6.8867999999999999E-2</v>
      </c>
      <c r="E404" s="120"/>
      <c r="F404" s="98"/>
      <c r="G404" s="99">
        <f t="shared" si="55"/>
        <v>0</v>
      </c>
      <c r="I404" s="33"/>
      <c r="J404" s="33"/>
    </row>
    <row r="405" spans="1:13">
      <c r="A405" s="162"/>
      <c r="B405" s="163" t="s">
        <v>244</v>
      </c>
      <c r="C405" s="164" t="s">
        <v>8</v>
      </c>
      <c r="D405" s="119">
        <v>6</v>
      </c>
      <c r="E405" s="120"/>
      <c r="F405" s="98"/>
      <c r="G405" s="99">
        <f t="shared" si="55"/>
        <v>0</v>
      </c>
      <c r="I405" s="33">
        <f>D405*1.58*6</f>
        <v>56.88</v>
      </c>
      <c r="J405" s="22">
        <f>3.2*2</f>
        <v>6.4</v>
      </c>
      <c r="K405" s="22">
        <f>J405/0.15</f>
        <v>42.666666666666671</v>
      </c>
      <c r="L405" s="22">
        <f>K405/5</f>
        <v>8.533333333333335</v>
      </c>
    </row>
    <row r="406" spans="1:13">
      <c r="A406" s="162"/>
      <c r="B406" s="163" t="s">
        <v>247</v>
      </c>
      <c r="C406" s="164" t="s">
        <v>8</v>
      </c>
      <c r="D406" s="119">
        <v>9</v>
      </c>
      <c r="E406" s="120"/>
      <c r="F406" s="98"/>
      <c r="G406" s="99">
        <f t="shared" si="55"/>
        <v>0</v>
      </c>
      <c r="I406" s="33">
        <f>0.222*D406*6</f>
        <v>11.988</v>
      </c>
    </row>
    <row r="407" spans="1:13">
      <c r="A407" s="162"/>
      <c r="B407" s="163" t="s">
        <v>14</v>
      </c>
      <c r="C407" s="164" t="s">
        <v>9</v>
      </c>
      <c r="D407" s="119">
        <f>D404*20</f>
        <v>1.3773599999999999</v>
      </c>
      <c r="E407" s="120"/>
      <c r="F407" s="98"/>
      <c r="G407" s="99">
        <f t="shared" si="55"/>
        <v>0</v>
      </c>
      <c r="I407" s="33">
        <f>SUM(I405:I406)</f>
        <v>68.867999999999995</v>
      </c>
      <c r="J407" s="33"/>
    </row>
    <row r="408" spans="1:13">
      <c r="A408" s="162" t="s">
        <v>202</v>
      </c>
      <c r="B408" s="163" t="s">
        <v>316</v>
      </c>
      <c r="C408" s="164" t="s">
        <v>143</v>
      </c>
      <c r="D408" s="119">
        <f>I411/1000</f>
        <v>1.2342960000000003</v>
      </c>
      <c r="E408" s="120"/>
      <c r="F408" s="98"/>
      <c r="G408" s="99">
        <f t="shared" si="55"/>
        <v>0</v>
      </c>
      <c r="I408" s="33"/>
      <c r="J408" s="33"/>
    </row>
    <row r="409" spans="1:13">
      <c r="A409" s="162"/>
      <c r="B409" s="163" t="s">
        <v>244</v>
      </c>
      <c r="C409" s="164" t="s">
        <v>8</v>
      </c>
      <c r="D409" s="119">
        <v>108</v>
      </c>
      <c r="E409" s="120"/>
      <c r="F409" s="98"/>
      <c r="G409" s="99">
        <f t="shared" ref="G409:G411" si="56">(D409*E409)+(D409*F409)</f>
        <v>0</v>
      </c>
      <c r="I409" s="33">
        <f>D409*1.58*6</f>
        <v>1023.8400000000001</v>
      </c>
      <c r="J409" s="22">
        <f>19.4*3+10.7*5</f>
        <v>111.69999999999999</v>
      </c>
      <c r="K409" s="22">
        <f>J409/0.15</f>
        <v>744.66666666666663</v>
      </c>
      <c r="L409" s="22">
        <f>K409/6</f>
        <v>124.1111111111111</v>
      </c>
    </row>
    <row r="410" spans="1:13">
      <c r="A410" s="162"/>
      <c r="B410" s="163" t="s">
        <v>247</v>
      </c>
      <c r="C410" s="164" t="s">
        <v>8</v>
      </c>
      <c r="D410" s="119">
        <v>158</v>
      </c>
      <c r="E410" s="120"/>
      <c r="F410" s="98"/>
      <c r="G410" s="99">
        <f t="shared" si="56"/>
        <v>0</v>
      </c>
      <c r="I410" s="33">
        <f>0.222*D410*6</f>
        <v>210.45600000000002</v>
      </c>
    </row>
    <row r="411" spans="1:13" ht="12.75" thickBot="1">
      <c r="A411" s="361"/>
      <c r="B411" s="362" t="s">
        <v>14</v>
      </c>
      <c r="C411" s="342" t="s">
        <v>9</v>
      </c>
      <c r="D411" s="363">
        <f>D408*20</f>
        <v>24.685920000000007</v>
      </c>
      <c r="E411" s="344"/>
      <c r="F411" s="343"/>
      <c r="G411" s="364">
        <f t="shared" si="56"/>
        <v>0</v>
      </c>
      <c r="I411" s="33">
        <f>SUM(I409:I410)</f>
        <v>1234.2960000000003</v>
      </c>
      <c r="J411" s="33"/>
    </row>
    <row r="412" spans="1:13">
      <c r="A412" s="162"/>
      <c r="B412" s="163"/>
      <c r="C412" s="164"/>
      <c r="D412" s="119"/>
      <c r="E412" s="120"/>
      <c r="F412" s="98"/>
      <c r="G412" s="99"/>
      <c r="I412" s="33"/>
      <c r="J412" s="33"/>
    </row>
    <row r="413" spans="1:13">
      <c r="A413" s="155" t="s">
        <v>164</v>
      </c>
      <c r="B413" s="156" t="s">
        <v>216</v>
      </c>
      <c r="C413" s="177"/>
      <c r="D413" s="178"/>
      <c r="E413" s="179"/>
      <c r="F413" s="180"/>
      <c r="G413" s="181">
        <f>(D413*E413)+(D413*F413)</f>
        <v>0</v>
      </c>
    </row>
    <row r="414" spans="1:13">
      <c r="A414" s="194" t="s">
        <v>199</v>
      </c>
      <c r="B414" s="166" t="s">
        <v>334</v>
      </c>
      <c r="C414" s="164"/>
      <c r="D414" s="119"/>
      <c r="E414" s="120"/>
      <c r="F414" s="98"/>
      <c r="G414" s="99">
        <f t="shared" ref="G414:G419" si="57">(D414*E414)+(D414*F414)</f>
        <v>0</v>
      </c>
    </row>
    <row r="415" spans="1:13" ht="49.5" customHeight="1">
      <c r="A415" s="195"/>
      <c r="B415" s="163" t="s">
        <v>466</v>
      </c>
      <c r="C415" s="164" t="s">
        <v>151</v>
      </c>
      <c r="D415" s="119">
        <v>11.6</v>
      </c>
      <c r="E415" s="120"/>
      <c r="F415" s="98"/>
      <c r="G415" s="99">
        <f t="shared" si="57"/>
        <v>0</v>
      </c>
      <c r="I415" s="22">
        <f>19.325*0.2*0.2*2*3</f>
        <v>4.6380000000000008</v>
      </c>
      <c r="J415" s="22">
        <f>0.45*0.115*19.325*2*3</f>
        <v>6.0004125000000004</v>
      </c>
      <c r="K415" s="22">
        <f>14.2*0.15*0.15*3</f>
        <v>0.95849999999999991</v>
      </c>
      <c r="M415" s="22">
        <f>SUM(I415:L415)</f>
        <v>11.596912500000002</v>
      </c>
    </row>
    <row r="416" spans="1:13" ht="12" customHeight="1">
      <c r="A416" s="194" t="s">
        <v>200</v>
      </c>
      <c r="B416" s="166" t="s">
        <v>335</v>
      </c>
      <c r="C416" s="164"/>
      <c r="D416" s="119"/>
      <c r="E416" s="120"/>
      <c r="F416" s="98"/>
      <c r="G416" s="99">
        <f t="shared" si="57"/>
        <v>0</v>
      </c>
    </row>
    <row r="417" spans="1:13" ht="61.5" customHeight="1">
      <c r="A417" s="195"/>
      <c r="B417" s="163" t="s">
        <v>336</v>
      </c>
      <c r="C417" s="164" t="s">
        <v>151</v>
      </c>
      <c r="D417" s="119">
        <v>4.6920000000000002</v>
      </c>
      <c r="E417" s="120"/>
      <c r="F417" s="98"/>
      <c r="G417" s="99">
        <f t="shared" si="57"/>
        <v>0</v>
      </c>
      <c r="I417" s="22">
        <f>24+3.6</f>
        <v>27.6</v>
      </c>
      <c r="J417" s="22">
        <f>I417*0.85*0.1</f>
        <v>2.3460000000000001</v>
      </c>
      <c r="K417" s="22">
        <f>J417*2</f>
        <v>4.6920000000000002</v>
      </c>
    </row>
    <row r="418" spans="1:13" ht="13.5" customHeight="1">
      <c r="A418" s="194" t="s">
        <v>202</v>
      </c>
      <c r="B418" s="166" t="s">
        <v>378</v>
      </c>
      <c r="C418" s="164"/>
      <c r="D418" s="119"/>
      <c r="E418" s="120"/>
      <c r="F418" s="98"/>
      <c r="G418" s="99">
        <f t="shared" si="57"/>
        <v>0</v>
      </c>
    </row>
    <row r="419" spans="1:13" ht="76.5" customHeight="1">
      <c r="A419" s="195"/>
      <c r="B419" s="163" t="s">
        <v>467</v>
      </c>
      <c r="C419" s="164" t="s">
        <v>151</v>
      </c>
      <c r="D419" s="119">
        <v>1.1399999999999999</v>
      </c>
      <c r="E419" s="120"/>
      <c r="F419" s="98"/>
      <c r="G419" s="99">
        <f t="shared" si="57"/>
        <v>0</v>
      </c>
      <c r="I419" s="22">
        <f>2.975*5*0.2*0.1*3</f>
        <v>0.89250000000000007</v>
      </c>
      <c r="J419" s="22">
        <f>4.08*0.2*0.1*3</f>
        <v>0.24480000000000002</v>
      </c>
      <c r="K419" s="22">
        <f>SUM(I419:J419)</f>
        <v>1.1373000000000002</v>
      </c>
    </row>
    <row r="420" spans="1:13" ht="12" customHeight="1">
      <c r="A420" s="194" t="s">
        <v>201</v>
      </c>
      <c r="B420" s="166" t="s">
        <v>421</v>
      </c>
      <c r="C420" s="164"/>
      <c r="D420" s="119"/>
      <c r="E420" s="120"/>
      <c r="F420" s="98"/>
      <c r="G420" s="99">
        <f>(D420*E420)+(D420*F420)</f>
        <v>0</v>
      </c>
    </row>
    <row r="421" spans="1:13" ht="63.75" customHeight="1">
      <c r="A421" s="195"/>
      <c r="B421" s="196" t="s">
        <v>422</v>
      </c>
      <c r="C421" s="164" t="s">
        <v>151</v>
      </c>
      <c r="D421" s="197">
        <v>1.6</v>
      </c>
      <c r="E421" s="85"/>
      <c r="F421" s="98"/>
      <c r="G421" s="99">
        <f t="shared" ref="G421" si="58">(D421*E421)+(D421*F421)</f>
        <v>0</v>
      </c>
    </row>
    <row r="422" spans="1:13">
      <c r="A422" s="194" t="s">
        <v>325</v>
      </c>
      <c r="B422" s="166" t="s">
        <v>464</v>
      </c>
      <c r="C422" s="164"/>
      <c r="D422" s="119"/>
      <c r="E422" s="120"/>
      <c r="F422" s="98"/>
      <c r="G422" s="99">
        <f>(D422*E422)+(D422*F422)</f>
        <v>0</v>
      </c>
    </row>
    <row r="423" spans="1:13" ht="60">
      <c r="A423" s="195"/>
      <c r="B423" s="196" t="s">
        <v>465</v>
      </c>
      <c r="C423" s="164" t="s">
        <v>151</v>
      </c>
      <c r="D423" s="197">
        <v>0.56999999999999995</v>
      </c>
      <c r="E423" s="85"/>
      <c r="F423" s="98"/>
      <c r="G423" s="99">
        <f t="shared" ref="G423:G427" si="59">(D423*E423)+(D423*F423)</f>
        <v>0</v>
      </c>
      <c r="I423" s="22">
        <f>1.7*0.95*0.075*3</f>
        <v>0.363375</v>
      </c>
      <c r="J423" s="22">
        <f>0.2*0.2*1.7*3</f>
        <v>0.20400000000000001</v>
      </c>
      <c r="K423" s="22">
        <f>SUM(I423:J423)</f>
        <v>0.56737499999999996</v>
      </c>
    </row>
    <row r="424" spans="1:13" ht="15.75" customHeight="1">
      <c r="A424" s="165" t="s">
        <v>165</v>
      </c>
      <c r="B424" s="166" t="s">
        <v>275</v>
      </c>
      <c r="C424" s="164"/>
      <c r="D424" s="119"/>
      <c r="E424" s="120"/>
      <c r="F424" s="98"/>
      <c r="G424" s="99">
        <f t="shared" si="59"/>
        <v>0</v>
      </c>
    </row>
    <row r="425" spans="1:13" ht="38.25" customHeight="1">
      <c r="A425" s="195" t="s">
        <v>65</v>
      </c>
      <c r="B425" s="163" t="s">
        <v>508</v>
      </c>
      <c r="C425" s="164" t="s">
        <v>152</v>
      </c>
      <c r="D425" s="119">
        <f>D95+D98+D99+D100+D453+D72</f>
        <v>524.59</v>
      </c>
      <c r="E425" s="120"/>
      <c r="F425" s="98"/>
      <c r="G425" s="99">
        <f t="shared" si="59"/>
        <v>0</v>
      </c>
      <c r="J425" s="33"/>
    </row>
    <row r="426" spans="1:13" ht="36">
      <c r="A426" s="195" t="s">
        <v>66</v>
      </c>
      <c r="B426" s="163" t="s">
        <v>509</v>
      </c>
      <c r="C426" s="164" t="s">
        <v>15</v>
      </c>
      <c r="D426" s="119">
        <v>1</v>
      </c>
      <c r="E426" s="120"/>
      <c r="F426" s="98"/>
      <c r="G426" s="99">
        <f t="shared" si="59"/>
        <v>0</v>
      </c>
    </row>
    <row r="427" spans="1:13" ht="36">
      <c r="A427" s="195" t="s">
        <v>70</v>
      </c>
      <c r="B427" s="163" t="s">
        <v>510</v>
      </c>
      <c r="C427" s="164" t="s">
        <v>15</v>
      </c>
      <c r="D427" s="119">
        <v>1</v>
      </c>
      <c r="E427" s="120"/>
      <c r="F427" s="98"/>
      <c r="G427" s="99">
        <f t="shared" si="59"/>
        <v>0</v>
      </c>
      <c r="I427" s="33"/>
      <c r="J427" s="54"/>
      <c r="K427" s="54"/>
      <c r="L427" s="33"/>
      <c r="M427" s="54"/>
    </row>
    <row r="428" spans="1:13">
      <c r="A428" s="162"/>
      <c r="B428" s="198"/>
      <c r="C428" s="167"/>
      <c r="D428" s="168"/>
      <c r="E428" s="120"/>
      <c r="F428" s="98"/>
      <c r="G428" s="99"/>
      <c r="I428" s="54"/>
      <c r="J428" s="54"/>
      <c r="K428" s="54"/>
      <c r="L428" s="54"/>
      <c r="M428" s="54"/>
    </row>
    <row r="429" spans="1:13">
      <c r="A429" s="162"/>
      <c r="B429" s="198"/>
      <c r="C429" s="167"/>
      <c r="D429" s="168"/>
      <c r="E429" s="120"/>
      <c r="F429" s="98"/>
      <c r="G429" s="99"/>
      <c r="I429" s="54"/>
      <c r="J429" s="54"/>
      <c r="K429" s="54"/>
      <c r="L429" s="54"/>
      <c r="M429" s="54"/>
    </row>
    <row r="430" spans="1:13">
      <c r="A430" s="162"/>
      <c r="B430" s="198"/>
      <c r="C430" s="167"/>
      <c r="D430" s="168"/>
      <c r="E430" s="120"/>
      <c r="F430" s="98"/>
      <c r="G430" s="99"/>
      <c r="I430" s="54"/>
      <c r="J430" s="54"/>
      <c r="K430" s="54"/>
      <c r="L430" s="54"/>
      <c r="M430" s="54"/>
    </row>
    <row r="431" spans="1:13">
      <c r="A431" s="162"/>
      <c r="B431" s="198"/>
      <c r="C431" s="167"/>
      <c r="D431" s="168"/>
      <c r="E431" s="120"/>
      <c r="F431" s="98"/>
      <c r="G431" s="99"/>
      <c r="I431" s="54"/>
      <c r="J431" s="54"/>
      <c r="K431" s="54"/>
      <c r="L431" s="54"/>
      <c r="M431" s="54"/>
    </row>
    <row r="432" spans="1:13">
      <c r="A432" s="162"/>
      <c r="B432" s="198"/>
      <c r="C432" s="167"/>
      <c r="D432" s="168"/>
      <c r="E432" s="120"/>
      <c r="F432" s="98"/>
      <c r="G432" s="99"/>
      <c r="I432" s="54"/>
      <c r="J432" s="54"/>
      <c r="K432" s="54"/>
      <c r="L432" s="54"/>
      <c r="M432" s="54"/>
    </row>
    <row r="433" spans="1:13">
      <c r="A433" s="162"/>
      <c r="B433" s="198"/>
      <c r="C433" s="167"/>
      <c r="D433" s="168"/>
      <c r="E433" s="120"/>
      <c r="F433" s="98"/>
      <c r="G433" s="99"/>
      <c r="I433" s="54"/>
      <c r="J433" s="54"/>
      <c r="K433" s="54"/>
      <c r="L433" s="54"/>
      <c r="M433" s="54"/>
    </row>
    <row r="434" spans="1:13">
      <c r="A434" s="162"/>
      <c r="B434" s="198"/>
      <c r="C434" s="167"/>
      <c r="D434" s="168"/>
      <c r="E434" s="120"/>
      <c r="F434" s="98"/>
      <c r="G434" s="99"/>
      <c r="I434" s="54"/>
      <c r="J434" s="54"/>
      <c r="K434" s="54"/>
      <c r="L434" s="54"/>
      <c r="M434" s="54"/>
    </row>
    <row r="435" spans="1:13">
      <c r="A435" s="162"/>
      <c r="B435" s="198"/>
      <c r="C435" s="167"/>
      <c r="D435" s="168"/>
      <c r="E435" s="120"/>
      <c r="F435" s="98"/>
      <c r="G435" s="99"/>
      <c r="I435" s="54"/>
      <c r="J435" s="54"/>
      <c r="K435" s="54"/>
      <c r="L435" s="54"/>
      <c r="M435" s="54"/>
    </row>
    <row r="436" spans="1:13">
      <c r="A436" s="162"/>
      <c r="B436" s="198"/>
      <c r="C436" s="167"/>
      <c r="D436" s="168"/>
      <c r="E436" s="120"/>
      <c r="F436" s="98"/>
      <c r="G436" s="99"/>
      <c r="I436" s="54"/>
      <c r="J436" s="54"/>
      <c r="K436" s="54"/>
      <c r="L436" s="54"/>
      <c r="M436" s="54"/>
    </row>
    <row r="437" spans="1:13">
      <c r="A437" s="162"/>
      <c r="B437" s="198"/>
      <c r="C437" s="167"/>
      <c r="D437" s="168"/>
      <c r="E437" s="120"/>
      <c r="F437" s="98"/>
      <c r="G437" s="99"/>
      <c r="I437" s="54"/>
      <c r="J437" s="54"/>
      <c r="K437" s="54"/>
      <c r="L437" s="54"/>
      <c r="M437" s="54"/>
    </row>
    <row r="438" spans="1:13">
      <c r="A438" s="162"/>
      <c r="B438" s="198"/>
      <c r="C438" s="167"/>
      <c r="D438" s="168"/>
      <c r="E438" s="120"/>
      <c r="F438" s="98"/>
      <c r="G438" s="99"/>
      <c r="I438" s="54"/>
      <c r="J438" s="54"/>
      <c r="K438" s="54"/>
      <c r="L438" s="54"/>
      <c r="M438" s="54"/>
    </row>
    <row r="439" spans="1:13">
      <c r="A439" s="162"/>
      <c r="B439" s="198"/>
      <c r="C439" s="167"/>
      <c r="D439" s="168"/>
      <c r="E439" s="120"/>
      <c r="F439" s="98"/>
      <c r="G439" s="99"/>
      <c r="I439" s="54"/>
      <c r="J439" s="54"/>
      <c r="K439" s="54"/>
      <c r="L439" s="54"/>
      <c r="M439" s="54"/>
    </row>
    <row r="440" spans="1:13" ht="12.75" thickBot="1">
      <c r="A440" s="162"/>
      <c r="B440" s="198"/>
      <c r="C440" s="167"/>
      <c r="D440" s="168"/>
      <c r="E440" s="120"/>
      <c r="F440" s="98"/>
      <c r="G440" s="99"/>
      <c r="I440" s="54"/>
      <c r="J440" s="54"/>
      <c r="K440" s="54"/>
      <c r="L440" s="54"/>
      <c r="M440" s="54"/>
    </row>
    <row r="441" spans="1:13">
      <c r="A441" s="67"/>
      <c r="B441" s="68" t="s">
        <v>160</v>
      </c>
      <c r="C441" s="69"/>
      <c r="D441" s="70"/>
      <c r="E441" s="71"/>
      <c r="F441" s="352"/>
      <c r="G441" s="73"/>
    </row>
    <row r="442" spans="1:13" ht="12.75" thickBot="1">
      <c r="A442" s="74"/>
      <c r="B442" s="75" t="s">
        <v>186</v>
      </c>
      <c r="C442" s="76"/>
      <c r="D442" s="77"/>
      <c r="E442" s="78"/>
      <c r="F442" s="356"/>
      <c r="G442" s="80">
        <f>SUM(G95:G425)</f>
        <v>0</v>
      </c>
    </row>
    <row r="443" spans="1:13">
      <c r="A443" s="81"/>
      <c r="B443" s="108"/>
      <c r="C443" s="95"/>
      <c r="D443" s="96"/>
      <c r="E443" s="85"/>
      <c r="F443" s="98"/>
      <c r="G443" s="171"/>
    </row>
    <row r="444" spans="1:13">
      <c r="A444" s="81"/>
      <c r="B444" s="82" t="s">
        <v>105</v>
      </c>
      <c r="C444" s="95"/>
      <c r="D444" s="96"/>
      <c r="E444" s="85"/>
      <c r="F444" s="98"/>
      <c r="G444" s="99"/>
    </row>
    <row r="445" spans="1:13">
      <c r="A445" s="81"/>
      <c r="B445" s="88" t="s">
        <v>106</v>
      </c>
      <c r="C445" s="95"/>
      <c r="D445" s="96"/>
      <c r="E445" s="85"/>
      <c r="F445" s="98"/>
      <c r="G445" s="99"/>
    </row>
    <row r="446" spans="1:13">
      <c r="A446" s="199">
        <v>4.0999999999999996</v>
      </c>
      <c r="B446" s="94" t="s">
        <v>41</v>
      </c>
      <c r="C446" s="95"/>
      <c r="D446" s="96"/>
      <c r="E446" s="85"/>
      <c r="F446" s="98"/>
      <c r="G446" s="99"/>
    </row>
    <row r="447" spans="1:13" ht="63.75" customHeight="1">
      <c r="A447" s="81"/>
      <c r="B447" s="102" t="s">
        <v>218</v>
      </c>
      <c r="C447" s="102"/>
      <c r="D447" s="102"/>
      <c r="E447" s="102"/>
      <c r="F447" s="102"/>
      <c r="G447" s="175"/>
    </row>
    <row r="448" spans="1:13" ht="75" customHeight="1">
      <c r="A448" s="81"/>
      <c r="B448" s="102" t="s">
        <v>217</v>
      </c>
      <c r="C448" s="200"/>
      <c r="D448" s="200"/>
      <c r="E448" s="200"/>
      <c r="F448" s="200"/>
      <c r="G448" s="201"/>
    </row>
    <row r="449" spans="1:14" ht="39" customHeight="1">
      <c r="A449" s="81"/>
      <c r="B449" s="102" t="s">
        <v>282</v>
      </c>
      <c r="C449" s="200"/>
      <c r="D449" s="200"/>
      <c r="E449" s="200"/>
      <c r="F449" s="200"/>
      <c r="G449" s="201"/>
    </row>
    <row r="450" spans="1:14">
      <c r="A450" s="165" t="s">
        <v>144</v>
      </c>
      <c r="B450" s="202" t="s">
        <v>147</v>
      </c>
      <c r="C450" s="164"/>
      <c r="D450" s="119"/>
      <c r="E450" s="120"/>
      <c r="F450" s="98"/>
      <c r="G450" s="99"/>
    </row>
    <row r="451" spans="1:14">
      <c r="A451" s="155" t="s">
        <v>161</v>
      </c>
      <c r="B451" s="203" t="s">
        <v>146</v>
      </c>
      <c r="C451" s="157"/>
      <c r="D451" s="158"/>
      <c r="E451" s="159"/>
      <c r="F451" s="160"/>
      <c r="G451" s="161"/>
      <c r="I451" s="33"/>
    </row>
    <row r="452" spans="1:14">
      <c r="A452" s="165"/>
      <c r="B452" s="204" t="s">
        <v>211</v>
      </c>
      <c r="C452" s="167"/>
      <c r="D452" s="168"/>
      <c r="E452" s="169"/>
      <c r="F452" s="170"/>
      <c r="G452" s="99"/>
    </row>
    <row r="453" spans="1:14" ht="24">
      <c r="A453" s="162"/>
      <c r="B453" s="163" t="s">
        <v>463</v>
      </c>
      <c r="C453" s="164" t="s">
        <v>152</v>
      </c>
      <c r="D453" s="119">
        <v>47.65</v>
      </c>
      <c r="E453" s="120"/>
      <c r="F453" s="98"/>
      <c r="G453" s="99">
        <f t="shared" ref="G453" si="60">(D453*E453)+(D453*F453)</f>
        <v>0</v>
      </c>
      <c r="I453" s="22">
        <f>I95</f>
        <v>78.199999999999989</v>
      </c>
      <c r="J453" s="22">
        <f>I453*0.65</f>
        <v>50.829999999999991</v>
      </c>
    </row>
    <row r="454" spans="1:14">
      <c r="A454" s="155" t="s">
        <v>162</v>
      </c>
      <c r="B454" s="203" t="s">
        <v>67</v>
      </c>
      <c r="C454" s="157"/>
      <c r="D454" s="158"/>
      <c r="E454" s="159"/>
      <c r="F454" s="160"/>
      <c r="G454" s="161"/>
    </row>
    <row r="455" spans="1:14">
      <c r="A455" s="165" t="s">
        <v>177</v>
      </c>
      <c r="B455" s="204" t="s">
        <v>339</v>
      </c>
      <c r="C455" s="167"/>
      <c r="D455" s="168"/>
      <c r="E455" s="169"/>
      <c r="F455" s="170"/>
      <c r="G455" s="99">
        <f t="shared" ref="G455:G460" si="61">(D455*E455)+(D455*F455)</f>
        <v>0</v>
      </c>
    </row>
    <row r="456" spans="1:14" ht="24">
      <c r="A456" s="195" t="s">
        <v>199</v>
      </c>
      <c r="B456" s="163" t="s">
        <v>340</v>
      </c>
      <c r="C456" s="164" t="s">
        <v>152</v>
      </c>
      <c r="D456" s="119">
        <v>136.43</v>
      </c>
      <c r="E456" s="120"/>
      <c r="F456" s="98"/>
      <c r="G456" s="99">
        <f t="shared" si="61"/>
        <v>0</v>
      </c>
      <c r="I456" s="22">
        <f>3*14+4.02*2+4.08*2+1.5</f>
        <v>59.7</v>
      </c>
      <c r="J456" s="22">
        <f>I456*3.275</f>
        <v>195.51750000000001</v>
      </c>
      <c r="K456" s="54">
        <v>63.07</v>
      </c>
      <c r="L456" s="22">
        <f>J456-K456</f>
        <v>132.44750000000002</v>
      </c>
      <c r="M456" s="22">
        <f>L456*103%</f>
        <v>136.42092500000001</v>
      </c>
    </row>
    <row r="457" spans="1:14" ht="24">
      <c r="A457" s="195" t="s">
        <v>200</v>
      </c>
      <c r="B457" s="163" t="s">
        <v>342</v>
      </c>
      <c r="C457" s="164" t="s">
        <v>152</v>
      </c>
      <c r="D457" s="119">
        <v>5.4340000000000002</v>
      </c>
      <c r="E457" s="120"/>
      <c r="F457" s="98"/>
      <c r="G457" s="99">
        <f t="shared" si="61"/>
        <v>0</v>
      </c>
      <c r="I457" s="22">
        <f>0.45*1.725*7</f>
        <v>5.4337500000000007</v>
      </c>
    </row>
    <row r="458" spans="1:14">
      <c r="A458" s="165" t="s">
        <v>178</v>
      </c>
      <c r="B458" s="204" t="s">
        <v>338</v>
      </c>
      <c r="C458" s="167"/>
      <c r="D458" s="168"/>
      <c r="E458" s="169"/>
      <c r="F458" s="170"/>
      <c r="G458" s="99">
        <f t="shared" si="61"/>
        <v>0</v>
      </c>
    </row>
    <row r="459" spans="1:14" ht="24">
      <c r="A459" s="195" t="s">
        <v>199</v>
      </c>
      <c r="B459" s="163" t="s">
        <v>340</v>
      </c>
      <c r="C459" s="164" t="s">
        <v>152</v>
      </c>
      <c r="D459" s="119">
        <v>98.82</v>
      </c>
      <c r="E459" s="120"/>
      <c r="F459" s="98"/>
      <c r="G459" s="99">
        <f t="shared" si="61"/>
        <v>0</v>
      </c>
      <c r="I459" s="22">
        <f>4.08*4+4.02*4</f>
        <v>32.4</v>
      </c>
      <c r="J459" s="22">
        <f>I459*3.05</f>
        <v>98.82</v>
      </c>
    </row>
    <row r="460" spans="1:14" ht="13.5">
      <c r="A460" s="162" t="s">
        <v>200</v>
      </c>
      <c r="B460" s="205" t="s">
        <v>341</v>
      </c>
      <c r="C460" s="164" t="s">
        <v>152</v>
      </c>
      <c r="D460" s="119">
        <v>49.54</v>
      </c>
      <c r="E460" s="120"/>
      <c r="F460" s="98"/>
      <c r="G460" s="99">
        <f t="shared" si="61"/>
        <v>0</v>
      </c>
      <c r="I460" s="22">
        <f>3.45+2.75+1.55*5+2.7</f>
        <v>16.649999999999999</v>
      </c>
      <c r="J460" s="22">
        <f>I460*3.35</f>
        <v>55.777499999999996</v>
      </c>
      <c r="K460" s="22">
        <f>0.78*2*4</f>
        <v>6.24</v>
      </c>
      <c r="L460" s="22">
        <f>J460-K460</f>
        <v>49.537499999999994</v>
      </c>
    </row>
    <row r="461" spans="1:14">
      <c r="A461" s="155" t="s">
        <v>57</v>
      </c>
      <c r="B461" s="203" t="s">
        <v>69</v>
      </c>
      <c r="C461" s="157"/>
      <c r="D461" s="158"/>
      <c r="E461" s="159"/>
      <c r="F461" s="160"/>
      <c r="G461" s="161"/>
    </row>
    <row r="462" spans="1:14">
      <c r="A462" s="165" t="s">
        <v>177</v>
      </c>
      <c r="B462" s="204" t="s">
        <v>339</v>
      </c>
      <c r="C462" s="167"/>
      <c r="D462" s="168"/>
      <c r="E462" s="169"/>
      <c r="F462" s="170"/>
      <c r="G462" s="99">
        <f t="shared" ref="G462:G464" si="62">(D462*E462)+(D462*F462)</f>
        <v>0</v>
      </c>
    </row>
    <row r="463" spans="1:14" ht="24">
      <c r="A463" s="195" t="s">
        <v>199</v>
      </c>
      <c r="B463" s="163" t="s">
        <v>340</v>
      </c>
      <c r="C463" s="164" t="s">
        <v>152</v>
      </c>
      <c r="D463" s="119">
        <v>110.98</v>
      </c>
      <c r="E463" s="120"/>
      <c r="F463" s="98"/>
      <c r="G463" s="99">
        <f t="shared" si="62"/>
        <v>0</v>
      </c>
      <c r="I463" s="22">
        <f>3*14+4.02*2+4.08*2</f>
        <v>58.2</v>
      </c>
      <c r="J463" s="22">
        <f>I463*3.05</f>
        <v>177.51</v>
      </c>
      <c r="K463" s="22">
        <v>62.35</v>
      </c>
      <c r="L463" s="22">
        <f>J463-K463</f>
        <v>115.16</v>
      </c>
      <c r="M463" s="22">
        <f>1.35*3.1</f>
        <v>4.1850000000000005</v>
      </c>
      <c r="N463" s="22">
        <f>L463-M463</f>
        <v>110.97499999999999</v>
      </c>
    </row>
    <row r="464" spans="1:14" ht="24">
      <c r="A464" s="195" t="s">
        <v>200</v>
      </c>
      <c r="B464" s="163" t="s">
        <v>342</v>
      </c>
      <c r="C464" s="164" t="s">
        <v>152</v>
      </c>
      <c r="D464" s="119">
        <v>5.43</v>
      </c>
      <c r="E464" s="120"/>
      <c r="F464" s="98"/>
      <c r="G464" s="99">
        <f t="shared" si="62"/>
        <v>0</v>
      </c>
      <c r="I464" s="22">
        <f>0.45*1.725*7</f>
        <v>5.4337500000000007</v>
      </c>
    </row>
    <row r="465" spans="1:14">
      <c r="A465" s="165" t="s">
        <v>178</v>
      </c>
      <c r="B465" s="204" t="s">
        <v>338</v>
      </c>
      <c r="C465" s="167"/>
      <c r="D465" s="168"/>
      <c r="E465" s="169"/>
      <c r="F465" s="170"/>
      <c r="G465" s="99">
        <f t="shared" ref="G465:G467" si="63">(D465*E465)+(D465*F465)</f>
        <v>0</v>
      </c>
    </row>
    <row r="466" spans="1:14" ht="24">
      <c r="A466" s="195" t="s">
        <v>199</v>
      </c>
      <c r="B466" s="163" t="s">
        <v>340</v>
      </c>
      <c r="C466" s="164" t="s">
        <v>152</v>
      </c>
      <c r="D466" s="119">
        <v>98.82</v>
      </c>
      <c r="E466" s="120"/>
      <c r="F466" s="98"/>
      <c r="G466" s="99">
        <f t="shared" si="63"/>
        <v>0</v>
      </c>
      <c r="I466" s="22">
        <f>4.08*4+4.02*4</f>
        <v>32.4</v>
      </c>
      <c r="J466" s="22">
        <f>I466*3.05</f>
        <v>98.82</v>
      </c>
    </row>
    <row r="467" spans="1:14" ht="13.5">
      <c r="A467" s="162" t="s">
        <v>200</v>
      </c>
      <c r="B467" s="205" t="s">
        <v>341</v>
      </c>
      <c r="C467" s="164" t="s">
        <v>152</v>
      </c>
      <c r="D467" s="119">
        <v>50.87</v>
      </c>
      <c r="E467" s="120"/>
      <c r="F467" s="98"/>
      <c r="G467" s="99">
        <f t="shared" si="63"/>
        <v>0</v>
      </c>
      <c r="I467" s="22">
        <f>3.45+2.75+1.55*5+3+0.9</f>
        <v>17.849999999999998</v>
      </c>
      <c r="J467" s="22">
        <f>I467*3.35</f>
        <v>59.797499999999992</v>
      </c>
      <c r="K467" s="22">
        <v>8.93</v>
      </c>
      <c r="L467" s="22">
        <f>J467-K467</f>
        <v>50.867499999999993</v>
      </c>
    </row>
    <row r="468" spans="1:14">
      <c r="A468" s="155" t="s">
        <v>163</v>
      </c>
      <c r="B468" s="203" t="s">
        <v>71</v>
      </c>
      <c r="C468" s="157"/>
      <c r="D468" s="158"/>
      <c r="E468" s="159"/>
      <c r="F468" s="160"/>
      <c r="G468" s="161"/>
    </row>
    <row r="469" spans="1:14">
      <c r="A469" s="165" t="s">
        <v>177</v>
      </c>
      <c r="B469" s="204" t="s">
        <v>339</v>
      </c>
      <c r="C469" s="167"/>
      <c r="D469" s="168"/>
      <c r="E469" s="169"/>
      <c r="F469" s="170"/>
      <c r="G469" s="99">
        <f t="shared" ref="G469:G474" si="64">(D469*E469)+(D469*F469)</f>
        <v>0</v>
      </c>
    </row>
    <row r="470" spans="1:14" ht="24">
      <c r="A470" s="195" t="s">
        <v>199</v>
      </c>
      <c r="B470" s="163" t="s">
        <v>340</v>
      </c>
      <c r="C470" s="164" t="s">
        <v>152</v>
      </c>
      <c r="D470" s="119">
        <v>113.9</v>
      </c>
      <c r="E470" s="120"/>
      <c r="F470" s="98"/>
      <c r="G470" s="99">
        <f t="shared" si="64"/>
        <v>0</v>
      </c>
      <c r="I470" s="22">
        <f>3*14+4.02*2+4.08*2</f>
        <v>58.2</v>
      </c>
      <c r="J470" s="22">
        <f>I470*3.1</f>
        <v>180.42000000000002</v>
      </c>
      <c r="K470" s="22">
        <v>62.35</v>
      </c>
      <c r="L470" s="22">
        <f>J470-K470</f>
        <v>118.07000000000002</v>
      </c>
      <c r="M470" s="22">
        <f>1.35*3.1</f>
        <v>4.1850000000000005</v>
      </c>
      <c r="N470" s="22">
        <f>L470-M470</f>
        <v>113.88500000000002</v>
      </c>
    </row>
    <row r="471" spans="1:14" ht="24">
      <c r="A471" s="195" t="s">
        <v>200</v>
      </c>
      <c r="B471" s="163" t="s">
        <v>342</v>
      </c>
      <c r="C471" s="164" t="s">
        <v>152</v>
      </c>
      <c r="D471" s="119">
        <v>5.43</v>
      </c>
      <c r="E471" s="120"/>
      <c r="F471" s="98"/>
      <c r="G471" s="99">
        <f t="shared" si="64"/>
        <v>0</v>
      </c>
      <c r="I471" s="22">
        <f>0.45*1.725*7</f>
        <v>5.4337500000000007</v>
      </c>
    </row>
    <row r="472" spans="1:14">
      <c r="A472" s="165" t="s">
        <v>178</v>
      </c>
      <c r="B472" s="204" t="s">
        <v>338</v>
      </c>
      <c r="C472" s="167"/>
      <c r="D472" s="168"/>
      <c r="E472" s="169"/>
      <c r="F472" s="170"/>
      <c r="G472" s="99">
        <f t="shared" si="64"/>
        <v>0</v>
      </c>
    </row>
    <row r="473" spans="1:14" ht="24">
      <c r="A473" s="195" t="s">
        <v>199</v>
      </c>
      <c r="B473" s="163" t="s">
        <v>340</v>
      </c>
      <c r="C473" s="164" t="s">
        <v>152</v>
      </c>
      <c r="D473" s="119">
        <v>100.44</v>
      </c>
      <c r="E473" s="120"/>
      <c r="F473" s="98"/>
      <c r="G473" s="99">
        <f t="shared" si="64"/>
        <v>0</v>
      </c>
      <c r="I473" s="22">
        <f>4.08*4+4.02*4</f>
        <v>32.4</v>
      </c>
      <c r="J473" s="22">
        <f>I473*3.1</f>
        <v>100.44</v>
      </c>
    </row>
    <row r="474" spans="1:14" ht="13.5">
      <c r="A474" s="162" t="s">
        <v>200</v>
      </c>
      <c r="B474" s="205" t="s">
        <v>341</v>
      </c>
      <c r="C474" s="164" t="s">
        <v>152</v>
      </c>
      <c r="D474" s="119">
        <v>53.55</v>
      </c>
      <c r="E474" s="120"/>
      <c r="F474" s="98"/>
      <c r="G474" s="99">
        <f t="shared" si="64"/>
        <v>0</v>
      </c>
      <c r="I474" s="22">
        <f>3.45+2.75+1.55*5+3+0.9</f>
        <v>17.849999999999998</v>
      </c>
      <c r="J474" s="22">
        <f>I474*3.5</f>
        <v>62.474999999999994</v>
      </c>
      <c r="K474" s="22">
        <v>8.93</v>
      </c>
      <c r="L474" s="22">
        <f>J474-K474</f>
        <v>53.544999999999995</v>
      </c>
    </row>
    <row r="475" spans="1:14">
      <c r="A475" s="155" t="s">
        <v>164</v>
      </c>
      <c r="B475" s="203" t="s">
        <v>343</v>
      </c>
      <c r="C475" s="157"/>
      <c r="D475" s="158"/>
      <c r="E475" s="159"/>
      <c r="F475" s="160"/>
      <c r="G475" s="161"/>
      <c r="K475" s="33"/>
    </row>
    <row r="476" spans="1:14">
      <c r="A476" s="165" t="s">
        <v>177</v>
      </c>
      <c r="B476" s="204" t="s">
        <v>344</v>
      </c>
      <c r="C476" s="167"/>
      <c r="D476" s="168"/>
      <c r="E476" s="169"/>
      <c r="F476" s="170"/>
      <c r="G476" s="99">
        <f t="shared" ref="G476:G477" si="65">(D476*E476)+(D476*F476)</f>
        <v>0</v>
      </c>
      <c r="K476" s="33"/>
    </row>
    <row r="477" spans="1:14" ht="13.5">
      <c r="A477" s="162"/>
      <c r="B477" s="163" t="s">
        <v>337</v>
      </c>
      <c r="C477" s="164" t="s">
        <v>152</v>
      </c>
      <c r="D477" s="119">
        <v>24.1</v>
      </c>
      <c r="E477" s="120"/>
      <c r="F477" s="98"/>
      <c r="G477" s="99">
        <f t="shared" si="65"/>
        <v>0</v>
      </c>
      <c r="I477" s="22">
        <f>(5.487+1.95)*2</f>
        <v>14.874000000000001</v>
      </c>
      <c r="J477" s="22">
        <f>I477*3.5</f>
        <v>52.059000000000005</v>
      </c>
      <c r="K477" s="33">
        <v>2.88</v>
      </c>
      <c r="L477" s="33">
        <f>J477-K477</f>
        <v>49.179000000000002</v>
      </c>
    </row>
    <row r="478" spans="1:14" ht="12.75" thickBot="1">
      <c r="A478" s="361"/>
      <c r="B478" s="362"/>
      <c r="C478" s="342"/>
      <c r="D478" s="363"/>
      <c r="E478" s="344"/>
      <c r="F478" s="343"/>
      <c r="G478" s="364"/>
      <c r="K478" s="33"/>
      <c r="L478" s="33"/>
    </row>
    <row r="479" spans="1:14">
      <c r="A479" s="162"/>
      <c r="B479" s="205"/>
      <c r="C479" s="164"/>
      <c r="D479" s="119"/>
      <c r="E479" s="120"/>
      <c r="F479" s="98"/>
      <c r="G479" s="99"/>
      <c r="K479" s="33"/>
    </row>
    <row r="480" spans="1:14">
      <c r="A480" s="142">
        <v>4.3</v>
      </c>
      <c r="B480" s="206" t="s">
        <v>107</v>
      </c>
      <c r="C480" s="154"/>
      <c r="D480" s="145"/>
      <c r="E480" s="146"/>
      <c r="F480" s="145"/>
      <c r="G480" s="207"/>
      <c r="K480" s="33"/>
    </row>
    <row r="481" spans="1:19" ht="99" customHeight="1">
      <c r="A481" s="81"/>
      <c r="B481" s="102" t="s">
        <v>213</v>
      </c>
      <c r="C481" s="102"/>
      <c r="D481" s="102"/>
      <c r="E481" s="102"/>
      <c r="F481" s="102"/>
      <c r="G481" s="201"/>
    </row>
    <row r="482" spans="1:19" ht="40.5" customHeight="1">
      <c r="A482" s="81"/>
      <c r="B482" s="102" t="s">
        <v>168</v>
      </c>
      <c r="C482" s="102"/>
      <c r="D482" s="102"/>
      <c r="E482" s="102"/>
      <c r="F482" s="200"/>
      <c r="G482" s="201"/>
    </row>
    <row r="483" spans="1:19" ht="51" customHeight="1">
      <c r="A483" s="81"/>
      <c r="B483" s="102" t="s">
        <v>281</v>
      </c>
      <c r="C483" s="102"/>
      <c r="D483" s="102"/>
      <c r="E483" s="102"/>
      <c r="F483" s="200"/>
      <c r="G483" s="201"/>
    </row>
    <row r="484" spans="1:19">
      <c r="A484" s="155" t="s">
        <v>161</v>
      </c>
      <c r="B484" s="203" t="s">
        <v>146</v>
      </c>
      <c r="C484" s="157"/>
      <c r="D484" s="158"/>
      <c r="E484" s="159"/>
      <c r="F484" s="160"/>
      <c r="G484" s="161"/>
    </row>
    <row r="485" spans="1:19">
      <c r="A485" s="162" t="s">
        <v>177</v>
      </c>
      <c r="B485" s="202" t="s">
        <v>269</v>
      </c>
      <c r="C485" s="167"/>
      <c r="D485" s="168"/>
      <c r="E485" s="169"/>
      <c r="F485" s="170"/>
      <c r="G485" s="99"/>
    </row>
    <row r="486" spans="1:19" ht="13.5">
      <c r="A486" s="162"/>
      <c r="B486" s="205" t="s">
        <v>268</v>
      </c>
      <c r="C486" s="164" t="s">
        <v>152</v>
      </c>
      <c r="D486" s="119">
        <f>D453*2</f>
        <v>95.3</v>
      </c>
      <c r="E486" s="120"/>
      <c r="F486" s="98"/>
      <c r="G486" s="99">
        <f t="shared" ref="G486" si="66">(D486*E486)+(D486*F486)</f>
        <v>0</v>
      </c>
    </row>
    <row r="487" spans="1:19">
      <c r="A487" s="155" t="s">
        <v>162</v>
      </c>
      <c r="B487" s="203" t="s">
        <v>67</v>
      </c>
      <c r="C487" s="157"/>
      <c r="D487" s="158"/>
      <c r="E487" s="159"/>
      <c r="F487" s="160"/>
      <c r="G487" s="161"/>
    </row>
    <row r="488" spans="1:19" s="55" customFormat="1" ht="15" customHeight="1">
      <c r="A488" s="165" t="s">
        <v>177</v>
      </c>
      <c r="B488" s="204" t="s">
        <v>265</v>
      </c>
      <c r="C488" s="167"/>
      <c r="D488" s="168"/>
      <c r="E488" s="169"/>
      <c r="F488" s="208"/>
      <c r="G488" s="99">
        <f t="shared" ref="G488:G489" si="67">(D488*E488)+(D488*F488)</f>
        <v>0</v>
      </c>
      <c r="I488" s="22">
        <f>25.8*2+8.7*2</f>
        <v>69</v>
      </c>
      <c r="J488" s="22">
        <f>I488*3.875</f>
        <v>267.375</v>
      </c>
      <c r="K488" s="54">
        <f>K456</f>
        <v>63.07</v>
      </c>
      <c r="L488" s="54">
        <f>J488-K488</f>
        <v>204.30500000000001</v>
      </c>
      <c r="M488" s="54">
        <f>L488*103%</f>
        <v>210.43415000000002</v>
      </c>
      <c r="N488" s="22">
        <f>1.5*3.875</f>
        <v>5.8125</v>
      </c>
      <c r="O488" s="54">
        <f>M488-N488</f>
        <v>204.62165000000002</v>
      </c>
      <c r="P488" s="22">
        <f>25.8+4</f>
        <v>29.8</v>
      </c>
      <c r="Q488" s="22">
        <f>P488*0.65</f>
        <v>19.37</v>
      </c>
      <c r="R488" s="22"/>
      <c r="S488" s="22"/>
    </row>
    <row r="489" spans="1:19" ht="13.5">
      <c r="A489" s="162"/>
      <c r="B489" s="205" t="s">
        <v>148</v>
      </c>
      <c r="C489" s="164" t="s">
        <v>152</v>
      </c>
      <c r="D489" s="119">
        <v>256.82</v>
      </c>
      <c r="E489" s="120"/>
      <c r="F489" s="98"/>
      <c r="G489" s="99">
        <f t="shared" si="67"/>
        <v>0</v>
      </c>
      <c r="I489" s="22">
        <f>0.45*1.725*7*2</f>
        <v>10.867500000000001</v>
      </c>
      <c r="P489" s="22">
        <f>0.8*9*3.05</f>
        <v>21.96</v>
      </c>
      <c r="Q489" s="54">
        <f>Q488+O488+P489+I489</f>
        <v>256.81915000000004</v>
      </c>
    </row>
    <row r="490" spans="1:19">
      <c r="A490" s="194" t="s">
        <v>178</v>
      </c>
      <c r="B490" s="198" t="s">
        <v>266</v>
      </c>
      <c r="C490" s="167"/>
      <c r="D490" s="168"/>
      <c r="E490" s="169"/>
      <c r="F490" s="170"/>
      <c r="G490" s="99">
        <f t="shared" ref="G490:G491" si="68">(D490*E490)+(D490*F490)</f>
        <v>0</v>
      </c>
      <c r="I490" s="22">
        <f>8.3*4</f>
        <v>33.200000000000003</v>
      </c>
      <c r="J490" s="22">
        <f>I490*3.35*2</f>
        <v>222.44000000000003</v>
      </c>
      <c r="L490" s="22">
        <f>6.225*6+3+8.5*2+1.7+1.85</f>
        <v>60.9</v>
      </c>
      <c r="M490" s="22">
        <f>L490*3.35</f>
        <v>204.01500000000001</v>
      </c>
      <c r="N490" s="54">
        <f>M490-K488</f>
        <v>140.94500000000002</v>
      </c>
    </row>
    <row r="491" spans="1:19" ht="25.5" customHeight="1">
      <c r="A491" s="162"/>
      <c r="B491" s="163" t="s">
        <v>267</v>
      </c>
      <c r="C491" s="164" t="s">
        <v>152</v>
      </c>
      <c r="D491" s="119">
        <v>484.83</v>
      </c>
      <c r="E491" s="120"/>
      <c r="F491" s="98"/>
      <c r="G491" s="99">
        <f t="shared" si="68"/>
        <v>0</v>
      </c>
      <c r="I491" s="22">
        <f>3.45+2.75+1.55*5+3</f>
        <v>16.95</v>
      </c>
      <c r="J491" s="22">
        <f>I491*3.35*2</f>
        <v>113.565</v>
      </c>
      <c r="K491" s="22">
        <f>0.78*2*4</f>
        <v>6.24</v>
      </c>
      <c r="L491" s="22">
        <f>J491-K491</f>
        <v>107.325</v>
      </c>
      <c r="N491" s="54">
        <f>N490+L491+J490</f>
        <v>470.71000000000004</v>
      </c>
      <c r="O491" s="54">
        <f>N491*103%</f>
        <v>484.83130000000006</v>
      </c>
    </row>
    <row r="492" spans="1:19" ht="12.75" customHeight="1">
      <c r="A492" s="194"/>
      <c r="B492" s="198"/>
      <c r="C492" s="167"/>
      <c r="D492" s="168"/>
      <c r="E492" s="169"/>
      <c r="F492" s="170"/>
      <c r="G492" s="99"/>
    </row>
    <row r="493" spans="1:19">
      <c r="A493" s="155" t="s">
        <v>57</v>
      </c>
      <c r="B493" s="203" t="s">
        <v>69</v>
      </c>
      <c r="C493" s="157"/>
      <c r="D493" s="158"/>
      <c r="E493" s="159"/>
      <c r="F493" s="160"/>
      <c r="G493" s="161"/>
      <c r="I493" s="22">
        <f>25.8*2+8.7*2</f>
        <v>69</v>
      </c>
      <c r="J493" s="22">
        <f>I493*3.5</f>
        <v>241.5</v>
      </c>
      <c r="K493" s="54">
        <f>K470</f>
        <v>62.35</v>
      </c>
      <c r="L493" s="54">
        <f>J493-K493</f>
        <v>179.15</v>
      </c>
      <c r="M493" s="54">
        <f>L493*103%</f>
        <v>184.52450000000002</v>
      </c>
      <c r="O493" s="54"/>
      <c r="P493" s="22">
        <f>25.8+4</f>
        <v>29.8</v>
      </c>
      <c r="Q493" s="22">
        <f>P493*0.65</f>
        <v>19.37</v>
      </c>
    </row>
    <row r="494" spans="1:19">
      <c r="A494" s="165" t="s">
        <v>177</v>
      </c>
      <c r="B494" s="204" t="s">
        <v>265</v>
      </c>
      <c r="C494" s="167"/>
      <c r="D494" s="168"/>
      <c r="E494" s="169"/>
      <c r="F494" s="208"/>
      <c r="G494" s="99">
        <f t="shared" ref="G494:G497" si="69">(D494*E494)+(D494*F494)</f>
        <v>0</v>
      </c>
      <c r="I494" s="22">
        <f>0.45*1.725*7*2</f>
        <v>10.867500000000001</v>
      </c>
      <c r="K494" s="54">
        <f>M493+I494+Q493+P494+M494</f>
        <v>292.00200000000001</v>
      </c>
      <c r="M494" s="22">
        <f>28*1.8</f>
        <v>50.4</v>
      </c>
      <c r="N494" s="54">
        <f>M494+Q494</f>
        <v>50.4</v>
      </c>
      <c r="P494" s="22">
        <f>0.8*11*3.05</f>
        <v>26.84</v>
      </c>
      <c r="Q494" s="54"/>
    </row>
    <row r="495" spans="1:19" ht="13.5">
      <c r="A495" s="162"/>
      <c r="B495" s="205" t="s">
        <v>475</v>
      </c>
      <c r="C495" s="164" t="s">
        <v>152</v>
      </c>
      <c r="D495" s="119">
        <v>292</v>
      </c>
      <c r="E495" s="120"/>
      <c r="F495" s="98"/>
      <c r="G495" s="99">
        <f t="shared" si="69"/>
        <v>0</v>
      </c>
    </row>
    <row r="496" spans="1:19">
      <c r="A496" s="194" t="s">
        <v>178</v>
      </c>
      <c r="B496" s="198" t="s">
        <v>266</v>
      </c>
      <c r="C496" s="167"/>
      <c r="D496" s="168"/>
      <c r="E496" s="169"/>
      <c r="F496" s="170"/>
      <c r="G496" s="99">
        <f t="shared" si="69"/>
        <v>0</v>
      </c>
      <c r="I496" s="22">
        <f>8.3*4</f>
        <v>33.200000000000003</v>
      </c>
      <c r="J496" s="22">
        <f>I496*3.35*2</f>
        <v>222.44000000000003</v>
      </c>
      <c r="L496" s="22">
        <f>6.225*6+1.5+3+8.5*2</f>
        <v>58.849999999999994</v>
      </c>
      <c r="M496" s="22">
        <f>L496*3.35</f>
        <v>197.14749999999998</v>
      </c>
      <c r="N496" s="54">
        <f>M496-K493</f>
        <v>134.79749999999999</v>
      </c>
    </row>
    <row r="497" spans="1:17" ht="24">
      <c r="A497" s="162"/>
      <c r="B497" s="163" t="s">
        <v>267</v>
      </c>
      <c r="C497" s="164" t="s">
        <v>152</v>
      </c>
      <c r="D497" s="119">
        <v>475.73</v>
      </c>
      <c r="E497" s="120"/>
      <c r="F497" s="98"/>
      <c r="G497" s="99">
        <f t="shared" si="69"/>
        <v>0</v>
      </c>
      <c r="I497" s="22">
        <f>3.45+2.75+1.55*5+3</f>
        <v>16.95</v>
      </c>
      <c r="J497" s="22">
        <f>I497*3.35*2</f>
        <v>113.565</v>
      </c>
      <c r="K497" s="22">
        <f>0.78*2*4+0.95*2.83</f>
        <v>8.9284999999999997</v>
      </c>
      <c r="L497" s="22">
        <f>J497-K497</f>
        <v>104.6365</v>
      </c>
      <c r="N497" s="54">
        <f>N496+L497+J496</f>
        <v>461.87400000000002</v>
      </c>
      <c r="O497" s="54">
        <f>N497*103%</f>
        <v>475.73022000000003</v>
      </c>
    </row>
    <row r="498" spans="1:17">
      <c r="A498" s="162"/>
      <c r="B498" s="163"/>
      <c r="C498" s="164"/>
      <c r="D498" s="119"/>
      <c r="E498" s="120"/>
      <c r="F498" s="98"/>
      <c r="G498" s="99"/>
      <c r="O498" s="33"/>
      <c r="P498" s="33"/>
    </row>
    <row r="499" spans="1:17">
      <c r="A499" s="155" t="s">
        <v>163</v>
      </c>
      <c r="B499" s="203" t="s">
        <v>71</v>
      </c>
      <c r="C499" s="157"/>
      <c r="D499" s="158"/>
      <c r="E499" s="159"/>
      <c r="F499" s="160"/>
      <c r="G499" s="161"/>
      <c r="I499" s="22">
        <f>25.8*2+8.7*2</f>
        <v>69</v>
      </c>
      <c r="J499" s="22">
        <f>I499*3.5</f>
        <v>241.5</v>
      </c>
      <c r="K499" s="54">
        <v>62.35</v>
      </c>
      <c r="L499" s="54">
        <f>J499-K499</f>
        <v>179.15</v>
      </c>
      <c r="M499" s="54">
        <f>L499*103%</f>
        <v>184.52450000000002</v>
      </c>
      <c r="O499" s="54"/>
      <c r="P499" s="22">
        <f>25.8+4</f>
        <v>29.8</v>
      </c>
      <c r="Q499" s="22">
        <f>P499*0.65</f>
        <v>19.37</v>
      </c>
    </row>
    <row r="500" spans="1:17">
      <c r="A500" s="165" t="s">
        <v>177</v>
      </c>
      <c r="B500" s="204" t="s">
        <v>265</v>
      </c>
      <c r="C500" s="167"/>
      <c r="D500" s="168"/>
      <c r="E500" s="169"/>
      <c r="F500" s="208"/>
      <c r="G500" s="99">
        <f t="shared" ref="G500:G503" si="70">(D500*E500)+(D500*F500)</f>
        <v>0</v>
      </c>
      <c r="I500" s="22">
        <f>0.45*1.725*7*2</f>
        <v>10.867500000000001</v>
      </c>
      <c r="K500" s="54">
        <f>M499+I500+Q499+P500+M500</f>
        <v>292.00200000000001</v>
      </c>
      <c r="M500" s="22">
        <f>28*1.8</f>
        <v>50.4</v>
      </c>
      <c r="N500" s="54">
        <f>M500+Q500</f>
        <v>50.4</v>
      </c>
      <c r="P500" s="22">
        <f>0.8*11*3.05</f>
        <v>26.84</v>
      </c>
      <c r="Q500" s="54"/>
    </row>
    <row r="501" spans="1:17" ht="13.5">
      <c r="A501" s="162"/>
      <c r="B501" s="205" t="s">
        <v>148</v>
      </c>
      <c r="C501" s="164" t="s">
        <v>152</v>
      </c>
      <c r="D501" s="119">
        <v>292</v>
      </c>
      <c r="E501" s="120"/>
      <c r="F501" s="98"/>
      <c r="G501" s="99">
        <f t="shared" si="70"/>
        <v>0</v>
      </c>
    </row>
    <row r="502" spans="1:17">
      <c r="A502" s="194" t="s">
        <v>178</v>
      </c>
      <c r="B502" s="198" t="s">
        <v>266</v>
      </c>
      <c r="C502" s="167"/>
      <c r="D502" s="168"/>
      <c r="E502" s="169"/>
      <c r="F502" s="170"/>
      <c r="G502" s="99">
        <f t="shared" si="70"/>
        <v>0</v>
      </c>
      <c r="I502" s="22">
        <f>8.3*4</f>
        <v>33.200000000000003</v>
      </c>
      <c r="J502" s="22">
        <f>I502*3.5*2</f>
        <v>232.40000000000003</v>
      </c>
      <c r="L502" s="22">
        <f>6.225*6+1.5+3+8.5*2</f>
        <v>58.849999999999994</v>
      </c>
      <c r="M502" s="22">
        <f>L502*3.5</f>
        <v>205.97499999999997</v>
      </c>
      <c r="N502" s="54">
        <f>M502-K499</f>
        <v>143.62499999999997</v>
      </c>
    </row>
    <row r="503" spans="1:17" ht="24">
      <c r="A503" s="162"/>
      <c r="B503" s="163" t="s">
        <v>267</v>
      </c>
      <c r="C503" s="164" t="s">
        <v>152</v>
      </c>
      <c r="D503" s="119">
        <v>500.32</v>
      </c>
      <c r="E503" s="120"/>
      <c r="F503" s="98"/>
      <c r="G503" s="99">
        <f t="shared" si="70"/>
        <v>0</v>
      </c>
      <c r="I503" s="22">
        <f>3.45+2.75+1.55*5+3</f>
        <v>16.95</v>
      </c>
      <c r="J503" s="22">
        <f>I503*3.5*2</f>
        <v>118.64999999999999</v>
      </c>
      <c r="K503" s="22">
        <f>0.78*2*4+0.95*2.83</f>
        <v>8.9284999999999997</v>
      </c>
      <c r="L503" s="22">
        <f>J503-K503</f>
        <v>109.72149999999999</v>
      </c>
      <c r="N503" s="54">
        <f>N502+L503+J502</f>
        <v>485.74649999999997</v>
      </c>
      <c r="O503" s="54">
        <f>N503*103%</f>
        <v>500.318895</v>
      </c>
    </row>
    <row r="504" spans="1:17">
      <c r="A504" s="162"/>
      <c r="B504" s="163"/>
      <c r="C504" s="164"/>
      <c r="D504" s="119"/>
      <c r="E504" s="120"/>
      <c r="F504" s="98"/>
      <c r="G504" s="99"/>
    </row>
    <row r="505" spans="1:17">
      <c r="A505" s="155" t="s">
        <v>164</v>
      </c>
      <c r="B505" s="203" t="s">
        <v>283</v>
      </c>
      <c r="C505" s="157"/>
      <c r="D505" s="158"/>
      <c r="E505" s="159"/>
      <c r="F505" s="160"/>
      <c r="G505" s="161"/>
    </row>
    <row r="506" spans="1:17">
      <c r="A506" s="165" t="s">
        <v>177</v>
      </c>
      <c r="B506" s="204" t="s">
        <v>265</v>
      </c>
      <c r="C506" s="167"/>
      <c r="D506" s="168"/>
      <c r="E506" s="169"/>
      <c r="F506" s="208"/>
      <c r="G506" s="99">
        <f t="shared" ref="G506:G509" si="71">(D506*E506)+(D506*F506)</f>
        <v>0</v>
      </c>
    </row>
    <row r="507" spans="1:17" ht="13.5">
      <c r="A507" s="162"/>
      <c r="B507" s="205" t="s">
        <v>148</v>
      </c>
      <c r="C507" s="164" t="s">
        <v>152</v>
      </c>
      <c r="D507" s="119">
        <v>24.1</v>
      </c>
      <c r="E507" s="120"/>
      <c r="F507" s="98"/>
      <c r="G507" s="99">
        <f t="shared" si="71"/>
        <v>0</v>
      </c>
      <c r="I507" s="22">
        <f>(5.487+1.95)*2</f>
        <v>14.874000000000001</v>
      </c>
      <c r="J507" s="22">
        <f>I507*3.8</f>
        <v>56.5212</v>
      </c>
      <c r="K507" s="33">
        <v>2.88</v>
      </c>
      <c r="L507" s="33">
        <f>J507-K507</f>
        <v>53.641199999999998</v>
      </c>
      <c r="M507" s="22" t="e">
        <f>#REF!</f>
        <v>#REF!</v>
      </c>
      <c r="N507" s="22" t="e">
        <f>M507*2.1</f>
        <v>#REF!</v>
      </c>
      <c r="O507" s="33" t="e">
        <f>N507+L507</f>
        <v>#REF!</v>
      </c>
    </row>
    <row r="508" spans="1:17">
      <c r="A508" s="194" t="s">
        <v>178</v>
      </c>
      <c r="B508" s="198" t="s">
        <v>266</v>
      </c>
      <c r="C508" s="167"/>
      <c r="D508" s="168"/>
      <c r="E508" s="169"/>
      <c r="F508" s="170"/>
      <c r="G508" s="99">
        <f t="shared" si="71"/>
        <v>0</v>
      </c>
      <c r="K508" s="33"/>
    </row>
    <row r="509" spans="1:17" ht="13.5">
      <c r="A509" s="162"/>
      <c r="B509" s="163" t="s">
        <v>345</v>
      </c>
      <c r="C509" s="164" t="s">
        <v>152</v>
      </c>
      <c r="D509" s="119">
        <v>24.1</v>
      </c>
      <c r="E509" s="120"/>
      <c r="F509" s="98"/>
      <c r="G509" s="99">
        <f t="shared" si="71"/>
        <v>0</v>
      </c>
      <c r="I509" s="22">
        <f>1*3.65*2</f>
        <v>7.3</v>
      </c>
      <c r="J509" s="22">
        <f>(5.487+1.95)*2</f>
        <v>14.874000000000001</v>
      </c>
      <c r="K509" s="22">
        <f>J509*3.65</f>
        <v>54.290100000000002</v>
      </c>
      <c r="L509" s="33">
        <v>2.88</v>
      </c>
      <c r="M509" s="33">
        <f>K509-L509</f>
        <v>51.4101</v>
      </c>
      <c r="N509" s="33">
        <f>M509+I509</f>
        <v>58.710099999999997</v>
      </c>
    </row>
    <row r="510" spans="1:17">
      <c r="A510" s="162"/>
      <c r="B510" s="163"/>
      <c r="C510" s="164"/>
      <c r="D510" s="119"/>
      <c r="E510" s="120"/>
      <c r="F510" s="98"/>
      <c r="G510" s="99"/>
      <c r="L510" s="33"/>
      <c r="M510" s="33"/>
      <c r="N510" s="33"/>
    </row>
    <row r="511" spans="1:17">
      <c r="A511" s="162"/>
      <c r="B511" s="163"/>
      <c r="C511" s="164"/>
      <c r="D511" s="119"/>
      <c r="E511" s="120"/>
      <c r="F511" s="98"/>
      <c r="G511" s="99"/>
      <c r="L511" s="33"/>
      <c r="M511" s="33"/>
      <c r="N511" s="33"/>
    </row>
    <row r="512" spans="1:17">
      <c r="A512" s="162"/>
      <c r="B512" s="163"/>
      <c r="C512" s="164"/>
      <c r="D512" s="119"/>
      <c r="E512" s="120"/>
      <c r="F512" s="98"/>
      <c r="G512" s="99"/>
      <c r="L512" s="33"/>
      <c r="M512" s="33"/>
      <c r="N512" s="33"/>
    </row>
    <row r="513" spans="1:15">
      <c r="A513" s="162"/>
      <c r="B513" s="163"/>
      <c r="C513" s="164"/>
      <c r="D513" s="119"/>
      <c r="E513" s="120"/>
      <c r="F513" s="98"/>
      <c r="G513" s="99"/>
      <c r="L513" s="33"/>
      <c r="M513" s="33"/>
      <c r="N513" s="33"/>
    </row>
    <row r="514" spans="1:15">
      <c r="A514" s="162"/>
      <c r="B514" s="163"/>
      <c r="C514" s="164"/>
      <c r="D514" s="119"/>
      <c r="E514" s="120"/>
      <c r="F514" s="98"/>
      <c r="G514" s="99"/>
      <c r="L514" s="33"/>
      <c r="M514" s="33"/>
      <c r="N514" s="33"/>
    </row>
    <row r="515" spans="1:15">
      <c r="A515" s="162"/>
      <c r="B515" s="163"/>
      <c r="C515" s="164"/>
      <c r="D515" s="119"/>
      <c r="E515" s="120"/>
      <c r="F515" s="98"/>
      <c r="G515" s="99"/>
      <c r="L515" s="33"/>
      <c r="M515" s="33"/>
      <c r="N515" s="33"/>
    </row>
    <row r="516" spans="1:15">
      <c r="A516" s="162"/>
      <c r="B516" s="163"/>
      <c r="C516" s="164"/>
      <c r="D516" s="119"/>
      <c r="E516" s="120"/>
      <c r="F516" s="98"/>
      <c r="G516" s="99"/>
      <c r="L516" s="33"/>
      <c r="M516" s="33"/>
      <c r="N516" s="33"/>
    </row>
    <row r="517" spans="1:15" ht="12.75" thickBot="1">
      <c r="A517" s="162"/>
      <c r="B517" s="163"/>
      <c r="C517" s="164"/>
      <c r="D517" s="119"/>
      <c r="E517" s="120"/>
      <c r="F517" s="98"/>
      <c r="G517" s="99"/>
      <c r="L517" s="33"/>
      <c r="M517" s="33"/>
      <c r="N517" s="33"/>
    </row>
    <row r="518" spans="1:15">
      <c r="A518" s="67"/>
      <c r="B518" s="68" t="s">
        <v>159</v>
      </c>
      <c r="C518" s="69"/>
      <c r="D518" s="70"/>
      <c r="E518" s="71"/>
      <c r="F518" s="352"/>
      <c r="G518" s="348"/>
    </row>
    <row r="519" spans="1:15" ht="12.75" thickBot="1">
      <c r="A519" s="74"/>
      <c r="B519" s="75" t="s">
        <v>214</v>
      </c>
      <c r="C519" s="76"/>
      <c r="D519" s="77"/>
      <c r="E519" s="78"/>
      <c r="F519" s="356"/>
      <c r="G519" s="345">
        <f>SUM(G452:G504)</f>
        <v>0</v>
      </c>
    </row>
    <row r="520" spans="1:15">
      <c r="A520" s="81"/>
      <c r="B520" s="108"/>
      <c r="C520" s="95"/>
      <c r="D520" s="96"/>
      <c r="E520" s="85"/>
      <c r="F520" s="98"/>
      <c r="G520" s="171"/>
      <c r="K520" s="22">
        <f>(30.53+10.025+22.025+11.525)*2</f>
        <v>148.21</v>
      </c>
      <c r="L520" s="22">
        <f>5.525*8</f>
        <v>44.2</v>
      </c>
      <c r="M520" s="22">
        <f>K520-L520</f>
        <v>104.01</v>
      </c>
    </row>
    <row r="521" spans="1:15">
      <c r="A521" s="209"/>
      <c r="B521" s="210" t="s">
        <v>108</v>
      </c>
      <c r="C521" s="211"/>
      <c r="D521" s="84"/>
      <c r="E521" s="212"/>
      <c r="F521" s="98"/>
      <c r="G521" s="99"/>
      <c r="K521" s="22">
        <f>18.45*2+11.45*2</f>
        <v>59.8</v>
      </c>
      <c r="N521" s="22">
        <f>M520+K521</f>
        <v>163.81</v>
      </c>
      <c r="O521" s="22">
        <f>N521/0.74</f>
        <v>221.36486486486487</v>
      </c>
    </row>
    <row r="522" spans="1:15">
      <c r="A522" s="209"/>
      <c r="B522" s="213" t="s">
        <v>109</v>
      </c>
      <c r="C522" s="211"/>
      <c r="D522" s="84"/>
      <c r="E522" s="212"/>
      <c r="F522" s="98"/>
      <c r="G522" s="99"/>
      <c r="K522" s="22">
        <f>SUM(K520:K521)</f>
        <v>208.01</v>
      </c>
      <c r="L522" s="22">
        <f>K522*5.8</f>
        <v>1206.4579999999999</v>
      </c>
      <c r="M522" s="22">
        <f>L522/18.3</f>
        <v>65.926666666666662</v>
      </c>
    </row>
    <row r="523" spans="1:15">
      <c r="A523" s="199" t="s">
        <v>110</v>
      </c>
      <c r="B523" s="90" t="s">
        <v>41</v>
      </c>
      <c r="C523" s="83"/>
      <c r="D523" s="84"/>
      <c r="E523" s="85"/>
      <c r="F523" s="98"/>
      <c r="G523" s="99"/>
    </row>
    <row r="524" spans="1:15" ht="39" customHeight="1">
      <c r="A524" s="199"/>
      <c r="B524" s="447" t="s">
        <v>149</v>
      </c>
      <c r="C524" s="447"/>
      <c r="D524" s="447"/>
      <c r="E524" s="447"/>
      <c r="F524" s="102"/>
      <c r="G524" s="175"/>
    </row>
    <row r="525" spans="1:15">
      <c r="A525" s="214" t="s">
        <v>154</v>
      </c>
      <c r="B525" s="215" t="s">
        <v>219</v>
      </c>
      <c r="C525" s="216"/>
      <c r="D525" s="217"/>
      <c r="E525" s="218"/>
      <c r="F525" s="219"/>
      <c r="G525" s="220"/>
    </row>
    <row r="526" spans="1:15" ht="12.75">
      <c r="A526" s="221"/>
      <c r="B526" s="222" t="s">
        <v>232</v>
      </c>
      <c r="C526" s="223"/>
      <c r="D526" s="224"/>
      <c r="E526" s="212"/>
      <c r="F526" s="192"/>
      <c r="G526" s="225"/>
    </row>
    <row r="527" spans="1:15" ht="12.75">
      <c r="A527" s="226" t="s">
        <v>161</v>
      </c>
      <c r="B527" s="227" t="s">
        <v>67</v>
      </c>
      <c r="C527" s="228"/>
      <c r="D527" s="229"/>
      <c r="E527" s="179"/>
      <c r="F527" s="180"/>
      <c r="G527" s="181">
        <f t="shared" ref="G527:G532" si="72">(D527*E527)+(D527*F527)</f>
        <v>0</v>
      </c>
    </row>
    <row r="528" spans="1:15" ht="15.75">
      <c r="A528" s="221"/>
      <c r="B528" s="230" t="s">
        <v>346</v>
      </c>
      <c r="C528" s="223" t="s">
        <v>233</v>
      </c>
      <c r="D528" s="224">
        <v>154.38</v>
      </c>
      <c r="E528" s="191"/>
      <c r="F528" s="192"/>
      <c r="G528" s="225">
        <f t="shared" si="72"/>
        <v>0</v>
      </c>
      <c r="I528" s="22">
        <f>51.46*3</f>
        <v>154.38</v>
      </c>
    </row>
    <row r="529" spans="1:14" ht="15.75">
      <c r="A529" s="221"/>
      <c r="B529" s="230" t="s">
        <v>476</v>
      </c>
      <c r="C529" s="223" t="s">
        <v>233</v>
      </c>
      <c r="D529" s="224">
        <v>66.87</v>
      </c>
      <c r="E529" s="191"/>
      <c r="F529" s="192"/>
      <c r="G529" s="225">
        <f t="shared" si="72"/>
        <v>0</v>
      </c>
      <c r="I529" s="22">
        <f>25.8*2</f>
        <v>51.6</v>
      </c>
      <c r="J529" s="22">
        <f>8.5*1.35</f>
        <v>11.475000000000001</v>
      </c>
      <c r="K529" s="22">
        <f>1.65*0.8</f>
        <v>1.32</v>
      </c>
      <c r="L529" s="22">
        <f>1.65*1.5</f>
        <v>2.4749999999999996</v>
      </c>
      <c r="M529" s="22">
        <f>SUM(I529:L529)</f>
        <v>66.86999999999999</v>
      </c>
    </row>
    <row r="530" spans="1:14" ht="15.75">
      <c r="A530" s="221"/>
      <c r="B530" s="230" t="s">
        <v>348</v>
      </c>
      <c r="C530" s="223" t="s">
        <v>233</v>
      </c>
      <c r="D530" s="224">
        <v>21.75</v>
      </c>
      <c r="E530" s="191"/>
      <c r="F530" s="192"/>
      <c r="G530" s="225">
        <f t="shared" si="72"/>
        <v>0</v>
      </c>
      <c r="I530" s="54">
        <f>3*6.2</f>
        <v>18.600000000000001</v>
      </c>
      <c r="J530" s="22">
        <f>2.1*1.5</f>
        <v>3.1500000000000004</v>
      </c>
      <c r="K530" s="54">
        <f>SUM(I530:J530)</f>
        <v>21.75</v>
      </c>
    </row>
    <row r="531" spans="1:14" ht="15.75">
      <c r="A531" s="221"/>
      <c r="B531" s="230" t="s">
        <v>478</v>
      </c>
      <c r="C531" s="223" t="s">
        <v>233</v>
      </c>
      <c r="D531" s="224">
        <v>3.68</v>
      </c>
      <c r="E531" s="191"/>
      <c r="F531" s="192"/>
      <c r="G531" s="225">
        <f t="shared" si="72"/>
        <v>0</v>
      </c>
      <c r="I531" s="54">
        <f>2.45*1.5</f>
        <v>3.6750000000000003</v>
      </c>
      <c r="K531" s="54"/>
    </row>
    <row r="532" spans="1:14" ht="15.75">
      <c r="A532" s="221"/>
      <c r="B532" s="230" t="s">
        <v>349</v>
      </c>
      <c r="C532" s="223" t="s">
        <v>233</v>
      </c>
      <c r="D532" s="224">
        <v>14.3</v>
      </c>
      <c r="E532" s="191"/>
      <c r="F532" s="192"/>
      <c r="G532" s="225">
        <f t="shared" si="72"/>
        <v>0</v>
      </c>
      <c r="I532" s="33">
        <f>2.75*3</f>
        <v>8.25</v>
      </c>
      <c r="J532" s="22">
        <f>0.175*1.5*23</f>
        <v>6.0374999999999988</v>
      </c>
      <c r="K532" s="33">
        <f>SUM(I532:J532)</f>
        <v>14.287499999999998</v>
      </c>
    </row>
    <row r="533" spans="1:14" ht="15.75">
      <c r="A533" s="221"/>
      <c r="B533" s="230" t="s">
        <v>350</v>
      </c>
      <c r="C533" s="223" t="s">
        <v>233</v>
      </c>
      <c r="D533" s="224">
        <v>15.48</v>
      </c>
      <c r="E533" s="191"/>
      <c r="F533" s="192"/>
      <c r="G533" s="225">
        <f t="shared" ref="G533" si="73">(D533*E533)+(D533*F533)</f>
        <v>0</v>
      </c>
      <c r="I533" s="22">
        <f>25.8*0.6</f>
        <v>15.48</v>
      </c>
    </row>
    <row r="534" spans="1:14" ht="15.75">
      <c r="A534" s="221"/>
      <c r="B534" s="230" t="s">
        <v>477</v>
      </c>
      <c r="C534" s="223" t="s">
        <v>233</v>
      </c>
      <c r="D534" s="224">
        <v>4.5</v>
      </c>
      <c r="E534" s="191"/>
      <c r="F534" s="192"/>
      <c r="G534" s="225">
        <f t="shared" ref="G534" si="74">(D534*E534)+(D534*F534)</f>
        <v>0</v>
      </c>
      <c r="I534" s="33"/>
    </row>
    <row r="535" spans="1:14" ht="12.75">
      <c r="A535" s="221"/>
      <c r="B535" s="230"/>
      <c r="C535" s="223"/>
      <c r="D535" s="224"/>
      <c r="E535" s="191"/>
      <c r="F535" s="192"/>
      <c r="G535" s="225"/>
      <c r="I535" s="33"/>
    </row>
    <row r="536" spans="1:14" ht="12.75">
      <c r="A536" s="226" t="s">
        <v>162</v>
      </c>
      <c r="B536" s="227" t="s">
        <v>69</v>
      </c>
      <c r="C536" s="228"/>
      <c r="D536" s="229"/>
      <c r="E536" s="179"/>
      <c r="F536" s="180"/>
      <c r="G536" s="181">
        <f t="shared" ref="G536:G542" si="75">(D536*E536)+(D536*F536)</f>
        <v>0</v>
      </c>
    </row>
    <row r="537" spans="1:14" ht="15.75">
      <c r="A537" s="221"/>
      <c r="B537" s="230" t="s">
        <v>346</v>
      </c>
      <c r="C537" s="223" t="s">
        <v>233</v>
      </c>
      <c r="D537" s="224">
        <v>154.38</v>
      </c>
      <c r="E537" s="191"/>
      <c r="F537" s="192"/>
      <c r="G537" s="225">
        <f t="shared" si="75"/>
        <v>0</v>
      </c>
      <c r="I537" s="22">
        <f>51.46*3</f>
        <v>154.38</v>
      </c>
      <c r="L537" s="22">
        <f>SUM(I537:K537)</f>
        <v>154.38</v>
      </c>
    </row>
    <row r="538" spans="1:14" ht="15.75">
      <c r="A538" s="221"/>
      <c r="B538" s="230" t="s">
        <v>476</v>
      </c>
      <c r="C538" s="223" t="s">
        <v>233</v>
      </c>
      <c r="D538" s="224">
        <v>66.87</v>
      </c>
      <c r="E538" s="191"/>
      <c r="F538" s="192"/>
      <c r="G538" s="225">
        <f t="shared" si="75"/>
        <v>0</v>
      </c>
      <c r="I538" s="22">
        <f>25.8*2</f>
        <v>51.6</v>
      </c>
      <c r="J538" s="22">
        <f>8.5*1.35</f>
        <v>11.475000000000001</v>
      </c>
      <c r="K538" s="22">
        <f>1.65*0.8</f>
        <v>1.32</v>
      </c>
      <c r="L538" s="22">
        <f>1.65*1.5</f>
        <v>2.4749999999999996</v>
      </c>
      <c r="M538" s="22">
        <f>SUM(I538:L538)</f>
        <v>66.86999999999999</v>
      </c>
    </row>
    <row r="539" spans="1:14" ht="15.75">
      <c r="A539" s="221"/>
      <c r="B539" s="230" t="s">
        <v>348</v>
      </c>
      <c r="C539" s="223" t="s">
        <v>233</v>
      </c>
      <c r="D539" s="224">
        <v>12.1</v>
      </c>
      <c r="E539" s="191"/>
      <c r="F539" s="192"/>
      <c r="G539" s="225">
        <f t="shared" si="75"/>
        <v>0</v>
      </c>
      <c r="I539" s="54">
        <f>4.02*3</f>
        <v>12.059999999999999</v>
      </c>
      <c r="N539" s="34"/>
    </row>
    <row r="540" spans="1:14" ht="15.75">
      <c r="A540" s="221"/>
      <c r="B540" s="230" t="s">
        <v>478</v>
      </c>
      <c r="C540" s="223" t="s">
        <v>233</v>
      </c>
      <c r="D540" s="224">
        <v>3.68</v>
      </c>
      <c r="E540" s="191"/>
      <c r="F540" s="192"/>
      <c r="G540" s="225">
        <f t="shared" si="75"/>
        <v>0</v>
      </c>
      <c r="I540" s="54">
        <f>2.45*1.5</f>
        <v>3.6750000000000003</v>
      </c>
      <c r="N540" s="34"/>
    </row>
    <row r="541" spans="1:14" ht="15.75">
      <c r="A541" s="221"/>
      <c r="B541" s="230" t="s">
        <v>349</v>
      </c>
      <c r="C541" s="223" t="s">
        <v>233</v>
      </c>
      <c r="D541" s="224">
        <v>17.91</v>
      </c>
      <c r="E541" s="191"/>
      <c r="F541" s="192"/>
      <c r="G541" s="225">
        <f t="shared" si="75"/>
        <v>0</v>
      </c>
      <c r="I541" s="33">
        <f>4.22*3</f>
        <v>12.66</v>
      </c>
      <c r="J541" s="22">
        <f>1.5*0.175*20</f>
        <v>5.2499999999999991</v>
      </c>
      <c r="K541" s="33">
        <f>SUM(I541:J541)</f>
        <v>17.91</v>
      </c>
      <c r="N541" s="34"/>
    </row>
    <row r="542" spans="1:14" ht="15.75">
      <c r="A542" s="221"/>
      <c r="B542" s="230" t="s">
        <v>477</v>
      </c>
      <c r="C542" s="223" t="s">
        <v>233</v>
      </c>
      <c r="D542" s="224">
        <v>4.5</v>
      </c>
      <c r="E542" s="191"/>
      <c r="F542" s="192"/>
      <c r="G542" s="225">
        <f t="shared" si="75"/>
        <v>0</v>
      </c>
      <c r="I542" s="33"/>
      <c r="K542" s="33"/>
    </row>
    <row r="543" spans="1:14" ht="12.75">
      <c r="A543" s="226" t="s">
        <v>57</v>
      </c>
      <c r="B543" s="227" t="s">
        <v>71</v>
      </c>
      <c r="C543" s="228"/>
      <c r="D543" s="229"/>
      <c r="E543" s="179"/>
      <c r="F543" s="180"/>
      <c r="G543" s="181">
        <f t="shared" ref="G543:G547" si="76">(D543*E543)+(D543*F543)</f>
        <v>0</v>
      </c>
      <c r="I543" s="33"/>
    </row>
    <row r="544" spans="1:14" ht="15.75">
      <c r="A544" s="221"/>
      <c r="B544" s="230" t="s">
        <v>346</v>
      </c>
      <c r="C544" s="223" t="s">
        <v>233</v>
      </c>
      <c r="D544" s="224">
        <v>154.38</v>
      </c>
      <c r="E544" s="191"/>
      <c r="F544" s="192"/>
      <c r="G544" s="225">
        <f t="shared" si="76"/>
        <v>0</v>
      </c>
    </row>
    <row r="545" spans="1:11" ht="15.75">
      <c r="A545" s="221"/>
      <c r="B545" s="230" t="s">
        <v>476</v>
      </c>
      <c r="C545" s="223" t="s">
        <v>233</v>
      </c>
      <c r="D545" s="224">
        <v>66.87</v>
      </c>
      <c r="E545" s="191"/>
      <c r="F545" s="192"/>
      <c r="G545" s="225">
        <f t="shared" si="76"/>
        <v>0</v>
      </c>
    </row>
    <row r="546" spans="1:11" ht="15.75">
      <c r="A546" s="221"/>
      <c r="B546" s="230" t="s">
        <v>478</v>
      </c>
      <c r="C546" s="223" t="s">
        <v>233</v>
      </c>
      <c r="D546" s="224">
        <v>3.68</v>
      </c>
      <c r="E546" s="191"/>
      <c r="F546" s="192"/>
      <c r="G546" s="225">
        <f t="shared" si="76"/>
        <v>0</v>
      </c>
    </row>
    <row r="547" spans="1:11" ht="15.75">
      <c r="A547" s="221"/>
      <c r="B547" s="230" t="s">
        <v>477</v>
      </c>
      <c r="C547" s="223" t="s">
        <v>233</v>
      </c>
      <c r="D547" s="224">
        <v>4.5</v>
      </c>
      <c r="E547" s="191"/>
      <c r="F547" s="192"/>
      <c r="G547" s="225">
        <f t="shared" si="76"/>
        <v>0</v>
      </c>
    </row>
    <row r="548" spans="1:11" ht="12.75">
      <c r="A548" s="221"/>
      <c r="B548" s="230"/>
      <c r="C548" s="223"/>
      <c r="D548" s="224"/>
      <c r="E548" s="191"/>
      <c r="F548" s="192"/>
      <c r="G548" s="225"/>
    </row>
    <row r="549" spans="1:11">
      <c r="A549" s="214" t="s">
        <v>155</v>
      </c>
      <c r="B549" s="215" t="s">
        <v>156</v>
      </c>
      <c r="C549" s="231"/>
      <c r="D549" s="232"/>
      <c r="E549" s="218"/>
      <c r="F549" s="219"/>
      <c r="G549" s="220"/>
    </row>
    <row r="550" spans="1:11" ht="41.25" customHeight="1">
      <c r="A550" s="199"/>
      <c r="B550" s="102" t="s">
        <v>252</v>
      </c>
      <c r="C550" s="102"/>
      <c r="D550" s="102"/>
      <c r="E550" s="102"/>
      <c r="F550" s="102"/>
      <c r="G550" s="175"/>
    </row>
    <row r="551" spans="1:11" ht="24.75" customHeight="1">
      <c r="A551" s="233"/>
      <c r="B551" s="102" t="s">
        <v>253</v>
      </c>
      <c r="C551" s="102"/>
      <c r="D551" s="102"/>
      <c r="E551" s="102"/>
      <c r="F551" s="102"/>
      <c r="G551" s="175"/>
    </row>
    <row r="552" spans="1:11" ht="41.25" customHeight="1">
      <c r="A552" s="233"/>
      <c r="B552" s="102" t="s">
        <v>511</v>
      </c>
      <c r="C552" s="102"/>
      <c r="D552" s="102"/>
      <c r="E552" s="102"/>
      <c r="F552" s="102"/>
      <c r="G552" s="175"/>
    </row>
    <row r="553" spans="1:11" ht="52.5" customHeight="1">
      <c r="A553" s="233"/>
      <c r="B553" s="102" t="s">
        <v>352</v>
      </c>
      <c r="C553" s="102"/>
      <c r="D553" s="102"/>
      <c r="E553" s="102"/>
      <c r="F553" s="102"/>
      <c r="G553" s="175"/>
    </row>
    <row r="554" spans="1:11" ht="12.75">
      <c r="A554" s="226" t="s">
        <v>161</v>
      </c>
      <c r="B554" s="227" t="s">
        <v>67</v>
      </c>
      <c r="C554" s="228"/>
      <c r="D554" s="229"/>
      <c r="E554" s="234"/>
      <c r="F554" s="180"/>
      <c r="G554" s="181"/>
    </row>
    <row r="555" spans="1:11" ht="12.75">
      <c r="A555" s="221" t="s">
        <v>254</v>
      </c>
      <c r="B555" s="235" t="s">
        <v>248</v>
      </c>
      <c r="C555" s="223"/>
      <c r="D555" s="224"/>
      <c r="E555" s="191"/>
      <c r="F555" s="192"/>
      <c r="G555" s="225"/>
      <c r="I555" s="53"/>
      <c r="J555" s="29"/>
      <c r="K555" s="27"/>
    </row>
    <row r="556" spans="1:11" ht="12.75">
      <c r="A556" s="221" t="s">
        <v>177</v>
      </c>
      <c r="B556" s="235" t="s">
        <v>512</v>
      </c>
      <c r="C556" s="223"/>
      <c r="D556" s="224"/>
      <c r="E556" s="191"/>
      <c r="F556" s="192"/>
      <c r="G556" s="225"/>
      <c r="I556" s="62"/>
      <c r="J556" s="29"/>
      <c r="K556" s="27"/>
    </row>
    <row r="557" spans="1:11" ht="15.75">
      <c r="A557" s="221"/>
      <c r="B557" s="230" t="s">
        <v>346</v>
      </c>
      <c r="C557" s="223" t="s">
        <v>233</v>
      </c>
      <c r="D557" s="224">
        <f>D528</f>
        <v>154.38</v>
      </c>
      <c r="E557" s="191"/>
      <c r="F557" s="192"/>
      <c r="G557" s="225">
        <f t="shared" ref="G557:G559" si="77">(D557*E557)+(D557*F557)</f>
        <v>0</v>
      </c>
      <c r="I557" s="53"/>
      <c r="J557" s="29"/>
      <c r="K557" s="27"/>
    </row>
    <row r="558" spans="1:11" ht="15.75">
      <c r="A558" s="221"/>
      <c r="B558" s="230" t="s">
        <v>348</v>
      </c>
      <c r="C558" s="223" t="s">
        <v>233</v>
      </c>
      <c r="D558" s="224">
        <v>21.75</v>
      </c>
      <c r="E558" s="191"/>
      <c r="F558" s="192"/>
      <c r="G558" s="225">
        <f t="shared" si="77"/>
        <v>0</v>
      </c>
      <c r="I558" s="62"/>
      <c r="J558" s="29"/>
      <c r="K558" s="27"/>
    </row>
    <row r="559" spans="1:11" ht="16.5" thickBot="1">
      <c r="A559" s="369"/>
      <c r="B559" s="370" t="s">
        <v>478</v>
      </c>
      <c r="C559" s="371" t="s">
        <v>233</v>
      </c>
      <c r="D559" s="372">
        <v>3.68</v>
      </c>
      <c r="E559" s="373"/>
      <c r="F559" s="374"/>
      <c r="G559" s="375">
        <f t="shared" si="77"/>
        <v>0</v>
      </c>
      <c r="I559" s="62"/>
      <c r="J559" s="29"/>
      <c r="K559" s="27"/>
    </row>
    <row r="560" spans="1:11" ht="12.75">
      <c r="A560" s="221" t="s">
        <v>178</v>
      </c>
      <c r="B560" s="235" t="s">
        <v>514</v>
      </c>
      <c r="C560" s="223"/>
      <c r="D560" s="224"/>
      <c r="E560" s="191"/>
      <c r="F560" s="192"/>
      <c r="G560" s="225"/>
      <c r="I560" s="62"/>
      <c r="J560" s="29"/>
      <c r="K560" s="27"/>
    </row>
    <row r="561" spans="1:18" ht="15.75">
      <c r="A561" s="221"/>
      <c r="B561" s="230" t="s">
        <v>476</v>
      </c>
      <c r="C561" s="223" t="s">
        <v>233</v>
      </c>
      <c r="D561" s="224">
        <v>66.87</v>
      </c>
      <c r="E561" s="191"/>
      <c r="F561" s="192"/>
      <c r="G561" s="225">
        <f t="shared" ref="G561" si="78">(D561*E561)+(D561*F561)</f>
        <v>0</v>
      </c>
      <c r="I561" s="53"/>
      <c r="J561" s="29"/>
      <c r="K561" s="27"/>
      <c r="M561" s="54"/>
      <c r="O561" s="54"/>
      <c r="Q561" s="54"/>
      <c r="R561" s="54"/>
    </row>
    <row r="562" spans="1:18" ht="12.75">
      <c r="A562" s="221" t="s">
        <v>189</v>
      </c>
      <c r="B562" s="235" t="s">
        <v>513</v>
      </c>
      <c r="C562" s="223"/>
      <c r="D562" s="224"/>
      <c r="E562" s="191"/>
      <c r="F562" s="192"/>
      <c r="G562" s="225"/>
    </row>
    <row r="563" spans="1:18" ht="15.75">
      <c r="A563" s="221"/>
      <c r="B563" s="230" t="s">
        <v>349</v>
      </c>
      <c r="C563" s="223" t="s">
        <v>233</v>
      </c>
      <c r="D563" s="224">
        <v>14.3</v>
      </c>
      <c r="E563" s="191"/>
      <c r="F563" s="192"/>
      <c r="G563" s="225">
        <f t="shared" ref="G563:G564" si="79">(D563*E563)+(D563*F563)</f>
        <v>0</v>
      </c>
      <c r="I563" s="22">
        <f>2.1*1.8</f>
        <v>3.7800000000000002</v>
      </c>
      <c r="J563" s="22">
        <f>0.9*0.18*17</f>
        <v>2.754</v>
      </c>
      <c r="K563" s="22">
        <f>SUM(I563:J563)</f>
        <v>6.5340000000000007</v>
      </c>
    </row>
    <row r="564" spans="1:18" ht="15.75">
      <c r="A564" s="221"/>
      <c r="B564" s="230" t="s">
        <v>350</v>
      </c>
      <c r="C564" s="223" t="s">
        <v>233</v>
      </c>
      <c r="D564" s="224">
        <v>15.48</v>
      </c>
      <c r="E564" s="191"/>
      <c r="F564" s="192"/>
      <c r="G564" s="225">
        <f t="shared" si="79"/>
        <v>0</v>
      </c>
    </row>
    <row r="565" spans="1:18" ht="12.75">
      <c r="A565" s="221" t="s">
        <v>190</v>
      </c>
      <c r="B565" s="235" t="s">
        <v>270</v>
      </c>
      <c r="C565" s="223"/>
      <c r="D565" s="224"/>
      <c r="E565" s="191"/>
      <c r="F565" s="192"/>
      <c r="G565" s="225"/>
    </row>
    <row r="566" spans="1:18" ht="15.75">
      <c r="A566" s="221"/>
      <c r="B566" s="230" t="s">
        <v>477</v>
      </c>
      <c r="C566" s="223" t="s">
        <v>233</v>
      </c>
      <c r="D566" s="224">
        <v>4.5</v>
      </c>
      <c r="E566" s="191"/>
      <c r="F566" s="192"/>
      <c r="G566" s="225">
        <f t="shared" ref="G566" si="80">(D566*E566)+(D566*F566)</f>
        <v>0</v>
      </c>
    </row>
    <row r="567" spans="1:18" ht="12.75">
      <c r="A567" s="221" t="s">
        <v>255</v>
      </c>
      <c r="B567" s="235" t="s">
        <v>249</v>
      </c>
      <c r="C567" s="223"/>
      <c r="D567" s="224"/>
      <c r="E567" s="191"/>
      <c r="F567" s="192"/>
      <c r="G567" s="225"/>
      <c r="I567" s="53"/>
      <c r="J567" s="29"/>
      <c r="K567" s="27"/>
      <c r="L567" s="40"/>
      <c r="M567" s="31"/>
      <c r="N567" s="31"/>
      <c r="O567" s="31"/>
      <c r="P567" s="32"/>
    </row>
    <row r="568" spans="1:18" ht="37.5" customHeight="1">
      <c r="A568" s="221"/>
      <c r="B568" s="235" t="s">
        <v>271</v>
      </c>
      <c r="C568" s="223"/>
      <c r="D568" s="224"/>
      <c r="E568" s="191"/>
      <c r="F568" s="192"/>
      <c r="G568" s="225"/>
      <c r="I568" s="63"/>
      <c r="J568" s="50"/>
      <c r="K568" s="64"/>
      <c r="L568" s="51"/>
      <c r="M568" s="52"/>
      <c r="N568" s="52"/>
      <c r="O568" s="52"/>
      <c r="P568" s="52"/>
    </row>
    <row r="569" spans="1:18" ht="15.75">
      <c r="A569" s="221"/>
      <c r="B569" s="230" t="s">
        <v>351</v>
      </c>
      <c r="C569" s="223" t="s">
        <v>233</v>
      </c>
      <c r="D569" s="224">
        <v>41.4</v>
      </c>
      <c r="E569" s="191"/>
      <c r="F569" s="192"/>
      <c r="G569" s="225">
        <f t="shared" ref="G569:G571" si="81">(D569*E569)+(D569*F569)</f>
        <v>0</v>
      </c>
      <c r="I569" s="33">
        <f>1.5*6+1*6</f>
        <v>15</v>
      </c>
      <c r="J569" s="54">
        <f>I569*3</f>
        <v>45</v>
      </c>
      <c r="K569" s="54">
        <f>0.6*2*3</f>
        <v>3.5999999999999996</v>
      </c>
      <c r="L569" s="54">
        <f>J569-K569</f>
        <v>41.4</v>
      </c>
      <c r="M569" s="54"/>
      <c r="N569" s="54"/>
      <c r="P569" s="54"/>
      <c r="Q569" s="54"/>
      <c r="R569" s="54"/>
    </row>
    <row r="570" spans="1:18" ht="15.75">
      <c r="A570" s="221"/>
      <c r="B570" s="230" t="s">
        <v>479</v>
      </c>
      <c r="C570" s="223" t="s">
        <v>233</v>
      </c>
      <c r="D570" s="224">
        <v>8.64</v>
      </c>
      <c r="E570" s="191"/>
      <c r="F570" s="192"/>
      <c r="G570" s="225">
        <f t="shared" si="81"/>
        <v>0</v>
      </c>
      <c r="I570" s="33">
        <f>1.5+1.65*2</f>
        <v>4.8</v>
      </c>
      <c r="J570" s="54">
        <f>I570*1.8</f>
        <v>8.64</v>
      </c>
      <c r="K570" s="54"/>
      <c r="L570" s="54"/>
      <c r="M570" s="54"/>
      <c r="N570" s="54"/>
      <c r="P570" s="54"/>
      <c r="Q570" s="54"/>
      <c r="R570" s="54"/>
    </row>
    <row r="571" spans="1:18" ht="15.75">
      <c r="A571" s="221"/>
      <c r="B571" s="230" t="s">
        <v>480</v>
      </c>
      <c r="C571" s="223" t="s">
        <v>233</v>
      </c>
      <c r="D571" s="224">
        <v>2.1</v>
      </c>
      <c r="E571" s="191"/>
      <c r="F571" s="192"/>
      <c r="G571" s="225">
        <f t="shared" si="81"/>
        <v>0</v>
      </c>
      <c r="I571" s="54">
        <f>1.5*1.4</f>
        <v>2.0999999999999996</v>
      </c>
      <c r="J571" s="54"/>
      <c r="K571" s="54"/>
      <c r="L571" s="54"/>
      <c r="M571" s="54"/>
      <c r="N571" s="54"/>
      <c r="P571" s="54"/>
      <c r="Q571" s="54"/>
      <c r="R571" s="54"/>
    </row>
    <row r="572" spans="1:18" ht="12.75">
      <c r="A572" s="221" t="s">
        <v>256</v>
      </c>
      <c r="B572" s="235" t="s">
        <v>251</v>
      </c>
      <c r="C572" s="223"/>
      <c r="D572" s="224"/>
      <c r="E572" s="191"/>
      <c r="F572" s="192"/>
      <c r="G572" s="225"/>
      <c r="I572" s="58"/>
      <c r="J572" s="29"/>
      <c r="K572" s="27"/>
      <c r="L572" s="27"/>
    </row>
    <row r="573" spans="1:18" ht="12.75">
      <c r="A573" s="221" t="s">
        <v>177</v>
      </c>
      <c r="B573" s="230" t="s">
        <v>515</v>
      </c>
      <c r="C573" s="223" t="s">
        <v>129</v>
      </c>
      <c r="D573" s="224">
        <v>146.71</v>
      </c>
      <c r="E573" s="191"/>
      <c r="F573" s="192"/>
      <c r="G573" s="225">
        <f t="shared" ref="G573" si="82">(D573*E573)+(D573*F573)</f>
        <v>0</v>
      </c>
      <c r="I573" s="22">
        <f>6.2*6+8.35*8+8.5+1.5*2+2.45*2+3*2+19.4+3.45+2.75</f>
        <v>152</v>
      </c>
      <c r="J573" s="22">
        <f>0.55*7+0.48*3</f>
        <v>5.2900000000000009</v>
      </c>
      <c r="K573" s="22">
        <f>I573-J573</f>
        <v>146.71</v>
      </c>
    </row>
    <row r="574" spans="1:18" ht="12.75">
      <c r="A574" s="221"/>
      <c r="B574" s="230"/>
      <c r="C574" s="223"/>
      <c r="D574" s="224"/>
      <c r="E574" s="191"/>
      <c r="F574" s="192"/>
      <c r="G574" s="225"/>
    </row>
    <row r="575" spans="1:18" ht="12.75">
      <c r="A575" s="226" t="s">
        <v>162</v>
      </c>
      <c r="B575" s="227" t="s">
        <v>69</v>
      </c>
      <c r="C575" s="228"/>
      <c r="D575" s="229"/>
      <c r="E575" s="234"/>
      <c r="F575" s="180"/>
      <c r="G575" s="181"/>
    </row>
    <row r="576" spans="1:18" ht="12.75">
      <c r="A576" s="221" t="s">
        <v>254</v>
      </c>
      <c r="B576" s="235" t="s">
        <v>248</v>
      </c>
      <c r="C576" s="223"/>
      <c r="D576" s="224"/>
      <c r="E576" s="191"/>
      <c r="F576" s="192"/>
      <c r="G576" s="225"/>
    </row>
    <row r="577" spans="1:12" ht="12.75">
      <c r="A577" s="221" t="s">
        <v>177</v>
      </c>
      <c r="B577" s="235" t="s">
        <v>512</v>
      </c>
      <c r="C577" s="223"/>
      <c r="D577" s="224"/>
      <c r="E577" s="191"/>
      <c r="F577" s="192"/>
      <c r="G577" s="225"/>
      <c r="I577" s="22">
        <f>12.5+2.95+3.05+3.05+2.95</f>
        <v>24.5</v>
      </c>
    </row>
    <row r="578" spans="1:12" ht="15.75">
      <c r="A578" s="221"/>
      <c r="B578" s="230" t="s">
        <v>346</v>
      </c>
      <c r="C578" s="223" t="s">
        <v>233</v>
      </c>
      <c r="D578" s="224">
        <f>D537</f>
        <v>154.38</v>
      </c>
      <c r="E578" s="191"/>
      <c r="F578" s="192"/>
      <c r="G578" s="225">
        <f t="shared" ref="G578:G580" si="83">(D578*E578)+(D578*F578)</f>
        <v>0</v>
      </c>
      <c r="I578" s="22">
        <v>28.7</v>
      </c>
    </row>
    <row r="579" spans="1:12" ht="12" customHeight="1">
      <c r="A579" s="221"/>
      <c r="B579" s="230" t="s">
        <v>348</v>
      </c>
      <c r="C579" s="223" t="s">
        <v>233</v>
      </c>
      <c r="D579" s="224">
        <v>12.1</v>
      </c>
      <c r="E579" s="191"/>
      <c r="F579" s="192"/>
      <c r="G579" s="225">
        <f t="shared" si="83"/>
        <v>0</v>
      </c>
      <c r="I579" s="22">
        <v>19.7</v>
      </c>
    </row>
    <row r="580" spans="1:12" ht="12" customHeight="1">
      <c r="A580" s="221"/>
      <c r="B580" s="230" t="s">
        <v>478</v>
      </c>
      <c r="C580" s="223" t="s">
        <v>233</v>
      </c>
      <c r="D580" s="224">
        <v>3.68</v>
      </c>
      <c r="E580" s="191"/>
      <c r="F580" s="192"/>
      <c r="G580" s="225">
        <f t="shared" si="83"/>
        <v>0</v>
      </c>
    </row>
    <row r="581" spans="1:12" ht="12.75">
      <c r="A581" s="221" t="s">
        <v>178</v>
      </c>
      <c r="B581" s="235" t="s">
        <v>516</v>
      </c>
      <c r="C581" s="223"/>
      <c r="D581" s="224"/>
      <c r="E581" s="191"/>
      <c r="F581" s="192"/>
      <c r="G581" s="225"/>
    </row>
    <row r="582" spans="1:12" ht="15.75">
      <c r="A582" s="221"/>
      <c r="B582" s="230" t="s">
        <v>476</v>
      </c>
      <c r="C582" s="223" t="s">
        <v>233</v>
      </c>
      <c r="D582" s="224">
        <f>D538</f>
        <v>66.87</v>
      </c>
      <c r="E582" s="191"/>
      <c r="F582" s="192"/>
      <c r="G582" s="225">
        <f t="shared" ref="G582" si="84">(D582*E582)+(D582*F582)</f>
        <v>0</v>
      </c>
      <c r="I582" s="22">
        <f>19.1*1.85</f>
        <v>35.335000000000001</v>
      </c>
      <c r="J582" s="22">
        <f>4.28*3.2</f>
        <v>13.696000000000002</v>
      </c>
      <c r="K582" s="22">
        <f>SUM(I582:J582)</f>
        <v>49.031000000000006</v>
      </c>
    </row>
    <row r="583" spans="1:12" ht="12.75">
      <c r="A583" s="221" t="s">
        <v>189</v>
      </c>
      <c r="B583" s="235" t="s">
        <v>270</v>
      </c>
      <c r="C583" s="223"/>
      <c r="D583" s="224"/>
      <c r="E583" s="191"/>
      <c r="F583" s="192"/>
      <c r="G583" s="225"/>
    </row>
    <row r="584" spans="1:12" ht="15.75">
      <c r="A584" s="221"/>
      <c r="B584" s="230" t="s">
        <v>477</v>
      </c>
      <c r="C584" s="223" t="s">
        <v>233</v>
      </c>
      <c r="D584" s="224">
        <v>4.5</v>
      </c>
      <c r="E584" s="191"/>
      <c r="F584" s="192"/>
      <c r="G584" s="225">
        <f t="shared" ref="G584" si="85">(D584*E584)+(D584*F584)</f>
        <v>0</v>
      </c>
    </row>
    <row r="585" spans="1:12" ht="12.75">
      <c r="A585" s="221" t="s">
        <v>255</v>
      </c>
      <c r="B585" s="235" t="s">
        <v>249</v>
      </c>
      <c r="C585" s="223"/>
      <c r="D585" s="224"/>
      <c r="E585" s="191"/>
      <c r="F585" s="192"/>
      <c r="G585" s="225"/>
    </row>
    <row r="586" spans="1:12" ht="56.25" customHeight="1">
      <c r="A586" s="221"/>
      <c r="B586" s="235" t="s">
        <v>517</v>
      </c>
      <c r="C586" s="223"/>
      <c r="D586" s="224"/>
      <c r="E586" s="191"/>
      <c r="F586" s="192"/>
      <c r="G586" s="225"/>
    </row>
    <row r="587" spans="1:12" ht="15.75">
      <c r="A587" s="221"/>
      <c r="B587" s="230" t="s">
        <v>351</v>
      </c>
      <c r="C587" s="223" t="s">
        <v>233</v>
      </c>
      <c r="D587" s="224">
        <v>41.4</v>
      </c>
      <c r="E587" s="191"/>
      <c r="F587" s="192"/>
      <c r="G587" s="225">
        <f t="shared" ref="G587:G589" si="86">(D587*E587)+(D587*F587)</f>
        <v>0</v>
      </c>
      <c r="I587" s="33">
        <f>1.5*6+1*6</f>
        <v>15</v>
      </c>
      <c r="J587" s="54">
        <f>I587*3</f>
        <v>45</v>
      </c>
      <c r="K587" s="54">
        <f>0.6*2*3</f>
        <v>3.5999999999999996</v>
      </c>
      <c r="L587" s="54">
        <f>J587-K587</f>
        <v>41.4</v>
      </c>
    </row>
    <row r="588" spans="1:12" ht="15.75">
      <c r="A588" s="221"/>
      <c r="B588" s="230" t="s">
        <v>479</v>
      </c>
      <c r="C588" s="223" t="s">
        <v>233</v>
      </c>
      <c r="D588" s="224">
        <v>8.64</v>
      </c>
      <c r="E588" s="191"/>
      <c r="F588" s="192"/>
      <c r="G588" s="225">
        <f t="shared" si="86"/>
        <v>0</v>
      </c>
      <c r="I588" s="33">
        <f>1.5+1.65*2</f>
        <v>4.8</v>
      </c>
      <c r="J588" s="54">
        <f>I588*1.8</f>
        <v>8.64</v>
      </c>
      <c r="K588" s="54"/>
      <c r="L588" s="54"/>
    </row>
    <row r="589" spans="1:12" ht="15.75">
      <c r="A589" s="221"/>
      <c r="B589" s="230" t="s">
        <v>480</v>
      </c>
      <c r="C589" s="223" t="s">
        <v>233</v>
      </c>
      <c r="D589" s="224">
        <v>2.1</v>
      </c>
      <c r="E589" s="191"/>
      <c r="F589" s="192"/>
      <c r="G589" s="225">
        <f t="shared" si="86"/>
        <v>0</v>
      </c>
      <c r="I589" s="54">
        <f>1.5*1.4</f>
        <v>2.0999999999999996</v>
      </c>
      <c r="J589" s="54"/>
      <c r="K589" s="54"/>
      <c r="L589" s="54"/>
    </row>
    <row r="590" spans="1:12" ht="12.75">
      <c r="A590" s="221"/>
      <c r="B590" s="230"/>
      <c r="C590" s="223"/>
      <c r="D590" s="224"/>
      <c r="E590" s="191"/>
      <c r="F590" s="192"/>
      <c r="G590" s="225"/>
      <c r="J590" s="54"/>
    </row>
    <row r="591" spans="1:12" ht="12.75">
      <c r="A591" s="221" t="s">
        <v>256</v>
      </c>
      <c r="B591" s="235" t="s">
        <v>250</v>
      </c>
      <c r="C591" s="223"/>
      <c r="D591" s="224"/>
      <c r="E591" s="191"/>
      <c r="F591" s="192"/>
      <c r="G591" s="225"/>
    </row>
    <row r="592" spans="1:12" ht="12.75">
      <c r="A592" s="221" t="s">
        <v>177</v>
      </c>
      <c r="B592" s="235" t="s">
        <v>513</v>
      </c>
      <c r="C592" s="223"/>
      <c r="D592" s="224"/>
      <c r="E592" s="191"/>
      <c r="F592" s="192"/>
      <c r="G592" s="225"/>
    </row>
    <row r="593" spans="1:12" ht="15.75">
      <c r="A593" s="221"/>
      <c r="B593" s="230" t="s">
        <v>278</v>
      </c>
      <c r="C593" s="223" t="s">
        <v>233</v>
      </c>
      <c r="D593" s="224">
        <f>D541</f>
        <v>17.91</v>
      </c>
      <c r="E593" s="191"/>
      <c r="F593" s="192"/>
      <c r="G593" s="225">
        <f t="shared" ref="G593" si="87">(D593*E593)+(D593*F593)</f>
        <v>0</v>
      </c>
    </row>
    <row r="594" spans="1:12" ht="12.75">
      <c r="A594" s="221" t="s">
        <v>257</v>
      </c>
      <c r="B594" s="235" t="s">
        <v>251</v>
      </c>
      <c r="C594" s="223"/>
      <c r="D594" s="224"/>
      <c r="E594" s="191"/>
      <c r="F594" s="192"/>
      <c r="G594" s="225"/>
    </row>
    <row r="595" spans="1:12" ht="12.75">
      <c r="A595" s="221" t="s">
        <v>177</v>
      </c>
      <c r="B595" s="230" t="s">
        <v>515</v>
      </c>
      <c r="C595" s="223" t="s">
        <v>129</v>
      </c>
      <c r="D595" s="224">
        <v>150.03</v>
      </c>
      <c r="E595" s="191"/>
      <c r="F595" s="192"/>
      <c r="G595" s="225">
        <f t="shared" ref="G595" si="88">(D595*E595)+(D595*F595)</f>
        <v>0</v>
      </c>
      <c r="I595" s="22">
        <f>6.2*6+8.35*8+8.5+1.5*2+2.45*2+3*2+19.4+3.45+2.75+3.8</f>
        <v>155.80000000000001</v>
      </c>
      <c r="J595" s="22">
        <f>0.55*7+0.48*4</f>
        <v>5.7700000000000005</v>
      </c>
      <c r="K595" s="22">
        <f>I595-J595</f>
        <v>150.03</v>
      </c>
    </row>
    <row r="596" spans="1:12" ht="12.75">
      <c r="A596" s="226" t="s">
        <v>57</v>
      </c>
      <c r="B596" s="227" t="s">
        <v>71</v>
      </c>
      <c r="C596" s="228"/>
      <c r="D596" s="229"/>
      <c r="E596" s="234"/>
      <c r="F596" s="180"/>
      <c r="G596" s="181"/>
    </row>
    <row r="597" spans="1:12" ht="12.75">
      <c r="A597" s="221" t="s">
        <v>254</v>
      </c>
      <c r="B597" s="235" t="s">
        <v>248</v>
      </c>
      <c r="C597" s="223"/>
      <c r="D597" s="224"/>
      <c r="E597" s="191"/>
      <c r="F597" s="192"/>
      <c r="G597" s="225"/>
    </row>
    <row r="598" spans="1:12" ht="12.75">
      <c r="A598" s="221" t="s">
        <v>177</v>
      </c>
      <c r="B598" s="235" t="s">
        <v>512</v>
      </c>
      <c r="C598" s="223"/>
      <c r="D598" s="224"/>
      <c r="E598" s="191"/>
      <c r="F598" s="192"/>
      <c r="G598" s="225"/>
    </row>
    <row r="599" spans="1:12" ht="15.75">
      <c r="A599" s="221"/>
      <c r="B599" s="230" t="s">
        <v>346</v>
      </c>
      <c r="C599" s="223" t="s">
        <v>233</v>
      </c>
      <c r="D599" s="224">
        <f>D544</f>
        <v>154.38</v>
      </c>
      <c r="E599" s="191"/>
      <c r="F599" s="192"/>
      <c r="G599" s="225">
        <f t="shared" ref="G599:G600" si="89">(D599*E599)+(D599*F599)</f>
        <v>0</v>
      </c>
    </row>
    <row r="600" spans="1:12" ht="15.75">
      <c r="A600" s="221"/>
      <c r="B600" s="230" t="s">
        <v>478</v>
      </c>
      <c r="C600" s="223" t="s">
        <v>233</v>
      </c>
      <c r="D600" s="224">
        <f>D546</f>
        <v>3.68</v>
      </c>
      <c r="E600" s="191"/>
      <c r="F600" s="192"/>
      <c r="G600" s="225">
        <f t="shared" si="89"/>
        <v>0</v>
      </c>
    </row>
    <row r="601" spans="1:12" ht="12.75">
      <c r="A601" s="221" t="s">
        <v>178</v>
      </c>
      <c r="B601" s="235" t="s">
        <v>516</v>
      </c>
      <c r="C601" s="223"/>
      <c r="D601" s="224"/>
      <c r="E601" s="191"/>
      <c r="F601" s="192"/>
      <c r="G601" s="225"/>
    </row>
    <row r="602" spans="1:12" ht="15.75">
      <c r="A602" s="221"/>
      <c r="B602" s="230" t="s">
        <v>476</v>
      </c>
      <c r="C602" s="223" t="s">
        <v>233</v>
      </c>
      <c r="D602" s="224">
        <v>66.87</v>
      </c>
      <c r="E602" s="191"/>
      <c r="F602" s="192"/>
      <c r="G602" s="225">
        <f t="shared" ref="G602" si="90">(D602*E602)+(D602*F602)</f>
        <v>0</v>
      </c>
    </row>
    <row r="603" spans="1:12" ht="12.75">
      <c r="A603" s="221" t="s">
        <v>189</v>
      </c>
      <c r="B603" s="235" t="s">
        <v>270</v>
      </c>
      <c r="C603" s="223"/>
      <c r="D603" s="224"/>
      <c r="E603" s="191"/>
      <c r="F603" s="192"/>
      <c r="G603" s="225"/>
    </row>
    <row r="604" spans="1:12" ht="16.5" thickBot="1">
      <c r="A604" s="369"/>
      <c r="B604" s="370" t="s">
        <v>477</v>
      </c>
      <c r="C604" s="371" t="s">
        <v>233</v>
      </c>
      <c r="D604" s="372">
        <v>4.5</v>
      </c>
      <c r="E604" s="373"/>
      <c r="F604" s="374"/>
      <c r="G604" s="375">
        <f t="shared" ref="G604" si="91">(D604*E604)+(D604*F604)</f>
        <v>0</v>
      </c>
    </row>
    <row r="605" spans="1:12" ht="12.75">
      <c r="A605" s="221"/>
      <c r="B605" s="230"/>
      <c r="C605" s="223"/>
      <c r="D605" s="224"/>
      <c r="E605" s="191"/>
      <c r="F605" s="192"/>
      <c r="G605" s="225"/>
    </row>
    <row r="606" spans="1:12" ht="12.75">
      <c r="A606" s="221" t="s">
        <v>255</v>
      </c>
      <c r="B606" s="235" t="s">
        <v>249</v>
      </c>
      <c r="C606" s="223"/>
      <c r="D606" s="224"/>
      <c r="E606" s="191"/>
      <c r="F606" s="192"/>
      <c r="G606" s="225"/>
    </row>
    <row r="607" spans="1:12" ht="38.25">
      <c r="A607" s="221"/>
      <c r="B607" s="235" t="s">
        <v>517</v>
      </c>
      <c r="C607" s="223"/>
      <c r="D607" s="224"/>
      <c r="E607" s="191"/>
      <c r="F607" s="192"/>
      <c r="G607" s="225"/>
    </row>
    <row r="608" spans="1:12" ht="15.75">
      <c r="A608" s="221"/>
      <c r="B608" s="230" t="s">
        <v>351</v>
      </c>
      <c r="C608" s="223" t="s">
        <v>233</v>
      </c>
      <c r="D608" s="224">
        <v>41.4</v>
      </c>
      <c r="E608" s="191"/>
      <c r="F608" s="192"/>
      <c r="G608" s="225">
        <f t="shared" ref="G608:G610" si="92">(D608*E608)+(D608*F608)</f>
        <v>0</v>
      </c>
      <c r="I608" s="33">
        <f>1.5*6+1*6</f>
        <v>15</v>
      </c>
      <c r="J608" s="54">
        <f>I608*3</f>
        <v>45</v>
      </c>
      <c r="K608" s="54">
        <f>0.6*2*3</f>
        <v>3.5999999999999996</v>
      </c>
      <c r="L608" s="54">
        <f>J608-K608</f>
        <v>41.4</v>
      </c>
    </row>
    <row r="609" spans="1:13" ht="15.75">
      <c r="A609" s="221"/>
      <c r="B609" s="230" t="s">
        <v>479</v>
      </c>
      <c r="C609" s="223" t="s">
        <v>233</v>
      </c>
      <c r="D609" s="224">
        <v>8.64</v>
      </c>
      <c r="E609" s="191"/>
      <c r="F609" s="192"/>
      <c r="G609" s="225">
        <f t="shared" si="92"/>
        <v>0</v>
      </c>
      <c r="I609" s="33">
        <f>1.5+1.65*2</f>
        <v>4.8</v>
      </c>
      <c r="J609" s="54">
        <f>I609*1.8</f>
        <v>8.64</v>
      </c>
      <c r="K609" s="54"/>
      <c r="L609" s="54"/>
    </row>
    <row r="610" spans="1:13" ht="15.75">
      <c r="A610" s="221"/>
      <c r="B610" s="230" t="s">
        <v>480</v>
      </c>
      <c r="C610" s="223" t="s">
        <v>233</v>
      </c>
      <c r="D610" s="224">
        <v>2.1</v>
      </c>
      <c r="E610" s="191"/>
      <c r="F610" s="192"/>
      <c r="G610" s="225">
        <f t="shared" si="92"/>
        <v>0</v>
      </c>
      <c r="I610" s="54">
        <f>1.5*1.4</f>
        <v>2.0999999999999996</v>
      </c>
      <c r="J610" s="54"/>
      <c r="K610" s="54"/>
      <c r="L610" s="54"/>
    </row>
    <row r="611" spans="1:13" ht="12.75">
      <c r="A611" s="221" t="s">
        <v>256</v>
      </c>
      <c r="B611" s="235" t="s">
        <v>251</v>
      </c>
      <c r="C611" s="223"/>
      <c r="D611" s="224"/>
      <c r="E611" s="191"/>
      <c r="F611" s="192"/>
      <c r="G611" s="225"/>
    </row>
    <row r="612" spans="1:13" ht="12.75">
      <c r="A612" s="221" t="s">
        <v>177</v>
      </c>
      <c r="B612" s="230" t="s">
        <v>515</v>
      </c>
      <c r="C612" s="223" t="s">
        <v>129</v>
      </c>
      <c r="D612" s="224">
        <v>135.68</v>
      </c>
      <c r="E612" s="191"/>
      <c r="F612" s="192"/>
      <c r="G612" s="225">
        <f t="shared" ref="G612" si="93">(D612*E612)+(D612*F612)</f>
        <v>0</v>
      </c>
      <c r="I612" s="22">
        <f>6.2*6+8.35*7+8.5+1.5*2+2.45*2+19.4+3.45+2.75+3.8</f>
        <v>141.45000000000002</v>
      </c>
      <c r="J612" s="22">
        <f>0.55*7+0.48*4</f>
        <v>5.7700000000000005</v>
      </c>
      <c r="K612" s="22">
        <f>I612-J612</f>
        <v>135.68</v>
      </c>
    </row>
    <row r="613" spans="1:13" ht="12.75">
      <c r="A613" s="221"/>
      <c r="B613" s="230"/>
      <c r="C613" s="223"/>
      <c r="D613" s="224"/>
      <c r="E613" s="191"/>
      <c r="F613" s="192"/>
      <c r="G613" s="225"/>
    </row>
    <row r="614" spans="1:13">
      <c r="A614" s="236" t="s">
        <v>180</v>
      </c>
      <c r="B614" s="237" t="s">
        <v>220</v>
      </c>
      <c r="C614" s="154"/>
      <c r="D614" s="145"/>
      <c r="E614" s="146"/>
      <c r="F614" s="238"/>
      <c r="G614" s="239"/>
    </row>
    <row r="615" spans="1:13" ht="36">
      <c r="A615" s="240"/>
      <c r="B615" s="241" t="s">
        <v>518</v>
      </c>
      <c r="C615" s="242"/>
      <c r="D615" s="96"/>
      <c r="E615" s="191"/>
      <c r="F615" s="192"/>
      <c r="G615" s="225"/>
    </row>
    <row r="616" spans="1:13" ht="13.5">
      <c r="A616" s="240"/>
      <c r="B616" s="241" t="s">
        <v>221</v>
      </c>
      <c r="C616" s="189" t="s">
        <v>152</v>
      </c>
      <c r="D616" s="96">
        <f>D584+D566+D604</f>
        <v>13.5</v>
      </c>
      <c r="E616" s="191"/>
      <c r="F616" s="192"/>
      <c r="G616" s="225">
        <f>(D616*E616)+(D616*F616)</f>
        <v>0</v>
      </c>
      <c r="I616" s="54">
        <f>D616/2.5</f>
        <v>5.4</v>
      </c>
      <c r="J616" s="54">
        <f>I616*800</f>
        <v>4320</v>
      </c>
      <c r="K616" s="54">
        <f>J616/D616</f>
        <v>320</v>
      </c>
    </row>
    <row r="617" spans="1:13" ht="13.5">
      <c r="A617" s="240"/>
      <c r="B617" s="241" t="s">
        <v>347</v>
      </c>
      <c r="C617" s="189" t="s">
        <v>152</v>
      </c>
      <c r="D617" s="96">
        <f>D561+D582+D602</f>
        <v>200.61</v>
      </c>
      <c r="E617" s="191"/>
      <c r="F617" s="192"/>
      <c r="G617" s="225">
        <f>(D617*E617)+(D617*F617)</f>
        <v>0</v>
      </c>
      <c r="I617" s="33"/>
      <c r="L617" s="33"/>
    </row>
    <row r="618" spans="1:13">
      <c r="A618" s="240"/>
      <c r="B618" s="241"/>
      <c r="C618" s="189"/>
      <c r="D618" s="96"/>
      <c r="E618" s="191"/>
      <c r="F618" s="192"/>
      <c r="G618" s="225"/>
    </row>
    <row r="619" spans="1:13" ht="11.25" customHeight="1">
      <c r="A619" s="236" t="s">
        <v>181</v>
      </c>
      <c r="B619" s="237" t="s">
        <v>234</v>
      </c>
      <c r="C619" s="154"/>
      <c r="D619" s="145"/>
      <c r="E619" s="146"/>
      <c r="F619" s="238"/>
      <c r="G619" s="239"/>
    </row>
    <row r="620" spans="1:13" ht="39.75" customHeight="1">
      <c r="A620" s="243" t="s">
        <v>177</v>
      </c>
      <c r="B620" s="241" t="s">
        <v>519</v>
      </c>
      <c r="C620" s="189" t="s">
        <v>15</v>
      </c>
      <c r="D620" s="96">
        <v>1</v>
      </c>
      <c r="E620" s="191"/>
      <c r="F620" s="192"/>
      <c r="G620" s="225">
        <f>(D620*E620)+(D620*F620)</f>
        <v>0</v>
      </c>
      <c r="J620" s="54" t="e">
        <f>D557+D561+#REF!+#REF!+D563+#REF!+D569+#REF!+D578+D579+#REF!+D582+D584+D587+#REF!+D593+D599+D600+D601+D603+#REF!+D608+D609+#REF!+#REF!+#REF!+#REF!+#REF!+#REF!+#REF!+#REF!</f>
        <v>#REF!</v>
      </c>
      <c r="K620" s="54" t="e">
        <f>J620/3</f>
        <v>#REF!</v>
      </c>
      <c r="L620" s="54" t="e">
        <f>K620*235</f>
        <v>#REF!</v>
      </c>
      <c r="M620" s="54" t="e">
        <f>L620*2</f>
        <v>#REF!</v>
      </c>
    </row>
    <row r="621" spans="1:13">
      <c r="A621" s="240"/>
      <c r="B621" s="241"/>
      <c r="C621" s="189"/>
      <c r="D621" s="96"/>
      <c r="E621" s="191"/>
      <c r="F621" s="192"/>
      <c r="G621" s="225"/>
    </row>
    <row r="622" spans="1:13">
      <c r="A622" s="240"/>
      <c r="B622" s="241"/>
      <c r="C622" s="189"/>
      <c r="D622" s="96"/>
      <c r="E622" s="191"/>
      <c r="F622" s="192"/>
      <c r="G622" s="225"/>
    </row>
    <row r="623" spans="1:13">
      <c r="A623" s="240"/>
      <c r="B623" s="241"/>
      <c r="C623" s="189"/>
      <c r="D623" s="96"/>
      <c r="E623" s="191"/>
      <c r="F623" s="192"/>
      <c r="G623" s="225"/>
    </row>
    <row r="624" spans="1:13">
      <c r="A624" s="240"/>
      <c r="B624" s="241"/>
      <c r="C624" s="189"/>
      <c r="D624" s="96"/>
      <c r="E624" s="191"/>
      <c r="F624" s="192"/>
      <c r="G624" s="225"/>
    </row>
    <row r="625" spans="1:7">
      <c r="A625" s="240"/>
      <c r="B625" s="241"/>
      <c r="C625" s="189"/>
      <c r="D625" s="96"/>
      <c r="E625" s="191"/>
      <c r="F625" s="192"/>
      <c r="G625" s="225"/>
    </row>
    <row r="626" spans="1:7">
      <c r="A626" s="240"/>
      <c r="B626" s="241"/>
      <c r="C626" s="189"/>
      <c r="D626" s="96"/>
      <c r="E626" s="191"/>
      <c r="F626" s="192"/>
      <c r="G626" s="225"/>
    </row>
    <row r="627" spans="1:7">
      <c r="A627" s="240"/>
      <c r="B627" s="241"/>
      <c r="C627" s="189"/>
      <c r="D627" s="96"/>
      <c r="E627" s="191"/>
      <c r="F627" s="192"/>
      <c r="G627" s="225"/>
    </row>
    <row r="628" spans="1:7">
      <c r="A628" s="240"/>
      <c r="B628" s="241"/>
      <c r="C628" s="189"/>
      <c r="D628" s="96"/>
      <c r="E628" s="191"/>
      <c r="F628" s="192"/>
      <c r="G628" s="225"/>
    </row>
    <row r="629" spans="1:7">
      <c r="A629" s="240"/>
      <c r="B629" s="241"/>
      <c r="C629" s="189"/>
      <c r="D629" s="96"/>
      <c r="E629" s="191"/>
      <c r="F629" s="192"/>
      <c r="G629" s="225"/>
    </row>
    <row r="630" spans="1:7">
      <c r="A630" s="240"/>
      <c r="B630" s="241"/>
      <c r="C630" s="189"/>
      <c r="D630" s="96"/>
      <c r="E630" s="191"/>
      <c r="F630" s="192"/>
      <c r="G630" s="225"/>
    </row>
    <row r="631" spans="1:7">
      <c r="A631" s="240"/>
      <c r="B631" s="241"/>
      <c r="C631" s="189"/>
      <c r="D631" s="96"/>
      <c r="E631" s="191"/>
      <c r="F631" s="192"/>
      <c r="G631" s="225"/>
    </row>
    <row r="632" spans="1:7">
      <c r="A632" s="240"/>
      <c r="B632" s="241"/>
      <c r="C632" s="189"/>
      <c r="D632" s="96"/>
      <c r="E632" s="191"/>
      <c r="F632" s="192"/>
      <c r="G632" s="225"/>
    </row>
    <row r="633" spans="1:7">
      <c r="A633" s="240"/>
      <c r="B633" s="241"/>
      <c r="C633" s="189"/>
      <c r="D633" s="96"/>
      <c r="E633" s="191"/>
      <c r="F633" s="192"/>
      <c r="G633" s="225"/>
    </row>
    <row r="634" spans="1:7">
      <c r="A634" s="240"/>
      <c r="B634" s="241"/>
      <c r="C634" s="189"/>
      <c r="D634" s="96"/>
      <c r="E634" s="191"/>
      <c r="F634" s="192"/>
      <c r="G634" s="225"/>
    </row>
    <row r="635" spans="1:7">
      <c r="A635" s="240"/>
      <c r="B635" s="241"/>
      <c r="C635" s="189"/>
      <c r="D635" s="96"/>
      <c r="E635" s="191"/>
      <c r="F635" s="192"/>
      <c r="G635" s="225"/>
    </row>
    <row r="636" spans="1:7">
      <c r="A636" s="240"/>
      <c r="B636" s="241"/>
      <c r="C636" s="189"/>
      <c r="D636" s="96"/>
      <c r="E636" s="191"/>
      <c r="F636" s="192"/>
      <c r="G636" s="225"/>
    </row>
    <row r="637" spans="1:7">
      <c r="A637" s="240"/>
      <c r="B637" s="241"/>
      <c r="C637" s="189"/>
      <c r="D637" s="96"/>
      <c r="E637" s="191"/>
      <c r="F637" s="192"/>
      <c r="G637" s="225"/>
    </row>
    <row r="638" spans="1:7">
      <c r="A638" s="240"/>
      <c r="B638" s="241"/>
      <c r="C638" s="189"/>
      <c r="D638" s="96"/>
      <c r="E638" s="191"/>
      <c r="F638" s="192"/>
      <c r="G638" s="225"/>
    </row>
    <row r="639" spans="1:7">
      <c r="A639" s="240"/>
      <c r="B639" s="241"/>
      <c r="C639" s="189"/>
      <c r="D639" s="96"/>
      <c r="E639" s="191"/>
      <c r="F639" s="192"/>
      <c r="G639" s="225"/>
    </row>
    <row r="640" spans="1:7">
      <c r="A640" s="240"/>
      <c r="B640" s="241"/>
      <c r="C640" s="189"/>
      <c r="D640" s="96"/>
      <c r="E640" s="191"/>
      <c r="F640" s="192"/>
      <c r="G640" s="225"/>
    </row>
    <row r="641" spans="1:7">
      <c r="A641" s="240"/>
      <c r="B641" s="241"/>
      <c r="C641" s="189"/>
      <c r="D641" s="96"/>
      <c r="E641" s="191"/>
      <c r="F641" s="192"/>
      <c r="G641" s="225"/>
    </row>
    <row r="642" spans="1:7">
      <c r="A642" s="240"/>
      <c r="B642" s="241"/>
      <c r="C642" s="189"/>
      <c r="D642" s="96"/>
      <c r="E642" s="191"/>
      <c r="F642" s="192"/>
      <c r="G642" s="225"/>
    </row>
    <row r="643" spans="1:7">
      <c r="A643" s="240"/>
      <c r="B643" s="241"/>
      <c r="C643" s="189"/>
      <c r="D643" s="96"/>
      <c r="E643" s="191"/>
      <c r="F643" s="192"/>
      <c r="G643" s="225"/>
    </row>
    <row r="644" spans="1:7">
      <c r="A644" s="240"/>
      <c r="B644" s="241"/>
      <c r="C644" s="189"/>
      <c r="D644" s="96"/>
      <c r="E644" s="191"/>
      <c r="F644" s="192"/>
      <c r="G644" s="225"/>
    </row>
    <row r="645" spans="1:7">
      <c r="A645" s="240"/>
      <c r="B645" s="241"/>
      <c r="C645" s="189"/>
      <c r="D645" s="96"/>
      <c r="E645" s="191"/>
      <c r="F645" s="192"/>
      <c r="G645" s="225"/>
    </row>
    <row r="646" spans="1:7">
      <c r="A646" s="240"/>
      <c r="B646" s="241"/>
      <c r="C646" s="189"/>
      <c r="D646" s="96"/>
      <c r="E646" s="191"/>
      <c r="F646" s="192"/>
      <c r="G646" s="225"/>
    </row>
    <row r="647" spans="1:7">
      <c r="A647" s="240"/>
      <c r="B647" s="241"/>
      <c r="C647" s="189"/>
      <c r="D647" s="96"/>
      <c r="E647" s="191"/>
      <c r="F647" s="192"/>
      <c r="G647" s="225"/>
    </row>
    <row r="648" spans="1:7">
      <c r="A648" s="240"/>
      <c r="B648" s="241"/>
      <c r="C648" s="189"/>
      <c r="D648" s="96"/>
      <c r="E648" s="191"/>
      <c r="F648" s="192"/>
      <c r="G648" s="225"/>
    </row>
    <row r="649" spans="1:7">
      <c r="A649" s="240"/>
      <c r="B649" s="241"/>
      <c r="C649" s="189"/>
      <c r="D649" s="96"/>
      <c r="E649" s="191"/>
      <c r="F649" s="192"/>
      <c r="G649" s="225"/>
    </row>
    <row r="650" spans="1:7">
      <c r="A650" s="240"/>
      <c r="B650" s="241"/>
      <c r="C650" s="189"/>
      <c r="D650" s="96"/>
      <c r="E650" s="191"/>
      <c r="F650" s="192"/>
      <c r="G650" s="225"/>
    </row>
    <row r="651" spans="1:7">
      <c r="A651" s="240"/>
      <c r="B651" s="241"/>
      <c r="C651" s="189"/>
      <c r="D651" s="96"/>
      <c r="E651" s="191"/>
      <c r="F651" s="192"/>
      <c r="G651" s="225"/>
    </row>
    <row r="652" spans="1:7" ht="12.75" thickBot="1">
      <c r="A652" s="240"/>
      <c r="B652" s="241"/>
      <c r="C652" s="189"/>
      <c r="D652" s="96"/>
      <c r="E652" s="191"/>
      <c r="F652" s="192"/>
      <c r="G652" s="225"/>
    </row>
    <row r="653" spans="1:7">
      <c r="A653" s="67"/>
      <c r="B653" s="68" t="s">
        <v>157</v>
      </c>
      <c r="C653" s="69"/>
      <c r="D653" s="70"/>
      <c r="E653" s="71"/>
      <c r="F653" s="352"/>
      <c r="G653" s="73"/>
    </row>
    <row r="654" spans="1:7" ht="12.75" thickBot="1">
      <c r="A654" s="74"/>
      <c r="B654" s="75" t="s">
        <v>158</v>
      </c>
      <c r="C654" s="76"/>
      <c r="D654" s="77"/>
      <c r="E654" s="78"/>
      <c r="F654" s="356"/>
      <c r="G654" s="80">
        <f>SUM(G527:G653)</f>
        <v>0</v>
      </c>
    </row>
    <row r="655" spans="1:7">
      <c r="A655" s="81"/>
      <c r="B655" s="108"/>
      <c r="C655" s="95"/>
      <c r="D655" s="96"/>
      <c r="E655" s="85"/>
      <c r="F655" s="98"/>
      <c r="G655" s="171"/>
    </row>
    <row r="656" spans="1:7">
      <c r="A656" s="81"/>
      <c r="B656" s="82" t="s">
        <v>203</v>
      </c>
      <c r="C656" s="95"/>
      <c r="D656" s="96"/>
      <c r="E656" s="85"/>
      <c r="F656" s="98"/>
      <c r="G656" s="99"/>
    </row>
    <row r="657" spans="1:12">
      <c r="A657" s="81"/>
      <c r="B657" s="88" t="s">
        <v>111</v>
      </c>
      <c r="C657" s="95"/>
      <c r="D657" s="96"/>
      <c r="E657" s="85"/>
      <c r="F657" s="98"/>
      <c r="G657" s="99"/>
    </row>
    <row r="658" spans="1:12">
      <c r="A658" s="199" t="s">
        <v>182</v>
      </c>
      <c r="B658" s="90" t="s">
        <v>41</v>
      </c>
      <c r="C658" s="95"/>
      <c r="D658" s="96"/>
      <c r="E658" s="85"/>
      <c r="F658" s="98"/>
      <c r="G658" s="99"/>
    </row>
    <row r="659" spans="1:12" ht="40.5" customHeight="1">
      <c r="A659" s="81"/>
      <c r="B659" s="102" t="s">
        <v>287</v>
      </c>
      <c r="C659" s="200"/>
      <c r="D659" s="200"/>
      <c r="E659" s="200"/>
      <c r="F659" s="200"/>
      <c r="G659" s="201"/>
    </row>
    <row r="660" spans="1:12" ht="50.25" customHeight="1">
      <c r="A660" s="81"/>
      <c r="B660" s="102" t="s">
        <v>286</v>
      </c>
      <c r="C660" s="200"/>
      <c r="D660" s="200"/>
      <c r="E660" s="200"/>
      <c r="F660" s="200"/>
      <c r="G660" s="201"/>
    </row>
    <row r="661" spans="1:12" ht="24.75" customHeight="1">
      <c r="A661" s="81"/>
      <c r="B661" s="102" t="s">
        <v>285</v>
      </c>
      <c r="C661" s="200"/>
      <c r="D661" s="200"/>
      <c r="E661" s="200"/>
      <c r="F661" s="200"/>
      <c r="G661" s="201"/>
    </row>
    <row r="662" spans="1:12" ht="39.75" customHeight="1">
      <c r="A662" s="81"/>
      <c r="B662" s="102" t="s">
        <v>284</v>
      </c>
      <c r="C662" s="200"/>
      <c r="D662" s="200"/>
      <c r="E662" s="200"/>
      <c r="F662" s="200"/>
      <c r="G662" s="201"/>
    </row>
    <row r="663" spans="1:12" ht="13.5" customHeight="1">
      <c r="A663" s="81"/>
      <c r="B663" s="441" t="s">
        <v>231</v>
      </c>
      <c r="C663" s="442"/>
      <c r="D663" s="442"/>
      <c r="E663" s="442"/>
      <c r="F663" s="442"/>
      <c r="G663" s="443"/>
    </row>
    <row r="664" spans="1:12">
      <c r="A664" s="244" t="s">
        <v>161</v>
      </c>
      <c r="B664" s="245" t="s">
        <v>113</v>
      </c>
      <c r="C664" s="246"/>
      <c r="D664" s="247"/>
      <c r="E664" s="234"/>
      <c r="F664" s="180"/>
      <c r="G664" s="181"/>
    </row>
    <row r="665" spans="1:12">
      <c r="A665" s="248"/>
      <c r="B665" s="249" t="s">
        <v>420</v>
      </c>
      <c r="C665" s="250"/>
      <c r="D665" s="251"/>
      <c r="E665" s="252"/>
      <c r="F665" s="253"/>
      <c r="G665" s="254"/>
    </row>
    <row r="666" spans="1:12" s="55" customFormat="1" ht="40.5" customHeight="1">
      <c r="A666" s="103" t="s">
        <v>177</v>
      </c>
      <c r="B666" s="255" t="s">
        <v>520</v>
      </c>
      <c r="C666" s="256" t="s">
        <v>114</v>
      </c>
      <c r="D666" s="96">
        <v>6</v>
      </c>
      <c r="E666" s="85"/>
      <c r="F666" s="131"/>
      <c r="G666" s="132">
        <f t="shared" ref="G666:G668" si="94">(D666*E666)+(D666*F666)</f>
        <v>0</v>
      </c>
      <c r="I666" s="65">
        <f>0.95*2.83</f>
        <v>2.6884999999999999</v>
      </c>
      <c r="J666" s="61">
        <f>I666*D666</f>
        <v>16.131</v>
      </c>
      <c r="K666" s="65">
        <f>J666+J670+J671+J672</f>
        <v>61.029000000000003</v>
      </c>
    </row>
    <row r="667" spans="1:12" s="55" customFormat="1" ht="23.25" customHeight="1">
      <c r="A667" s="103" t="s">
        <v>178</v>
      </c>
      <c r="B667" s="255" t="s">
        <v>468</v>
      </c>
      <c r="C667" s="256" t="s">
        <v>114</v>
      </c>
      <c r="D667" s="96">
        <v>1</v>
      </c>
      <c r="E667" s="85"/>
      <c r="F667" s="131"/>
      <c r="G667" s="132">
        <f t="shared" si="94"/>
        <v>0</v>
      </c>
      <c r="I667" s="65">
        <f>0.95*2.15</f>
        <v>2.0425</v>
      </c>
      <c r="J667" s="61">
        <f t="shared" ref="J667:J668" si="95">I667*D667</f>
        <v>2.0425</v>
      </c>
      <c r="K667" s="65"/>
    </row>
    <row r="668" spans="1:12" s="55" customFormat="1" ht="24.75" customHeight="1">
      <c r="A668" s="103" t="s">
        <v>189</v>
      </c>
      <c r="B668" s="255" t="s">
        <v>470</v>
      </c>
      <c r="C668" s="256" t="s">
        <v>114</v>
      </c>
      <c r="D668" s="96">
        <v>4</v>
      </c>
      <c r="E668" s="85"/>
      <c r="F668" s="131"/>
      <c r="G668" s="132">
        <f t="shared" si="94"/>
        <v>0</v>
      </c>
      <c r="I668" s="61">
        <f>0.78*2</f>
        <v>1.56</v>
      </c>
      <c r="J668" s="61">
        <f t="shared" si="95"/>
        <v>6.24</v>
      </c>
      <c r="K668" s="65"/>
    </row>
    <row r="669" spans="1:12" ht="12" customHeight="1">
      <c r="A669" s="248"/>
      <c r="B669" s="249" t="s">
        <v>419</v>
      </c>
      <c r="C669" s="250"/>
      <c r="D669" s="251"/>
      <c r="E669" s="252"/>
      <c r="F669" s="253"/>
      <c r="G669" s="254"/>
      <c r="I669" s="33"/>
      <c r="J669" s="61"/>
      <c r="K669" s="54"/>
      <c r="L669" s="54">
        <f>J668+I667</f>
        <v>8.2825000000000006</v>
      </c>
    </row>
    <row r="670" spans="1:12" ht="53.25" customHeight="1">
      <c r="A670" s="103" t="s">
        <v>177</v>
      </c>
      <c r="B670" s="255" t="s">
        <v>469</v>
      </c>
      <c r="C670" s="256" t="s">
        <v>114</v>
      </c>
      <c r="D670" s="96">
        <v>6</v>
      </c>
      <c r="E670" s="85"/>
      <c r="F670" s="131"/>
      <c r="G670" s="132">
        <f t="shared" ref="G670:G672" si="96">(D670*E670)+(D670*F670)</f>
        <v>0</v>
      </c>
      <c r="I670" s="33">
        <f>2.45*1.69</f>
        <v>4.1405000000000003</v>
      </c>
      <c r="J670" s="61">
        <f>I670*D670</f>
        <v>24.843000000000004</v>
      </c>
      <c r="K670" s="54"/>
    </row>
    <row r="671" spans="1:12" ht="37.5" customHeight="1">
      <c r="A671" s="103" t="s">
        <v>178</v>
      </c>
      <c r="B671" s="255" t="s">
        <v>521</v>
      </c>
      <c r="C671" s="256" t="s">
        <v>114</v>
      </c>
      <c r="D671" s="96">
        <v>6</v>
      </c>
      <c r="E671" s="85"/>
      <c r="F671" s="131"/>
      <c r="G671" s="132">
        <f t="shared" si="96"/>
        <v>0</v>
      </c>
      <c r="I671" s="33">
        <f>1.575*2</f>
        <v>3.15</v>
      </c>
      <c r="J671" s="61">
        <f t="shared" ref="J671:J672" si="97">I671*D671</f>
        <v>18.899999999999999</v>
      </c>
      <c r="K671" s="54"/>
    </row>
    <row r="672" spans="1:12" ht="29.25" customHeight="1">
      <c r="A672" s="103" t="s">
        <v>189</v>
      </c>
      <c r="B672" s="255" t="s">
        <v>471</v>
      </c>
      <c r="C672" s="256" t="s">
        <v>114</v>
      </c>
      <c r="D672" s="96">
        <v>3</v>
      </c>
      <c r="E672" s="85"/>
      <c r="F672" s="131"/>
      <c r="G672" s="132">
        <f t="shared" si="96"/>
        <v>0</v>
      </c>
      <c r="I672" s="33">
        <f>0.7*0.55</f>
        <v>0.38500000000000001</v>
      </c>
      <c r="J672" s="61">
        <f t="shared" si="97"/>
        <v>1.155</v>
      </c>
      <c r="K672" s="54"/>
    </row>
    <row r="673" spans="1:12" ht="12" customHeight="1">
      <c r="A673" s="248"/>
      <c r="B673" s="249" t="s">
        <v>418</v>
      </c>
      <c r="C673" s="250"/>
      <c r="D673" s="251"/>
      <c r="E673" s="252"/>
      <c r="F673" s="253"/>
      <c r="G673" s="254"/>
      <c r="I673" s="33"/>
      <c r="J673" s="61">
        <f>SUM(J666:J672)</f>
        <v>69.311499999999995</v>
      </c>
      <c r="K673" s="54">
        <f>J673-J668</f>
        <v>63.071499999999993</v>
      </c>
      <c r="L673" s="54"/>
    </row>
    <row r="674" spans="1:12" ht="30" customHeight="1">
      <c r="A674" s="103" t="s">
        <v>177</v>
      </c>
      <c r="B674" s="255" t="s">
        <v>472</v>
      </c>
      <c r="C674" s="256" t="s">
        <v>114</v>
      </c>
      <c r="D674" s="96">
        <v>10</v>
      </c>
      <c r="E674" s="85"/>
      <c r="F674" s="131"/>
      <c r="G674" s="132">
        <f t="shared" ref="G674:G675" si="98">(D674*E674)+(D674*F674)</f>
        <v>0</v>
      </c>
      <c r="I674" s="33"/>
      <c r="J674" s="61"/>
      <c r="K674" s="54"/>
    </row>
    <row r="675" spans="1:12" ht="25.5" customHeight="1">
      <c r="A675" s="103" t="s">
        <v>178</v>
      </c>
      <c r="B675" s="255" t="s">
        <v>473</v>
      </c>
      <c r="C675" s="256" t="s">
        <v>114</v>
      </c>
      <c r="D675" s="96">
        <v>2</v>
      </c>
      <c r="E675" s="85"/>
      <c r="F675" s="131"/>
      <c r="G675" s="132">
        <f t="shared" si="98"/>
        <v>0</v>
      </c>
      <c r="I675" s="33"/>
      <c r="J675" s="61"/>
      <c r="K675" s="54"/>
    </row>
    <row r="676" spans="1:12" ht="12" customHeight="1">
      <c r="A676" s="244" t="s">
        <v>162</v>
      </c>
      <c r="B676" s="245" t="s">
        <v>69</v>
      </c>
      <c r="C676" s="246"/>
      <c r="D676" s="247"/>
      <c r="E676" s="234"/>
      <c r="F676" s="180"/>
      <c r="G676" s="181"/>
      <c r="J676" s="33"/>
      <c r="K676" s="33"/>
    </row>
    <row r="677" spans="1:12">
      <c r="A677" s="248"/>
      <c r="B677" s="249" t="s">
        <v>420</v>
      </c>
      <c r="C677" s="250"/>
      <c r="D677" s="251"/>
      <c r="E677" s="252"/>
      <c r="F677" s="253"/>
      <c r="G677" s="254"/>
      <c r="K677" s="33"/>
    </row>
    <row r="678" spans="1:12" ht="36">
      <c r="A678" s="103" t="s">
        <v>177</v>
      </c>
      <c r="B678" s="255" t="s">
        <v>522</v>
      </c>
      <c r="C678" s="256" t="s">
        <v>114</v>
      </c>
      <c r="D678" s="96">
        <v>7</v>
      </c>
      <c r="E678" s="85"/>
      <c r="F678" s="131"/>
      <c r="G678" s="132">
        <f t="shared" ref="G678:G679" si="99">(D678*E678)+(D678*F678)</f>
        <v>0</v>
      </c>
      <c r="H678" s="55"/>
      <c r="I678" s="65">
        <f>0.95*2.83</f>
        <v>2.6884999999999999</v>
      </c>
      <c r="J678" s="61">
        <f>I678*D678</f>
        <v>18.819499999999998</v>
      </c>
      <c r="K678" s="65">
        <f>J678+J682+J683+J685</f>
        <v>39.815099999999994</v>
      </c>
      <c r="L678" s="55"/>
    </row>
    <row r="679" spans="1:12" ht="24">
      <c r="A679" s="103" t="s">
        <v>178</v>
      </c>
      <c r="B679" s="255" t="s">
        <v>470</v>
      </c>
      <c r="C679" s="256" t="s">
        <v>114</v>
      </c>
      <c r="D679" s="96">
        <v>4</v>
      </c>
      <c r="E679" s="85"/>
      <c r="F679" s="131"/>
      <c r="G679" s="132">
        <f t="shared" si="99"/>
        <v>0</v>
      </c>
      <c r="I679" s="61">
        <f>0.78*2</f>
        <v>1.56</v>
      </c>
      <c r="J679" s="61">
        <f>I679*D679</f>
        <v>6.24</v>
      </c>
      <c r="K679" s="65"/>
      <c r="L679" s="55"/>
    </row>
    <row r="680" spans="1:12">
      <c r="A680" s="248"/>
      <c r="B680" s="249" t="s">
        <v>419</v>
      </c>
      <c r="C680" s="250"/>
      <c r="D680" s="251"/>
      <c r="E680" s="252"/>
      <c r="F680" s="253"/>
      <c r="G680" s="254"/>
      <c r="I680" s="61"/>
      <c r="J680" s="61">
        <f t="shared" ref="J680" si="100">I680*D680</f>
        <v>0</v>
      </c>
      <c r="K680" s="65"/>
      <c r="L680" s="55"/>
    </row>
    <row r="681" spans="1:12" ht="48.75" thickBot="1">
      <c r="A681" s="376" t="s">
        <v>177</v>
      </c>
      <c r="B681" s="377" t="s">
        <v>469</v>
      </c>
      <c r="C681" s="378" t="s">
        <v>114</v>
      </c>
      <c r="D681" s="367">
        <v>6</v>
      </c>
      <c r="E681" s="368"/>
      <c r="F681" s="379"/>
      <c r="G681" s="380">
        <f t="shared" ref="G681:G684" si="101">(D681*E681)+(D681*F681)</f>
        <v>0</v>
      </c>
      <c r="I681" s="33">
        <f>2.45*1.69</f>
        <v>4.1405000000000003</v>
      </c>
      <c r="J681" s="61">
        <f>I681*D681</f>
        <v>24.843000000000004</v>
      </c>
      <c r="K681" s="54"/>
      <c r="L681" s="54">
        <f>J680+I679</f>
        <v>1.56</v>
      </c>
    </row>
    <row r="682" spans="1:12" ht="39.75" customHeight="1">
      <c r="A682" s="103" t="s">
        <v>178</v>
      </c>
      <c r="B682" s="255" t="s">
        <v>521</v>
      </c>
      <c r="C682" s="256" t="s">
        <v>114</v>
      </c>
      <c r="D682" s="96">
        <v>6</v>
      </c>
      <c r="E682" s="85"/>
      <c r="F682" s="131"/>
      <c r="G682" s="132">
        <f t="shared" si="101"/>
        <v>0</v>
      </c>
      <c r="I682" s="33">
        <f>1.575*2</f>
        <v>3.15</v>
      </c>
      <c r="J682" s="61">
        <f>I682*D682</f>
        <v>18.899999999999999</v>
      </c>
      <c r="K682" s="54"/>
    </row>
    <row r="683" spans="1:12" ht="40.5" customHeight="1">
      <c r="A683" s="103" t="s">
        <v>189</v>
      </c>
      <c r="B683" s="255" t="s">
        <v>474</v>
      </c>
      <c r="C683" s="256" t="s">
        <v>114</v>
      </c>
      <c r="D683" s="96">
        <v>1</v>
      </c>
      <c r="E683" s="85"/>
      <c r="F683" s="131"/>
      <c r="G683" s="132">
        <f t="shared" si="101"/>
        <v>0</v>
      </c>
      <c r="I683" s="33">
        <f>1.24*1.69</f>
        <v>2.0956000000000001</v>
      </c>
      <c r="J683" s="61">
        <f>I683*D683</f>
        <v>2.0956000000000001</v>
      </c>
      <c r="K683" s="54"/>
    </row>
    <row r="684" spans="1:12" ht="26.25" customHeight="1">
      <c r="A684" s="103" t="s">
        <v>190</v>
      </c>
      <c r="B684" s="255" t="s">
        <v>471</v>
      </c>
      <c r="C684" s="256" t="s">
        <v>114</v>
      </c>
      <c r="D684" s="96">
        <v>1</v>
      </c>
      <c r="E684" s="85"/>
      <c r="F684" s="131"/>
      <c r="G684" s="132">
        <f t="shared" si="101"/>
        <v>0</v>
      </c>
      <c r="I684" s="33">
        <f>0.7*0.55</f>
        <v>0.38500000000000001</v>
      </c>
      <c r="J684" s="61">
        <f>I684*D684</f>
        <v>0.38500000000000001</v>
      </c>
      <c r="K684" s="54"/>
    </row>
    <row r="685" spans="1:12">
      <c r="A685" s="248"/>
      <c r="B685" s="249" t="s">
        <v>418</v>
      </c>
      <c r="C685" s="250"/>
      <c r="D685" s="251"/>
      <c r="E685" s="252"/>
      <c r="F685" s="253"/>
      <c r="G685" s="254"/>
      <c r="I685" s="33"/>
      <c r="J685" s="61">
        <f t="shared" ref="J685" si="102">I685*D685</f>
        <v>0</v>
      </c>
      <c r="K685" s="54"/>
    </row>
    <row r="686" spans="1:12" ht="24.75" customHeight="1">
      <c r="A686" s="103" t="s">
        <v>177</v>
      </c>
      <c r="B686" s="255" t="s">
        <v>472</v>
      </c>
      <c r="C686" s="256" t="s">
        <v>114</v>
      </c>
      <c r="D686" s="96">
        <v>8</v>
      </c>
      <c r="E686" s="85"/>
      <c r="F686" s="131"/>
      <c r="G686" s="132">
        <f t="shared" ref="G686:G687" si="103">(D686*E686)+(D686*F686)</f>
        <v>0</v>
      </c>
      <c r="I686" s="33"/>
      <c r="J686" s="61">
        <f>SUM(J678:J685)</f>
        <v>71.283100000000019</v>
      </c>
      <c r="K686" s="54">
        <f>J686-(J679+I678)</f>
        <v>62.354600000000019</v>
      </c>
      <c r="L686" s="54">
        <f>I678+J679</f>
        <v>8.9284999999999997</v>
      </c>
    </row>
    <row r="687" spans="1:12" ht="27.75" customHeight="1">
      <c r="A687" s="103" t="s">
        <v>178</v>
      </c>
      <c r="B687" s="255" t="s">
        <v>473</v>
      </c>
      <c r="C687" s="256" t="s">
        <v>114</v>
      </c>
      <c r="D687" s="96">
        <v>2</v>
      </c>
      <c r="E687" s="85"/>
      <c r="F687" s="131"/>
      <c r="G687" s="132">
        <f t="shared" si="103"/>
        <v>0</v>
      </c>
      <c r="I687" s="54"/>
      <c r="J687" s="33"/>
    </row>
    <row r="688" spans="1:12" ht="12" customHeight="1">
      <c r="A688" s="103"/>
      <c r="B688" s="255"/>
      <c r="C688" s="256"/>
      <c r="D688" s="96"/>
      <c r="E688" s="85"/>
      <c r="F688" s="131"/>
      <c r="G688" s="132"/>
      <c r="I688" s="33"/>
      <c r="J688" s="61"/>
      <c r="K688" s="33"/>
    </row>
    <row r="689" spans="1:12" ht="12" customHeight="1">
      <c r="A689" s="244" t="s">
        <v>162</v>
      </c>
      <c r="B689" s="245" t="s">
        <v>69</v>
      </c>
      <c r="C689" s="246"/>
      <c r="D689" s="247"/>
      <c r="E689" s="234"/>
      <c r="F689" s="180"/>
      <c r="G689" s="181"/>
      <c r="J689" s="33"/>
      <c r="K689" s="33"/>
    </row>
    <row r="690" spans="1:12" ht="12" customHeight="1">
      <c r="A690" s="248"/>
      <c r="B690" s="249" t="s">
        <v>420</v>
      </c>
      <c r="C690" s="250"/>
      <c r="D690" s="251"/>
      <c r="E690" s="252"/>
      <c r="F690" s="253"/>
      <c r="G690" s="254"/>
      <c r="K690" s="33"/>
    </row>
    <row r="691" spans="1:12" ht="45" customHeight="1">
      <c r="A691" s="103" t="s">
        <v>177</v>
      </c>
      <c r="B691" s="255" t="s">
        <v>520</v>
      </c>
      <c r="C691" s="256" t="s">
        <v>114</v>
      </c>
      <c r="D691" s="96">
        <v>7</v>
      </c>
      <c r="E691" s="85"/>
      <c r="F691" s="131"/>
      <c r="G691" s="132">
        <f t="shared" ref="G691:G692" si="104">(D691*E691)+(D691*F691)</f>
        <v>0</v>
      </c>
      <c r="H691" s="55"/>
      <c r="I691" s="65">
        <f>0.95*2.83</f>
        <v>2.6884999999999999</v>
      </c>
      <c r="J691" s="61">
        <f>I691*D691</f>
        <v>18.819499999999998</v>
      </c>
      <c r="K691" s="65">
        <f>J691+J695+J696+J698</f>
        <v>39.815099999999994</v>
      </c>
      <c r="L691" s="55"/>
    </row>
    <row r="692" spans="1:12" ht="30" customHeight="1">
      <c r="A692" s="103" t="s">
        <v>178</v>
      </c>
      <c r="B692" s="255" t="s">
        <v>470</v>
      </c>
      <c r="C692" s="256" t="s">
        <v>114</v>
      </c>
      <c r="D692" s="96">
        <v>4</v>
      </c>
      <c r="E692" s="85"/>
      <c r="F692" s="131"/>
      <c r="G692" s="132">
        <f t="shared" si="104"/>
        <v>0</v>
      </c>
      <c r="I692" s="61">
        <f>0.78*2</f>
        <v>1.56</v>
      </c>
      <c r="J692" s="61">
        <f>I692*D692</f>
        <v>6.24</v>
      </c>
      <c r="K692" s="65"/>
      <c r="L692" s="55"/>
    </row>
    <row r="693" spans="1:12">
      <c r="A693" s="248"/>
      <c r="B693" s="249" t="s">
        <v>419</v>
      </c>
      <c r="C693" s="250"/>
      <c r="D693" s="251"/>
      <c r="E693" s="252"/>
      <c r="F693" s="253"/>
      <c r="G693" s="254"/>
      <c r="I693" s="61"/>
      <c r="J693" s="61">
        <f t="shared" ref="J693" si="105">I693*D693</f>
        <v>0</v>
      </c>
      <c r="K693" s="65"/>
      <c r="L693" s="55"/>
    </row>
    <row r="694" spans="1:12" ht="48">
      <c r="A694" s="103" t="s">
        <v>177</v>
      </c>
      <c r="B694" s="255" t="s">
        <v>469</v>
      </c>
      <c r="C694" s="256" t="s">
        <v>114</v>
      </c>
      <c r="D694" s="96">
        <v>6</v>
      </c>
      <c r="E694" s="85"/>
      <c r="F694" s="131"/>
      <c r="G694" s="132">
        <f t="shared" ref="G694:G697" si="106">(D694*E694)+(D694*F694)</f>
        <v>0</v>
      </c>
      <c r="I694" s="33">
        <f>2.45*1.69</f>
        <v>4.1405000000000003</v>
      </c>
      <c r="J694" s="61">
        <f>I694*D694</f>
        <v>24.843000000000004</v>
      </c>
      <c r="K694" s="54"/>
      <c r="L694" s="54">
        <f>J693+I692</f>
        <v>1.56</v>
      </c>
    </row>
    <row r="695" spans="1:12" ht="36">
      <c r="A695" s="103" t="s">
        <v>178</v>
      </c>
      <c r="B695" s="255" t="s">
        <v>521</v>
      </c>
      <c r="C695" s="256" t="s">
        <v>114</v>
      </c>
      <c r="D695" s="96">
        <v>6</v>
      </c>
      <c r="E695" s="85"/>
      <c r="F695" s="131"/>
      <c r="G695" s="132">
        <f t="shared" si="106"/>
        <v>0</v>
      </c>
      <c r="I695" s="33">
        <f>1.575*2</f>
        <v>3.15</v>
      </c>
      <c r="J695" s="61">
        <f>I695*D695</f>
        <v>18.899999999999999</v>
      </c>
      <c r="K695" s="54"/>
    </row>
    <row r="696" spans="1:12" ht="36">
      <c r="A696" s="103" t="s">
        <v>189</v>
      </c>
      <c r="B696" s="255" t="s">
        <v>474</v>
      </c>
      <c r="C696" s="256" t="s">
        <v>114</v>
      </c>
      <c r="D696" s="96">
        <v>1</v>
      </c>
      <c r="E696" s="85"/>
      <c r="F696" s="131"/>
      <c r="G696" s="132">
        <f t="shared" si="106"/>
        <v>0</v>
      </c>
      <c r="I696" s="33">
        <f>1.24*1.69</f>
        <v>2.0956000000000001</v>
      </c>
      <c r="J696" s="61">
        <f>I696*D696</f>
        <v>2.0956000000000001</v>
      </c>
      <c r="K696" s="54"/>
    </row>
    <row r="697" spans="1:12" ht="24">
      <c r="A697" s="103" t="s">
        <v>190</v>
      </c>
      <c r="B697" s="255" t="s">
        <v>471</v>
      </c>
      <c r="C697" s="256" t="s">
        <v>114</v>
      </c>
      <c r="D697" s="96">
        <v>1</v>
      </c>
      <c r="E697" s="85"/>
      <c r="F697" s="131"/>
      <c r="G697" s="132">
        <f t="shared" si="106"/>
        <v>0</v>
      </c>
      <c r="I697" s="33">
        <f>0.7*0.55</f>
        <v>0.38500000000000001</v>
      </c>
      <c r="J697" s="61">
        <f>I697*D697</f>
        <v>0.38500000000000001</v>
      </c>
      <c r="K697" s="54"/>
    </row>
    <row r="698" spans="1:12" ht="13.5" customHeight="1">
      <c r="A698" s="248"/>
      <c r="B698" s="249" t="s">
        <v>418</v>
      </c>
      <c r="C698" s="250"/>
      <c r="D698" s="251"/>
      <c r="E698" s="252"/>
      <c r="F698" s="253"/>
      <c r="G698" s="254"/>
      <c r="I698" s="33"/>
      <c r="J698" s="61">
        <f t="shared" ref="J698" si="107">I698*D698</f>
        <v>0</v>
      </c>
      <c r="K698" s="54"/>
    </row>
    <row r="699" spans="1:12" ht="25.5" customHeight="1">
      <c r="A699" s="103" t="s">
        <v>177</v>
      </c>
      <c r="B699" s="255" t="s">
        <v>472</v>
      </c>
      <c r="C699" s="256" t="s">
        <v>114</v>
      </c>
      <c r="D699" s="96">
        <v>8</v>
      </c>
      <c r="E699" s="85"/>
      <c r="F699" s="131"/>
      <c r="G699" s="132">
        <f t="shared" ref="G699:G700" si="108">(D699*E699)+(D699*F699)</f>
        <v>0</v>
      </c>
      <c r="I699" s="33"/>
      <c r="J699" s="61">
        <f>SUM(J691:J698)</f>
        <v>71.283100000000019</v>
      </c>
      <c r="K699" s="54">
        <f>J699-(J692+I691)</f>
        <v>62.354600000000019</v>
      </c>
      <c r="L699" s="54">
        <f>I691+J692</f>
        <v>8.9284999999999997</v>
      </c>
    </row>
    <row r="700" spans="1:12" ht="28.5" customHeight="1">
      <c r="A700" s="103" t="s">
        <v>178</v>
      </c>
      <c r="B700" s="255" t="s">
        <v>473</v>
      </c>
      <c r="C700" s="256" t="s">
        <v>114</v>
      </c>
      <c r="D700" s="96">
        <v>2</v>
      </c>
      <c r="E700" s="85"/>
      <c r="F700" s="131"/>
      <c r="G700" s="132">
        <f t="shared" si="108"/>
        <v>0</v>
      </c>
      <c r="I700" s="54"/>
      <c r="J700" s="33"/>
    </row>
    <row r="701" spans="1:12">
      <c r="A701" s="103"/>
      <c r="B701" s="255"/>
      <c r="C701" s="256"/>
      <c r="D701" s="96"/>
      <c r="E701" s="85"/>
      <c r="F701" s="131"/>
      <c r="G701" s="132"/>
      <c r="I701" s="54"/>
      <c r="J701" s="33"/>
    </row>
    <row r="702" spans="1:12">
      <c r="A702" s="244" t="s">
        <v>57</v>
      </c>
      <c r="B702" s="245" t="s">
        <v>71</v>
      </c>
      <c r="C702" s="246"/>
      <c r="D702" s="247"/>
      <c r="E702" s="234"/>
      <c r="F702" s="180"/>
      <c r="G702" s="181"/>
      <c r="J702" s="33"/>
      <c r="K702" s="33"/>
    </row>
    <row r="703" spans="1:12">
      <c r="A703" s="248"/>
      <c r="B703" s="249" t="s">
        <v>420</v>
      </c>
      <c r="C703" s="250"/>
      <c r="D703" s="251"/>
      <c r="E703" s="252"/>
      <c r="F703" s="253"/>
      <c r="G703" s="254"/>
      <c r="K703" s="33"/>
    </row>
    <row r="704" spans="1:12" ht="36">
      <c r="A704" s="103" t="s">
        <v>177</v>
      </c>
      <c r="B704" s="255" t="s">
        <v>520</v>
      </c>
      <c r="C704" s="256" t="s">
        <v>114</v>
      </c>
      <c r="D704" s="96">
        <v>7</v>
      </c>
      <c r="E704" s="85"/>
      <c r="F704" s="131"/>
      <c r="G704" s="132">
        <f t="shared" ref="G704:G705" si="109">(D704*E704)+(D704*F704)</f>
        <v>0</v>
      </c>
      <c r="H704" s="55"/>
      <c r="I704" s="65">
        <f>0.95*2.83</f>
        <v>2.6884999999999999</v>
      </c>
      <c r="J704" s="61">
        <f>I704*D704</f>
        <v>18.819499999999998</v>
      </c>
      <c r="K704" s="65">
        <f>J704+J708+J709+J711</f>
        <v>39.815099999999994</v>
      </c>
      <c r="L704" s="55"/>
    </row>
    <row r="705" spans="1:12" ht="24">
      <c r="A705" s="103" t="s">
        <v>178</v>
      </c>
      <c r="B705" s="255" t="s">
        <v>470</v>
      </c>
      <c r="C705" s="256" t="s">
        <v>114</v>
      </c>
      <c r="D705" s="96">
        <v>4</v>
      </c>
      <c r="E705" s="85"/>
      <c r="F705" s="131"/>
      <c r="G705" s="132">
        <f t="shared" si="109"/>
        <v>0</v>
      </c>
      <c r="I705" s="61">
        <f>0.78*2</f>
        <v>1.56</v>
      </c>
      <c r="J705" s="61">
        <f>I705*D705</f>
        <v>6.24</v>
      </c>
      <c r="K705" s="65"/>
      <c r="L705" s="55"/>
    </row>
    <row r="706" spans="1:12">
      <c r="A706" s="248"/>
      <c r="B706" s="249" t="s">
        <v>419</v>
      </c>
      <c r="C706" s="250"/>
      <c r="D706" s="251"/>
      <c r="E706" s="252"/>
      <c r="F706" s="253"/>
      <c r="G706" s="254"/>
      <c r="I706" s="61"/>
      <c r="J706" s="61">
        <f t="shared" ref="J706" si="110">I706*D706</f>
        <v>0</v>
      </c>
      <c r="K706" s="65"/>
      <c r="L706" s="55"/>
    </row>
    <row r="707" spans="1:12" ht="48">
      <c r="A707" s="103" t="s">
        <v>177</v>
      </c>
      <c r="B707" s="255" t="s">
        <v>469</v>
      </c>
      <c r="C707" s="256" t="s">
        <v>114</v>
      </c>
      <c r="D707" s="96">
        <v>6</v>
      </c>
      <c r="E707" s="85"/>
      <c r="F707" s="131"/>
      <c r="G707" s="132">
        <f t="shared" ref="G707:G710" si="111">(D707*E707)+(D707*F707)</f>
        <v>0</v>
      </c>
      <c r="I707" s="33">
        <f>2.45*1.69</f>
        <v>4.1405000000000003</v>
      </c>
      <c r="J707" s="61">
        <f>I707*D707</f>
        <v>24.843000000000004</v>
      </c>
      <c r="K707" s="54"/>
      <c r="L707" s="54">
        <f>J706+I705</f>
        <v>1.56</v>
      </c>
    </row>
    <row r="708" spans="1:12" ht="36.75" thickBot="1">
      <c r="A708" s="376" t="s">
        <v>178</v>
      </c>
      <c r="B708" s="377" t="s">
        <v>521</v>
      </c>
      <c r="C708" s="378" t="s">
        <v>114</v>
      </c>
      <c r="D708" s="367">
        <v>6</v>
      </c>
      <c r="E708" s="368"/>
      <c r="F708" s="379"/>
      <c r="G708" s="380">
        <f t="shared" si="111"/>
        <v>0</v>
      </c>
      <c r="I708" s="33">
        <f>1.575*2</f>
        <v>3.15</v>
      </c>
      <c r="J708" s="61">
        <f>I708*D708</f>
        <v>18.899999999999999</v>
      </c>
      <c r="K708" s="54"/>
    </row>
    <row r="709" spans="1:12" ht="36">
      <c r="A709" s="415" t="s">
        <v>189</v>
      </c>
      <c r="B709" s="416" t="s">
        <v>474</v>
      </c>
      <c r="C709" s="417" t="s">
        <v>114</v>
      </c>
      <c r="D709" s="365">
        <v>1</v>
      </c>
      <c r="E709" s="366"/>
      <c r="F709" s="418"/>
      <c r="G709" s="419">
        <f t="shared" si="111"/>
        <v>0</v>
      </c>
      <c r="I709" s="33">
        <f>1.24*1.69</f>
        <v>2.0956000000000001</v>
      </c>
      <c r="J709" s="61">
        <f>I709*D709</f>
        <v>2.0956000000000001</v>
      </c>
      <c r="K709" s="54"/>
    </row>
    <row r="710" spans="1:12" ht="24">
      <c r="A710" s="103" t="s">
        <v>190</v>
      </c>
      <c r="B710" s="255" t="s">
        <v>471</v>
      </c>
      <c r="C710" s="256" t="s">
        <v>114</v>
      </c>
      <c r="D710" s="96">
        <v>1</v>
      </c>
      <c r="E710" s="85"/>
      <c r="F710" s="131"/>
      <c r="G710" s="132">
        <f t="shared" si="111"/>
        <v>0</v>
      </c>
      <c r="I710" s="33">
        <f>0.7*0.55</f>
        <v>0.38500000000000001</v>
      </c>
      <c r="J710" s="61">
        <f>I710*D710</f>
        <v>0.38500000000000001</v>
      </c>
      <c r="K710" s="54"/>
    </row>
    <row r="711" spans="1:12">
      <c r="A711" s="248"/>
      <c r="B711" s="249" t="s">
        <v>418</v>
      </c>
      <c r="C711" s="250"/>
      <c r="D711" s="251"/>
      <c r="E711" s="252"/>
      <c r="F711" s="253"/>
      <c r="G711" s="254"/>
      <c r="I711" s="33"/>
      <c r="J711" s="61">
        <f t="shared" ref="J711" si="112">I711*D711</f>
        <v>0</v>
      </c>
      <c r="K711" s="54"/>
    </row>
    <row r="712" spans="1:12" ht="28.5" customHeight="1">
      <c r="A712" s="103" t="s">
        <v>177</v>
      </c>
      <c r="B712" s="255" t="s">
        <v>472</v>
      </c>
      <c r="C712" s="256" t="s">
        <v>114</v>
      </c>
      <c r="D712" s="96">
        <v>8</v>
      </c>
      <c r="E712" s="85"/>
      <c r="F712" s="131"/>
      <c r="G712" s="132">
        <f t="shared" ref="G712:G713" si="113">(D712*E712)+(D712*F712)</f>
        <v>0</v>
      </c>
      <c r="I712" s="33"/>
      <c r="J712" s="61">
        <f>SUM(J704:J711)</f>
        <v>71.283100000000019</v>
      </c>
      <c r="K712" s="54">
        <f>J712-(J705+I704)</f>
        <v>62.354600000000019</v>
      </c>
      <c r="L712" s="54">
        <f>I704+J705</f>
        <v>8.9284999999999997</v>
      </c>
    </row>
    <row r="713" spans="1:12" ht="27" customHeight="1">
      <c r="A713" s="103" t="s">
        <v>178</v>
      </c>
      <c r="B713" s="255" t="s">
        <v>473</v>
      </c>
      <c r="C713" s="256" t="s">
        <v>114</v>
      </c>
      <c r="D713" s="96">
        <v>2</v>
      </c>
      <c r="E713" s="85"/>
      <c r="F713" s="131"/>
      <c r="G713" s="132">
        <f t="shared" si="113"/>
        <v>0</v>
      </c>
      <c r="I713" s="54"/>
      <c r="J713" s="33"/>
    </row>
    <row r="714" spans="1:12">
      <c r="A714" s="103"/>
      <c r="B714" s="255"/>
      <c r="C714" s="164"/>
      <c r="D714" s="96"/>
      <c r="E714" s="85"/>
      <c r="F714" s="98"/>
      <c r="G714" s="99"/>
      <c r="I714" s="54"/>
      <c r="J714" s="33"/>
    </row>
    <row r="715" spans="1:12">
      <c r="A715" s="103"/>
      <c r="B715" s="255"/>
      <c r="C715" s="164"/>
      <c r="D715" s="96"/>
      <c r="E715" s="85"/>
      <c r="F715" s="98"/>
      <c r="G715" s="99"/>
      <c r="I715" s="54"/>
      <c r="J715" s="33"/>
    </row>
    <row r="716" spans="1:12" ht="12.75" thickBot="1">
      <c r="A716" s="103"/>
      <c r="B716" s="255"/>
      <c r="C716" s="164"/>
      <c r="D716" s="96"/>
      <c r="E716" s="85"/>
      <c r="F716" s="98"/>
      <c r="G716" s="99"/>
      <c r="I716" s="54"/>
      <c r="J716" s="33"/>
    </row>
    <row r="717" spans="1:12">
      <c r="A717" s="381"/>
      <c r="B717" s="346" t="s">
        <v>204</v>
      </c>
      <c r="C717" s="382"/>
      <c r="D717" s="383"/>
      <c r="E717" s="366"/>
      <c r="F717" s="347"/>
      <c r="G717" s="348"/>
    </row>
    <row r="718" spans="1:12" ht="12.75" thickBot="1">
      <c r="A718" s="384"/>
      <c r="B718" s="341" t="s">
        <v>205</v>
      </c>
      <c r="C718" s="385"/>
      <c r="D718" s="386"/>
      <c r="E718" s="368"/>
      <c r="F718" s="343"/>
      <c r="G718" s="345">
        <f>SUM(G666:G717)</f>
        <v>0</v>
      </c>
    </row>
    <row r="719" spans="1:12">
      <c r="A719" s="199"/>
      <c r="B719" s="108"/>
      <c r="C719" s="83"/>
      <c r="D719" s="84"/>
      <c r="E719" s="85"/>
      <c r="F719" s="98"/>
      <c r="G719" s="171"/>
    </row>
    <row r="720" spans="1:12">
      <c r="A720" s="81"/>
      <c r="B720" s="82" t="s">
        <v>206</v>
      </c>
      <c r="C720" s="95"/>
      <c r="D720" s="96"/>
      <c r="E720" s="85"/>
      <c r="F720" s="98"/>
      <c r="G720" s="99"/>
    </row>
    <row r="721" spans="1:15">
      <c r="A721" s="81"/>
      <c r="B721" s="88" t="s">
        <v>176</v>
      </c>
      <c r="C721" s="95"/>
      <c r="D721" s="96"/>
      <c r="E721" s="85"/>
      <c r="F721" s="98"/>
      <c r="G721" s="99"/>
    </row>
    <row r="722" spans="1:15">
      <c r="A722" s="199" t="s">
        <v>112</v>
      </c>
      <c r="B722" s="126" t="s">
        <v>41</v>
      </c>
      <c r="C722" s="95"/>
      <c r="D722" s="96"/>
      <c r="E722" s="85"/>
      <c r="F722" s="98"/>
      <c r="G722" s="99"/>
    </row>
    <row r="723" spans="1:15" ht="62.25" customHeight="1">
      <c r="A723" s="199"/>
      <c r="B723" s="257" t="s">
        <v>272</v>
      </c>
      <c r="C723" s="258"/>
      <c r="D723" s="258"/>
      <c r="E723" s="258"/>
      <c r="F723" s="258"/>
      <c r="G723" s="259"/>
    </row>
    <row r="724" spans="1:15" ht="42.75" customHeight="1">
      <c r="A724" s="199"/>
      <c r="B724" s="260" t="s">
        <v>118</v>
      </c>
      <c r="C724" s="260"/>
      <c r="D724" s="260"/>
      <c r="E724" s="260"/>
      <c r="F724" s="260"/>
      <c r="G724" s="261"/>
      <c r="I724" s="33"/>
    </row>
    <row r="725" spans="1:15" ht="48.75" customHeight="1">
      <c r="A725" s="81"/>
      <c r="B725" s="262" t="s">
        <v>258</v>
      </c>
      <c r="C725" s="262"/>
      <c r="D725" s="262"/>
      <c r="E725" s="262"/>
      <c r="F725" s="262"/>
      <c r="G725" s="263"/>
    </row>
    <row r="726" spans="1:15">
      <c r="A726" s="142" t="s">
        <v>183</v>
      </c>
      <c r="B726" s="264" t="s">
        <v>93</v>
      </c>
      <c r="C726" s="154"/>
      <c r="D726" s="145"/>
      <c r="E726" s="146"/>
      <c r="F726" s="145"/>
      <c r="G726" s="207"/>
    </row>
    <row r="727" spans="1:15">
      <c r="A727" s="244" t="s">
        <v>161</v>
      </c>
      <c r="B727" s="245" t="s">
        <v>353</v>
      </c>
      <c r="C727" s="265"/>
      <c r="D727" s="266"/>
      <c r="E727" s="267"/>
      <c r="F727" s="180"/>
      <c r="G727" s="181"/>
    </row>
    <row r="728" spans="1:15">
      <c r="A728" s="199"/>
      <c r="B728" s="268"/>
      <c r="C728" s="109"/>
      <c r="D728" s="96"/>
      <c r="E728" s="85"/>
      <c r="F728" s="98"/>
      <c r="G728" s="99">
        <f>(D728*E728)+(D728*F728)</f>
        <v>0</v>
      </c>
      <c r="I728" s="54">
        <f>D578+D558</f>
        <v>176.13</v>
      </c>
    </row>
    <row r="729" spans="1:15">
      <c r="A729" s="199"/>
      <c r="B729" s="268"/>
      <c r="C729" s="109"/>
      <c r="D729" s="96"/>
      <c r="E729" s="85"/>
      <c r="F729" s="98"/>
      <c r="G729" s="99"/>
      <c r="I729" s="54">
        <f>D537+12.05</f>
        <v>166.43</v>
      </c>
    </row>
    <row r="730" spans="1:15" ht="13.5">
      <c r="A730" s="199"/>
      <c r="B730" s="268" t="s">
        <v>355</v>
      </c>
      <c r="C730" s="109" t="s">
        <v>153</v>
      </c>
      <c r="D730" s="96">
        <f>D544</f>
        <v>154.38</v>
      </c>
      <c r="E730" s="85"/>
      <c r="F730" s="98"/>
      <c r="G730" s="99"/>
      <c r="I730" s="54"/>
    </row>
    <row r="731" spans="1:15">
      <c r="A731" s="199"/>
      <c r="B731" s="268"/>
      <c r="C731" s="109"/>
      <c r="D731" s="96"/>
      <c r="E731" s="85"/>
      <c r="F731" s="98"/>
      <c r="G731" s="99"/>
      <c r="I731" s="54"/>
    </row>
    <row r="732" spans="1:15">
      <c r="A732" s="244" t="s">
        <v>162</v>
      </c>
      <c r="B732" s="245" t="s">
        <v>354</v>
      </c>
      <c r="C732" s="265"/>
      <c r="D732" s="266"/>
      <c r="E732" s="267"/>
      <c r="F732" s="180"/>
      <c r="G732" s="181"/>
      <c r="I732" s="54"/>
    </row>
    <row r="733" spans="1:15" ht="13.5">
      <c r="A733" s="199"/>
      <c r="B733" s="268" t="s">
        <v>481</v>
      </c>
      <c r="C733" s="109" t="s">
        <v>153</v>
      </c>
      <c r="D733" s="96">
        <v>8</v>
      </c>
      <c r="E733" s="85"/>
      <c r="F733" s="98"/>
      <c r="G733" s="99">
        <f>(D733*E733)+(D733*F733)</f>
        <v>0</v>
      </c>
      <c r="I733" s="54">
        <f>1.5*1*3</f>
        <v>4.5</v>
      </c>
      <c r="J733" s="22">
        <f>1.65*1.5</f>
        <v>2.4749999999999996</v>
      </c>
      <c r="K733" s="54">
        <f>SUM(I733:J733)</f>
        <v>6.9749999999999996</v>
      </c>
      <c r="L733" s="22">
        <f>1.65*0.6</f>
        <v>0.98999999999999988</v>
      </c>
      <c r="M733" s="54">
        <f>SUM(K733:L733)</f>
        <v>7.9649999999999999</v>
      </c>
    </row>
    <row r="734" spans="1:15" ht="13.5">
      <c r="A734" s="199"/>
      <c r="B734" s="268" t="s">
        <v>482</v>
      </c>
      <c r="C734" s="109" t="s">
        <v>153</v>
      </c>
      <c r="D734" s="96">
        <v>8</v>
      </c>
      <c r="E734" s="85"/>
      <c r="F734" s="98"/>
      <c r="G734" s="99">
        <f t="shared" ref="G734:G736" si="114">(D734*E734)+(D734*F734)</f>
        <v>0</v>
      </c>
      <c r="I734" s="54">
        <f>1.5*1*3</f>
        <v>4.5</v>
      </c>
      <c r="J734" s="22">
        <f>1.65*1.5</f>
        <v>2.4749999999999996</v>
      </c>
      <c r="K734" s="54">
        <f>SUM(I734:J734)</f>
        <v>6.9749999999999996</v>
      </c>
      <c r="L734" s="22">
        <f>1.65*0.6</f>
        <v>0.98999999999999988</v>
      </c>
      <c r="M734" s="54">
        <f>SUM(K734:L734)</f>
        <v>7.9649999999999999</v>
      </c>
    </row>
    <row r="735" spans="1:15" ht="24">
      <c r="A735" s="199"/>
      <c r="B735" s="268" t="s">
        <v>483</v>
      </c>
      <c r="C735" s="109" t="s">
        <v>153</v>
      </c>
      <c r="D735" s="96">
        <v>99.23</v>
      </c>
      <c r="E735" s="85"/>
      <c r="F735" s="98"/>
      <c r="G735" s="99">
        <f t="shared" si="114"/>
        <v>0</v>
      </c>
      <c r="I735" s="54">
        <f>25.8*2</f>
        <v>51.6</v>
      </c>
      <c r="J735" s="22">
        <f>1.35*8.5</f>
        <v>11.475000000000001</v>
      </c>
      <c r="K735" s="54">
        <f>1.5*1*3</f>
        <v>4.5</v>
      </c>
      <c r="L735" s="22">
        <f>1.65*1.5</f>
        <v>2.4749999999999996</v>
      </c>
      <c r="M735" s="22">
        <f>2.45*1.5</f>
        <v>3.6750000000000003</v>
      </c>
      <c r="N735" s="22">
        <f>3*8.5</f>
        <v>25.5</v>
      </c>
      <c r="O735" s="54">
        <f>SUM(I735:N735)</f>
        <v>99.224999999999994</v>
      </c>
    </row>
    <row r="736" spans="1:15" ht="13.5">
      <c r="A736" s="199"/>
      <c r="B736" s="268" t="s">
        <v>356</v>
      </c>
      <c r="C736" s="109" t="s">
        <v>153</v>
      </c>
      <c r="D736" s="96">
        <v>40</v>
      </c>
      <c r="E736" s="85"/>
      <c r="F736" s="98"/>
      <c r="G736" s="99">
        <f t="shared" si="114"/>
        <v>0</v>
      </c>
      <c r="I736" s="22">
        <f>25.8*0.775*2</f>
        <v>39.99</v>
      </c>
    </row>
    <row r="737" spans="1:11">
      <c r="A737" s="199"/>
      <c r="B737" s="268"/>
      <c r="C737" s="109"/>
      <c r="D737" s="96"/>
      <c r="E737" s="85"/>
      <c r="F737" s="98"/>
      <c r="G737" s="99"/>
    </row>
    <row r="738" spans="1:11">
      <c r="A738" s="142" t="s">
        <v>374</v>
      </c>
      <c r="B738" s="264" t="s">
        <v>375</v>
      </c>
      <c r="C738" s="154"/>
      <c r="D738" s="145"/>
      <c r="E738" s="146"/>
      <c r="F738" s="145"/>
      <c r="G738" s="207"/>
    </row>
    <row r="739" spans="1:11" ht="36">
      <c r="A739" s="81" t="s">
        <v>177</v>
      </c>
      <c r="B739" s="268" t="s">
        <v>376</v>
      </c>
      <c r="C739" s="109" t="s">
        <v>371</v>
      </c>
      <c r="D739" s="96">
        <v>52</v>
      </c>
      <c r="E739" s="85"/>
      <c r="F739" s="98"/>
      <c r="G739" s="99"/>
      <c r="I739" s="22">
        <f>25.8*2</f>
        <v>51.6</v>
      </c>
    </row>
    <row r="740" spans="1:11">
      <c r="A740" s="81"/>
      <c r="B740" s="268"/>
      <c r="C740" s="109"/>
      <c r="D740" s="96"/>
      <c r="E740" s="85"/>
      <c r="F740" s="98"/>
      <c r="G740" s="99"/>
    </row>
    <row r="741" spans="1:11">
      <c r="A741" s="81"/>
      <c r="B741" s="268"/>
      <c r="C741" s="109"/>
      <c r="D741" s="96"/>
      <c r="E741" s="85"/>
      <c r="F741" s="98"/>
      <c r="G741" s="99"/>
    </row>
    <row r="742" spans="1:11">
      <c r="A742" s="81"/>
      <c r="B742" s="268"/>
      <c r="C742" s="109"/>
      <c r="D742" s="96"/>
      <c r="E742" s="85"/>
      <c r="F742" s="98"/>
      <c r="G742" s="99"/>
    </row>
    <row r="743" spans="1:11">
      <c r="A743" s="81"/>
      <c r="B743" s="268"/>
      <c r="C743" s="109"/>
      <c r="D743" s="96"/>
      <c r="E743" s="85"/>
      <c r="F743" s="98"/>
      <c r="G743" s="99"/>
    </row>
    <row r="744" spans="1:11">
      <c r="A744" s="81"/>
      <c r="B744" s="268"/>
      <c r="C744" s="109"/>
      <c r="D744" s="96"/>
      <c r="E744" s="85"/>
      <c r="F744" s="98"/>
      <c r="G744" s="99"/>
    </row>
    <row r="745" spans="1:11" ht="12.75" thickBot="1">
      <c r="A745" s="199"/>
      <c r="B745" s="268"/>
      <c r="C745" s="109"/>
      <c r="D745" s="96"/>
      <c r="E745" s="85"/>
      <c r="F745" s="98"/>
      <c r="G745" s="99"/>
    </row>
    <row r="746" spans="1:11">
      <c r="A746" s="67"/>
      <c r="B746" s="68" t="s">
        <v>207</v>
      </c>
      <c r="C746" s="69"/>
      <c r="D746" s="70"/>
      <c r="E746" s="71"/>
      <c r="F746" s="73"/>
      <c r="G746" s="73"/>
    </row>
    <row r="747" spans="1:11" ht="12.75" thickBot="1">
      <c r="A747" s="74"/>
      <c r="B747" s="75" t="s">
        <v>115</v>
      </c>
      <c r="C747" s="76"/>
      <c r="D747" s="77"/>
      <c r="E747" s="78"/>
      <c r="F747" s="387"/>
      <c r="G747" s="80">
        <f>SUM(G728:G735)</f>
        <v>0</v>
      </c>
    </row>
    <row r="748" spans="1:11">
      <c r="A748" s="81"/>
      <c r="C748" s="95"/>
      <c r="D748" s="96"/>
      <c r="E748" s="85"/>
      <c r="F748" s="98"/>
      <c r="G748" s="99"/>
    </row>
    <row r="749" spans="1:11">
      <c r="A749" s="81"/>
      <c r="B749" s="82" t="s">
        <v>116</v>
      </c>
      <c r="C749" s="95"/>
      <c r="D749" s="96"/>
      <c r="E749" s="85"/>
      <c r="F749" s="98"/>
      <c r="G749" s="99"/>
    </row>
    <row r="750" spans="1:11">
      <c r="A750" s="81"/>
      <c r="B750" s="88" t="s">
        <v>95</v>
      </c>
      <c r="C750" s="95"/>
      <c r="D750" s="96"/>
      <c r="E750" s="85"/>
      <c r="F750" s="98"/>
      <c r="G750" s="99"/>
    </row>
    <row r="751" spans="1:11">
      <c r="A751" s="199" t="s">
        <v>117</v>
      </c>
      <c r="B751" s="126" t="s">
        <v>41</v>
      </c>
      <c r="C751" s="95" t="s">
        <v>59</v>
      </c>
      <c r="D751" s="96"/>
      <c r="E751" s="85"/>
      <c r="F751" s="98"/>
      <c r="G751" s="99"/>
      <c r="I751" s="35"/>
      <c r="J751" s="30">
        <v>80.599999999999994</v>
      </c>
      <c r="K751" s="30"/>
    </row>
    <row r="752" spans="1:11" s="37" customFormat="1" ht="76.5" customHeight="1">
      <c r="A752" s="103"/>
      <c r="B752" s="107" t="s">
        <v>293</v>
      </c>
      <c r="C752" s="137"/>
      <c r="D752" s="137"/>
      <c r="E752" s="137"/>
      <c r="F752" s="137"/>
      <c r="G752" s="269"/>
      <c r="I752" s="35"/>
      <c r="J752" s="47"/>
      <c r="K752" s="30"/>
    </row>
    <row r="753" spans="1:13" s="37" customFormat="1" ht="29.25" customHeight="1">
      <c r="A753" s="103"/>
      <c r="B753" s="107" t="s">
        <v>291</v>
      </c>
      <c r="C753" s="137"/>
      <c r="D753" s="137"/>
      <c r="E753" s="137"/>
      <c r="F753" s="137"/>
      <c r="G753" s="269"/>
      <c r="I753" s="35"/>
      <c r="J753" s="30">
        <v>168.85</v>
      </c>
      <c r="K753" s="30"/>
    </row>
    <row r="754" spans="1:13" s="37" customFormat="1" ht="50.25" customHeight="1">
      <c r="A754" s="103"/>
      <c r="B754" s="107" t="s">
        <v>292</v>
      </c>
      <c r="C754" s="137"/>
      <c r="D754" s="137"/>
      <c r="E754" s="137"/>
      <c r="F754" s="137"/>
      <c r="G754" s="269"/>
      <c r="I754" s="35"/>
      <c r="J754" s="47"/>
      <c r="K754" s="30"/>
    </row>
    <row r="755" spans="1:13" s="37" customFormat="1" ht="66.75" customHeight="1">
      <c r="A755" s="103"/>
      <c r="B755" s="107" t="s">
        <v>169</v>
      </c>
      <c r="C755" s="137"/>
      <c r="D755" s="137"/>
      <c r="E755" s="137"/>
      <c r="F755" s="137"/>
      <c r="G755" s="269"/>
      <c r="I755" s="42"/>
      <c r="J755" s="30">
        <v>139</v>
      </c>
      <c r="K755" s="43"/>
    </row>
    <row r="756" spans="1:13">
      <c r="A756" s="244" t="s">
        <v>161</v>
      </c>
      <c r="B756" s="245" t="s">
        <v>67</v>
      </c>
      <c r="C756" s="246"/>
      <c r="D756" s="247"/>
      <c r="E756" s="234"/>
      <c r="F756" s="180"/>
      <c r="G756" s="181"/>
      <c r="I756" s="30"/>
      <c r="J756" s="43"/>
      <c r="K756" s="30"/>
    </row>
    <row r="757" spans="1:13" ht="24">
      <c r="A757" s="81"/>
      <c r="B757" s="270" t="s">
        <v>122</v>
      </c>
      <c r="C757" s="271" t="s">
        <v>153</v>
      </c>
      <c r="D757" s="96">
        <f>D489</f>
        <v>256.82</v>
      </c>
      <c r="E757" s="85"/>
      <c r="F757" s="98"/>
      <c r="G757" s="99">
        <f t="shared" ref="G757:G759" si="115">(D757*E757)+(D757*F757)</f>
        <v>0</v>
      </c>
      <c r="I757" s="30"/>
      <c r="J757" s="47"/>
      <c r="K757" s="30"/>
    </row>
    <row r="758" spans="1:13" ht="14.25" customHeight="1">
      <c r="A758" s="81"/>
      <c r="B758" s="270" t="s">
        <v>123</v>
      </c>
      <c r="C758" s="271" t="s">
        <v>153</v>
      </c>
      <c r="D758" s="96">
        <f>D491</f>
        <v>484.83</v>
      </c>
      <c r="E758" s="85"/>
      <c r="F758" s="98"/>
      <c r="G758" s="99">
        <f t="shared" si="115"/>
        <v>0</v>
      </c>
      <c r="I758" s="30"/>
      <c r="J758" s="30">
        <v>143.19999999999999</v>
      </c>
      <c r="K758" s="30"/>
    </row>
    <row r="759" spans="1:13" ht="13.5">
      <c r="A759" s="81"/>
      <c r="B759" s="270" t="s">
        <v>124</v>
      </c>
      <c r="C759" s="271" t="s">
        <v>153</v>
      </c>
      <c r="D759" s="96">
        <v>103.73</v>
      </c>
      <c r="E759" s="85"/>
      <c r="F759" s="98"/>
      <c r="G759" s="99">
        <f t="shared" si="115"/>
        <v>0</v>
      </c>
      <c r="I759" s="30">
        <f>3.5*1.5*2</f>
        <v>10.5</v>
      </c>
      <c r="J759" s="47">
        <f>3*1.4</f>
        <v>4.1999999999999993</v>
      </c>
      <c r="K759" s="30">
        <f>SUM(I759:J759)</f>
        <v>14.7</v>
      </c>
      <c r="L759" s="22">
        <f>3*4.22</f>
        <v>12.66</v>
      </c>
      <c r="M759" s="33">
        <f>K759+L759+D529+D531+D534+1.32</f>
        <v>103.73</v>
      </c>
    </row>
    <row r="760" spans="1:13">
      <c r="A760" s="81"/>
      <c r="B760" s="270"/>
      <c r="C760" s="271"/>
      <c r="D760" s="96"/>
      <c r="E760" s="85"/>
      <c r="F760" s="98"/>
      <c r="G760" s="99"/>
      <c r="I760" s="43"/>
      <c r="J760" s="30"/>
      <c r="K760" s="30"/>
    </row>
    <row r="761" spans="1:13">
      <c r="A761" s="244" t="s">
        <v>162</v>
      </c>
      <c r="B761" s="245" t="s">
        <v>69</v>
      </c>
      <c r="C761" s="246"/>
      <c r="D761" s="247"/>
      <c r="E761" s="234"/>
      <c r="F761" s="180"/>
      <c r="G761" s="181"/>
      <c r="I761" s="30"/>
      <c r="J761" s="43"/>
      <c r="K761" s="30"/>
    </row>
    <row r="762" spans="1:13" ht="24">
      <c r="A762" s="81"/>
      <c r="B762" s="270" t="s">
        <v>122</v>
      </c>
      <c r="C762" s="271" t="s">
        <v>153</v>
      </c>
      <c r="D762" s="96">
        <f>D495</f>
        <v>292</v>
      </c>
      <c r="E762" s="85"/>
      <c r="F762" s="98"/>
      <c r="G762" s="99">
        <f t="shared" ref="G762:G764" si="116">(D762*E762)+(D762*F762)</f>
        <v>0</v>
      </c>
      <c r="I762" s="30"/>
      <c r="J762" s="47"/>
      <c r="K762" s="30"/>
    </row>
    <row r="763" spans="1:13" ht="11.25" customHeight="1">
      <c r="A763" s="81"/>
      <c r="B763" s="270" t="s">
        <v>123</v>
      </c>
      <c r="C763" s="271" t="s">
        <v>153</v>
      </c>
      <c r="D763" s="96">
        <f>D497</f>
        <v>475.73</v>
      </c>
      <c r="E763" s="85"/>
      <c r="F763" s="98"/>
      <c r="G763" s="99">
        <f t="shared" si="116"/>
        <v>0</v>
      </c>
      <c r="I763" s="30"/>
      <c r="J763" s="30">
        <v>143.19999999999999</v>
      </c>
      <c r="K763" s="30"/>
    </row>
    <row r="764" spans="1:13" ht="13.5">
      <c r="A764" s="81"/>
      <c r="B764" s="270" t="s">
        <v>124</v>
      </c>
      <c r="C764" s="271" t="s">
        <v>153</v>
      </c>
      <c r="D764" s="96">
        <v>103.73</v>
      </c>
      <c r="E764" s="85"/>
      <c r="F764" s="98"/>
      <c r="G764" s="99">
        <f t="shared" si="116"/>
        <v>0</v>
      </c>
      <c r="I764" s="30">
        <f>3.5*1.5*2</f>
        <v>10.5</v>
      </c>
      <c r="J764" s="47">
        <f>3*1.4</f>
        <v>4.1999999999999993</v>
      </c>
      <c r="K764" s="30">
        <f>SUM(I764:J764)</f>
        <v>14.7</v>
      </c>
      <c r="L764" s="22">
        <f>3*4.22</f>
        <v>12.66</v>
      </c>
      <c r="M764" s="33">
        <f>K764+L764+D538+D540+D542+1.32</f>
        <v>103.73</v>
      </c>
    </row>
    <row r="765" spans="1:13">
      <c r="A765" s="81"/>
      <c r="B765" s="270"/>
      <c r="C765" s="271"/>
      <c r="D765" s="96"/>
      <c r="E765" s="85"/>
      <c r="F765" s="98"/>
      <c r="G765" s="99"/>
      <c r="I765" s="66"/>
      <c r="J765" s="47"/>
      <c r="K765" s="66"/>
    </row>
    <row r="766" spans="1:13">
      <c r="A766" s="244" t="s">
        <v>57</v>
      </c>
      <c r="B766" s="245" t="s">
        <v>71</v>
      </c>
      <c r="C766" s="246"/>
      <c r="D766" s="247"/>
      <c r="E766" s="234"/>
      <c r="F766" s="180"/>
      <c r="G766" s="181"/>
      <c r="J766" s="30">
        <v>319.60000000000002</v>
      </c>
    </row>
    <row r="767" spans="1:13" ht="24">
      <c r="A767" s="81"/>
      <c r="B767" s="270" t="s">
        <v>122</v>
      </c>
      <c r="C767" s="271" t="s">
        <v>153</v>
      </c>
      <c r="D767" s="96">
        <f>D501</f>
        <v>292</v>
      </c>
      <c r="E767" s="85"/>
      <c r="F767" s="98"/>
      <c r="G767" s="99">
        <f t="shared" ref="G767:G769" si="117">(D767*E767)+(D767*F767)</f>
        <v>0</v>
      </c>
      <c r="J767" s="43"/>
    </row>
    <row r="768" spans="1:13" ht="13.5">
      <c r="A768" s="81"/>
      <c r="B768" s="270" t="s">
        <v>123</v>
      </c>
      <c r="C768" s="271" t="s">
        <v>153</v>
      </c>
      <c r="D768" s="96">
        <f>D503</f>
        <v>500.32</v>
      </c>
      <c r="E768" s="85"/>
      <c r="F768" s="98"/>
      <c r="G768" s="99">
        <f t="shared" si="117"/>
        <v>0</v>
      </c>
      <c r="J768" s="47"/>
    </row>
    <row r="769" spans="1:16" ht="13.5">
      <c r="A769" s="81"/>
      <c r="B769" s="270" t="s">
        <v>124</v>
      </c>
      <c r="C769" s="271" t="s">
        <v>153</v>
      </c>
      <c r="D769" s="96">
        <v>100.83</v>
      </c>
      <c r="E769" s="85"/>
      <c r="F769" s="98"/>
      <c r="G769" s="99">
        <f t="shared" si="117"/>
        <v>0</v>
      </c>
      <c r="I769" s="33">
        <f>25.8*2</f>
        <v>51.6</v>
      </c>
      <c r="J769" s="30">
        <f>1.35*8.5</f>
        <v>11.475000000000001</v>
      </c>
      <c r="K769" s="54">
        <f>1.65*0.8</f>
        <v>1.32</v>
      </c>
      <c r="L769" s="33">
        <f>2.4*1.65</f>
        <v>3.9599999999999995</v>
      </c>
      <c r="M769" s="22">
        <f>1.5*1.65</f>
        <v>2.4749999999999996</v>
      </c>
      <c r="N769" s="22">
        <f>8.5*3</f>
        <v>25.5</v>
      </c>
      <c r="O769" s="22">
        <f>1.5*3</f>
        <v>4.5</v>
      </c>
      <c r="P769" s="33">
        <f>SUM(I769:O769)</f>
        <v>100.82999999999998</v>
      </c>
    </row>
    <row r="770" spans="1:16">
      <c r="A770" s="244" t="s">
        <v>163</v>
      </c>
      <c r="B770" s="245" t="s">
        <v>283</v>
      </c>
      <c r="C770" s="246"/>
      <c r="D770" s="247"/>
      <c r="E770" s="234"/>
      <c r="F770" s="180"/>
      <c r="G770" s="181"/>
      <c r="J770" s="30"/>
    </row>
    <row r="771" spans="1:16" ht="24">
      <c r="A771" s="81"/>
      <c r="B771" s="270" t="s">
        <v>122</v>
      </c>
      <c r="C771" s="271" t="s">
        <v>153</v>
      </c>
      <c r="D771" s="96">
        <f>D507</f>
        <v>24.1</v>
      </c>
      <c r="E771" s="85"/>
      <c r="F771" s="98"/>
      <c r="G771" s="99">
        <f t="shared" ref="G771:G773" si="118">(D771*E771)+(D771*F771)</f>
        <v>0</v>
      </c>
      <c r="J771" s="30"/>
    </row>
    <row r="772" spans="1:16" ht="13.5">
      <c r="A772" s="81"/>
      <c r="B772" s="270" t="s">
        <v>123</v>
      </c>
      <c r="C772" s="271" t="s">
        <v>153</v>
      </c>
      <c r="D772" s="96">
        <f>D509</f>
        <v>24.1</v>
      </c>
      <c r="E772" s="85"/>
      <c r="F772" s="98"/>
      <c r="G772" s="99">
        <f t="shared" si="118"/>
        <v>0</v>
      </c>
      <c r="J772" s="30"/>
    </row>
    <row r="773" spans="1:16" ht="13.5">
      <c r="A773" s="81"/>
      <c r="B773" s="270" t="s">
        <v>357</v>
      </c>
      <c r="C773" s="271" t="s">
        <v>153</v>
      </c>
      <c r="D773" s="96">
        <f>D736</f>
        <v>40</v>
      </c>
      <c r="E773" s="85"/>
      <c r="F773" s="98"/>
      <c r="G773" s="99">
        <f t="shared" si="118"/>
        <v>0</v>
      </c>
      <c r="J773" s="30"/>
    </row>
    <row r="774" spans="1:16">
      <c r="A774" s="81"/>
      <c r="B774" s="270"/>
      <c r="C774" s="271"/>
      <c r="D774" s="96"/>
      <c r="E774" s="85"/>
      <c r="F774" s="98"/>
      <c r="G774" s="99"/>
      <c r="J774" s="66"/>
    </row>
    <row r="775" spans="1:16">
      <c r="A775" s="81"/>
      <c r="B775" s="270"/>
      <c r="C775" s="271"/>
      <c r="D775" s="96"/>
      <c r="E775" s="85"/>
      <c r="F775" s="98"/>
      <c r="G775" s="99"/>
      <c r="J775" s="66"/>
    </row>
    <row r="776" spans="1:16">
      <c r="A776" s="81"/>
      <c r="B776" s="270"/>
      <c r="C776" s="271"/>
      <c r="D776" s="96"/>
      <c r="E776" s="85"/>
      <c r="F776" s="98"/>
      <c r="G776" s="99"/>
      <c r="J776" s="66"/>
    </row>
    <row r="777" spans="1:16">
      <c r="A777" s="81"/>
      <c r="B777" s="270"/>
      <c r="C777" s="271"/>
      <c r="D777" s="96"/>
      <c r="E777" s="85"/>
      <c r="F777" s="98"/>
      <c r="G777" s="99"/>
      <c r="J777" s="66"/>
    </row>
    <row r="778" spans="1:16">
      <c r="A778" s="81"/>
      <c r="B778" s="270"/>
      <c r="C778" s="271"/>
      <c r="D778" s="96"/>
      <c r="E778" s="85"/>
      <c r="F778" s="98"/>
      <c r="G778" s="99"/>
      <c r="J778" s="66"/>
    </row>
    <row r="779" spans="1:16">
      <c r="A779" s="81"/>
      <c r="B779" s="270"/>
      <c r="C779" s="271"/>
      <c r="D779" s="96"/>
      <c r="E779" s="85"/>
      <c r="F779" s="98"/>
      <c r="G779" s="99"/>
      <c r="J779" s="66"/>
    </row>
    <row r="780" spans="1:16">
      <c r="A780" s="81"/>
      <c r="B780" s="270"/>
      <c r="C780" s="271"/>
      <c r="D780" s="96"/>
      <c r="E780" s="85"/>
      <c r="F780" s="98"/>
      <c r="G780" s="99"/>
      <c r="J780" s="66"/>
    </row>
    <row r="781" spans="1:16">
      <c r="A781" s="81"/>
      <c r="B781" s="270"/>
      <c r="C781" s="271"/>
      <c r="D781" s="96"/>
      <c r="E781" s="85"/>
      <c r="F781" s="98"/>
      <c r="G781" s="99"/>
      <c r="J781" s="66"/>
    </row>
    <row r="782" spans="1:16">
      <c r="A782" s="81"/>
      <c r="B782" s="270"/>
      <c r="C782" s="271"/>
      <c r="D782" s="96"/>
      <c r="E782" s="85"/>
      <c r="F782" s="98"/>
      <c r="G782" s="99"/>
      <c r="J782" s="66"/>
    </row>
    <row r="783" spans="1:16">
      <c r="A783" s="81"/>
      <c r="B783" s="270"/>
      <c r="C783" s="271"/>
      <c r="D783" s="96"/>
      <c r="E783" s="85"/>
      <c r="F783" s="98"/>
      <c r="G783" s="99"/>
      <c r="J783" s="66"/>
    </row>
    <row r="784" spans="1:16" ht="12.75" thickBot="1">
      <c r="A784" s="81"/>
      <c r="B784" s="270"/>
      <c r="C784" s="271"/>
      <c r="D784" s="96"/>
      <c r="E784" s="85"/>
      <c r="F784" s="98"/>
      <c r="G784" s="99"/>
      <c r="J784" s="66"/>
    </row>
    <row r="785" spans="1:9">
      <c r="A785" s="67"/>
      <c r="B785" s="68" t="s">
        <v>208</v>
      </c>
      <c r="C785" s="69"/>
      <c r="D785" s="70"/>
      <c r="E785" s="71"/>
      <c r="F785" s="73"/>
      <c r="G785" s="73"/>
    </row>
    <row r="786" spans="1:9" ht="12.75" thickBot="1">
      <c r="A786" s="74"/>
      <c r="B786" s="75" t="s">
        <v>119</v>
      </c>
      <c r="C786" s="76"/>
      <c r="D786" s="77"/>
      <c r="E786" s="78"/>
      <c r="F786" s="387"/>
      <c r="G786" s="80">
        <f>SUM(G757:G769)</f>
        <v>0</v>
      </c>
    </row>
    <row r="787" spans="1:9">
      <c r="A787" s="81"/>
      <c r="B787" s="82" t="s">
        <v>120</v>
      </c>
      <c r="C787" s="95"/>
      <c r="D787" s="96"/>
      <c r="E787" s="85"/>
      <c r="F787" s="98"/>
      <c r="G787" s="99"/>
    </row>
    <row r="788" spans="1:9">
      <c r="A788" s="81"/>
      <c r="B788" s="88" t="s">
        <v>97</v>
      </c>
      <c r="C788" s="95"/>
      <c r="D788" s="96"/>
      <c r="E788" s="85"/>
      <c r="F788" s="98"/>
      <c r="G788" s="99"/>
    </row>
    <row r="789" spans="1:9">
      <c r="A789" s="199" t="s">
        <v>121</v>
      </c>
      <c r="B789" s="126" t="s">
        <v>41</v>
      </c>
      <c r="C789" s="95"/>
      <c r="D789" s="96"/>
      <c r="E789" s="85"/>
      <c r="F789" s="98"/>
      <c r="G789" s="99"/>
    </row>
    <row r="790" spans="1:9" s="37" customFormat="1" ht="53.25" customHeight="1">
      <c r="A790" s="103"/>
      <c r="B790" s="107" t="s">
        <v>150</v>
      </c>
      <c r="C790" s="107"/>
      <c r="D790" s="107"/>
      <c r="E790" s="107"/>
      <c r="F790" s="107"/>
      <c r="G790" s="174"/>
    </row>
    <row r="791" spans="1:9">
      <c r="A791" s="142" t="s">
        <v>184</v>
      </c>
      <c r="B791" s="143" t="s">
        <v>128</v>
      </c>
      <c r="C791" s="154"/>
      <c r="D791" s="145"/>
      <c r="E791" s="146"/>
      <c r="F791" s="145"/>
      <c r="G791" s="207"/>
    </row>
    <row r="792" spans="1:9">
      <c r="A792" s="244" t="s">
        <v>161</v>
      </c>
      <c r="B792" s="272" t="s">
        <v>67</v>
      </c>
      <c r="C792" s="273"/>
      <c r="D792" s="247"/>
      <c r="E792" s="234"/>
      <c r="F792" s="247"/>
      <c r="G792" s="274"/>
    </row>
    <row r="793" spans="1:9">
      <c r="A793" s="275" t="s">
        <v>177</v>
      </c>
      <c r="B793" s="276" t="s">
        <v>523</v>
      </c>
      <c r="C793" s="277" t="s">
        <v>114</v>
      </c>
      <c r="D793" s="278"/>
      <c r="E793" s="279"/>
      <c r="F793" s="170"/>
      <c r="G793" s="171"/>
    </row>
    <row r="794" spans="1:9" ht="25.5" customHeight="1">
      <c r="A794" s="199"/>
      <c r="B794" s="255" t="s">
        <v>528</v>
      </c>
      <c r="C794" s="256" t="s">
        <v>129</v>
      </c>
      <c r="D794" s="96">
        <v>7.8</v>
      </c>
      <c r="E794" s="85"/>
      <c r="F794" s="98"/>
      <c r="G794" s="99">
        <f>(D794*E794)+(D794*F794)</f>
        <v>0</v>
      </c>
    </row>
    <row r="795" spans="1:9" ht="39.75" customHeight="1">
      <c r="A795" s="199"/>
      <c r="B795" s="255" t="s">
        <v>530</v>
      </c>
      <c r="C795" s="256" t="s">
        <v>129</v>
      </c>
      <c r="D795" s="96">
        <v>7.2</v>
      </c>
      <c r="E795" s="85"/>
      <c r="F795" s="98"/>
      <c r="G795" s="99">
        <f>(D795*E795)+(D795*F795)</f>
        <v>0</v>
      </c>
      <c r="I795" s="22">
        <f>3.6*2</f>
        <v>7.2</v>
      </c>
    </row>
    <row r="796" spans="1:9">
      <c r="A796" s="244" t="s">
        <v>162</v>
      </c>
      <c r="B796" s="272" t="s">
        <v>69</v>
      </c>
      <c r="C796" s="273"/>
      <c r="D796" s="247"/>
      <c r="E796" s="234"/>
      <c r="F796" s="247"/>
      <c r="G796" s="274"/>
    </row>
    <row r="797" spans="1:9">
      <c r="A797" s="275" t="s">
        <v>177</v>
      </c>
      <c r="B797" s="276" t="s">
        <v>524</v>
      </c>
      <c r="C797" s="277" t="s">
        <v>114</v>
      </c>
      <c r="D797" s="278"/>
      <c r="E797" s="279"/>
      <c r="F797" s="170"/>
      <c r="G797" s="171"/>
    </row>
    <row r="798" spans="1:9" ht="25.5" customHeight="1">
      <c r="A798" s="199"/>
      <c r="B798" s="255" t="s">
        <v>528</v>
      </c>
      <c r="C798" s="256" t="s">
        <v>129</v>
      </c>
      <c r="D798" s="96">
        <v>7</v>
      </c>
      <c r="E798" s="85"/>
      <c r="F798" s="98"/>
      <c r="G798" s="99">
        <f>(D798*E798)+(D798*F798)</f>
        <v>0</v>
      </c>
    </row>
    <row r="799" spans="1:9" ht="36" customHeight="1">
      <c r="A799" s="199"/>
      <c r="B799" s="255" t="s">
        <v>529</v>
      </c>
      <c r="C799" s="256" t="s">
        <v>129</v>
      </c>
      <c r="D799" s="96">
        <v>7.2</v>
      </c>
      <c r="E799" s="85"/>
      <c r="F799" s="98"/>
      <c r="G799" s="99">
        <f>(D799*E799)+(D799*F799)</f>
        <v>0</v>
      </c>
    </row>
    <row r="800" spans="1:9" ht="11.25" customHeight="1">
      <c r="A800" s="275" t="s">
        <v>178</v>
      </c>
      <c r="B800" s="276" t="s">
        <v>525</v>
      </c>
      <c r="C800" s="277" t="s">
        <v>114</v>
      </c>
      <c r="D800" s="278"/>
      <c r="E800" s="279"/>
      <c r="F800" s="170"/>
      <c r="G800" s="171"/>
    </row>
    <row r="801" spans="1:10" ht="25.5" customHeight="1">
      <c r="A801" s="199"/>
      <c r="B801" s="255" t="s">
        <v>527</v>
      </c>
      <c r="C801" s="256" t="s">
        <v>129</v>
      </c>
      <c r="D801" s="96">
        <v>27.6</v>
      </c>
      <c r="E801" s="85"/>
      <c r="F801" s="98"/>
      <c r="G801" s="99">
        <f>(D801*E801)+(D801*F801)</f>
        <v>0</v>
      </c>
      <c r="I801" s="22">
        <f>24+3.6</f>
        <v>27.6</v>
      </c>
    </row>
    <row r="802" spans="1:10">
      <c r="A802" s="244" t="s">
        <v>57</v>
      </c>
      <c r="B802" s="272" t="s">
        <v>71</v>
      </c>
      <c r="C802" s="273"/>
      <c r="D802" s="247"/>
      <c r="E802" s="234"/>
      <c r="F802" s="247"/>
      <c r="G802" s="274"/>
    </row>
    <row r="803" spans="1:10">
      <c r="A803" s="275" t="s">
        <v>177</v>
      </c>
      <c r="B803" s="276" t="s">
        <v>525</v>
      </c>
      <c r="C803" s="277" t="s">
        <v>114</v>
      </c>
      <c r="D803" s="278"/>
      <c r="E803" s="279"/>
      <c r="F803" s="170"/>
      <c r="G803" s="171"/>
    </row>
    <row r="804" spans="1:10" ht="29.25" customHeight="1">
      <c r="A804" s="199"/>
      <c r="B804" s="255" t="s">
        <v>526</v>
      </c>
      <c r="C804" s="256" t="s">
        <v>129</v>
      </c>
      <c r="D804" s="96">
        <v>27.6</v>
      </c>
      <c r="E804" s="85"/>
      <c r="F804" s="98"/>
      <c r="G804" s="99">
        <f>(D804*E804)+(D804*F804)</f>
        <v>0</v>
      </c>
    </row>
    <row r="805" spans="1:10">
      <c r="A805" s="142" t="s">
        <v>184</v>
      </c>
      <c r="B805" s="143" t="s">
        <v>359</v>
      </c>
      <c r="C805" s="154"/>
      <c r="D805" s="145"/>
      <c r="E805" s="146"/>
      <c r="F805" s="145"/>
      <c r="G805" s="207"/>
    </row>
    <row r="806" spans="1:10" ht="48" customHeight="1">
      <c r="A806" s="81" t="s">
        <v>177</v>
      </c>
      <c r="B806" s="255" t="s">
        <v>501</v>
      </c>
      <c r="C806" s="256"/>
      <c r="D806" s="96"/>
      <c r="E806" s="85"/>
      <c r="F806" s="98"/>
      <c r="G806" s="99">
        <f t="shared" ref="G806:G809" si="119">(D806*E806)+(D806*F806)</f>
        <v>0</v>
      </c>
    </row>
    <row r="807" spans="1:10">
      <c r="A807" s="199"/>
      <c r="B807" s="255" t="s">
        <v>358</v>
      </c>
      <c r="C807" s="256" t="s">
        <v>114</v>
      </c>
      <c r="D807" s="96">
        <v>18</v>
      </c>
      <c r="E807" s="85"/>
      <c r="F807" s="98"/>
      <c r="G807" s="99">
        <f t="shared" si="119"/>
        <v>0</v>
      </c>
    </row>
    <row r="808" spans="1:10" ht="36">
      <c r="A808" s="81" t="s">
        <v>178</v>
      </c>
      <c r="B808" s="255" t="s">
        <v>377</v>
      </c>
      <c r="C808" s="256" t="s">
        <v>360</v>
      </c>
      <c r="D808" s="96">
        <v>25.4</v>
      </c>
      <c r="E808" s="85"/>
      <c r="F808" s="98"/>
      <c r="G808" s="99">
        <f t="shared" si="119"/>
        <v>0</v>
      </c>
    </row>
    <row r="809" spans="1:10" ht="24">
      <c r="A809" s="81" t="s">
        <v>361</v>
      </c>
      <c r="B809" s="255" t="s">
        <v>369</v>
      </c>
      <c r="C809" s="256" t="s">
        <v>360</v>
      </c>
      <c r="D809" s="96">
        <v>433.4</v>
      </c>
      <c r="E809" s="85"/>
      <c r="F809" s="98"/>
      <c r="G809" s="99">
        <f t="shared" si="119"/>
        <v>0</v>
      </c>
      <c r="I809" s="22">
        <f>25.8*8*2</f>
        <v>412.8</v>
      </c>
      <c r="J809" s="22">
        <f>I809*105%</f>
        <v>433.44000000000005</v>
      </c>
    </row>
    <row r="810" spans="1:10" ht="24">
      <c r="A810" s="81" t="s">
        <v>362</v>
      </c>
      <c r="B810" s="255" t="s">
        <v>368</v>
      </c>
      <c r="C810" s="271" t="s">
        <v>153</v>
      </c>
      <c r="D810" s="96">
        <v>341.6</v>
      </c>
      <c r="E810" s="85"/>
      <c r="F810" s="98"/>
      <c r="G810" s="99">
        <f t="shared" ref="G810" si="120">(D810*E810)+(D810*F810)</f>
        <v>0</v>
      </c>
      <c r="I810" s="22">
        <f>25.8*6.62*2</f>
        <v>341.59200000000004</v>
      </c>
    </row>
    <row r="811" spans="1:10" ht="36">
      <c r="A811" s="81" t="s">
        <v>364</v>
      </c>
      <c r="B811" s="255" t="s">
        <v>363</v>
      </c>
      <c r="C811" s="271" t="s">
        <v>153</v>
      </c>
      <c r="D811" s="96">
        <f>D810</f>
        <v>341.6</v>
      </c>
      <c r="E811" s="85"/>
      <c r="F811" s="98"/>
      <c r="G811" s="99">
        <f t="shared" ref="G811" si="121">(D811*E811)+(D811*F811)</f>
        <v>0</v>
      </c>
    </row>
    <row r="812" spans="1:10" ht="24">
      <c r="A812" s="81" t="s">
        <v>365</v>
      </c>
      <c r="B812" s="255" t="s">
        <v>366</v>
      </c>
      <c r="C812" s="271" t="s">
        <v>153</v>
      </c>
      <c r="D812" s="96">
        <f>D810</f>
        <v>341.6</v>
      </c>
      <c r="E812" s="85"/>
      <c r="F812" s="98"/>
      <c r="G812" s="99">
        <f t="shared" ref="G812" si="122">(D812*E812)+(D812*F812)</f>
        <v>0</v>
      </c>
    </row>
    <row r="813" spans="1:10" ht="24">
      <c r="A813" s="81" t="s">
        <v>367</v>
      </c>
      <c r="B813" s="255" t="s">
        <v>370</v>
      </c>
      <c r="C813" s="271" t="s">
        <v>371</v>
      </c>
      <c r="D813" s="96">
        <v>26</v>
      </c>
      <c r="E813" s="85"/>
      <c r="F813" s="98"/>
      <c r="G813" s="99">
        <f t="shared" ref="G813" si="123">(D813*E813)+(D813*F813)</f>
        <v>0</v>
      </c>
    </row>
    <row r="814" spans="1:10" ht="24">
      <c r="A814" s="81" t="s">
        <v>194</v>
      </c>
      <c r="B814" s="255" t="s">
        <v>372</v>
      </c>
      <c r="C814" s="271" t="s">
        <v>371</v>
      </c>
      <c r="D814" s="96">
        <v>27</v>
      </c>
      <c r="E814" s="85"/>
      <c r="F814" s="98"/>
      <c r="G814" s="99">
        <f t="shared" ref="G814" si="124">(D814*E814)+(D814*F814)</f>
        <v>0</v>
      </c>
      <c r="I814" s="22">
        <f>6.7*4</f>
        <v>26.8</v>
      </c>
    </row>
    <row r="815" spans="1:10" ht="24">
      <c r="A815" s="81" t="s">
        <v>195</v>
      </c>
      <c r="B815" s="255" t="s">
        <v>373</v>
      </c>
      <c r="C815" s="271" t="s">
        <v>371</v>
      </c>
      <c r="D815" s="96">
        <v>51.7</v>
      </c>
      <c r="E815" s="85"/>
      <c r="F815" s="98"/>
      <c r="G815" s="99">
        <f t="shared" ref="G815" si="125">(D815*E815)+(D815*F815)</f>
        <v>0</v>
      </c>
    </row>
    <row r="816" spans="1:10">
      <c r="A816" s="81"/>
      <c r="B816" s="255"/>
      <c r="C816" s="271"/>
      <c r="D816" s="96"/>
      <c r="E816" s="85"/>
      <c r="F816" s="98"/>
      <c r="G816" s="99"/>
    </row>
    <row r="817" spans="1:7" ht="12.75" thickBot="1">
      <c r="A817" s="81"/>
      <c r="B817" s="255"/>
      <c r="C817" s="271"/>
      <c r="D817" s="96"/>
      <c r="E817" s="85"/>
      <c r="F817" s="98"/>
      <c r="G817" s="99"/>
    </row>
    <row r="818" spans="1:7">
      <c r="A818" s="388"/>
      <c r="B818" s="68" t="s">
        <v>209</v>
      </c>
      <c r="C818" s="69"/>
      <c r="D818" s="70"/>
      <c r="E818" s="71"/>
      <c r="F818" s="352"/>
      <c r="G818" s="73"/>
    </row>
    <row r="819" spans="1:7" ht="12.75" thickBot="1">
      <c r="A819" s="389"/>
      <c r="B819" s="75" t="s">
        <v>125</v>
      </c>
      <c r="C819" s="76"/>
      <c r="D819" s="77"/>
      <c r="E819" s="78"/>
      <c r="F819" s="356"/>
      <c r="G819" s="80">
        <f>SUM(G794:G818)</f>
        <v>0</v>
      </c>
    </row>
    <row r="820" spans="1:7">
      <c r="A820" s="199"/>
      <c r="B820" s="108"/>
      <c r="C820" s="95"/>
      <c r="D820" s="96"/>
      <c r="E820" s="85"/>
      <c r="F820" s="98"/>
      <c r="G820" s="99"/>
    </row>
    <row r="821" spans="1:7">
      <c r="A821" s="81"/>
      <c r="B821" s="82" t="s">
        <v>126</v>
      </c>
      <c r="C821" s="95"/>
      <c r="D821" s="96"/>
      <c r="E821" s="85"/>
      <c r="F821" s="98"/>
      <c r="G821" s="99"/>
    </row>
    <row r="822" spans="1:7">
      <c r="A822" s="81"/>
      <c r="B822" s="88" t="s">
        <v>132</v>
      </c>
      <c r="C822" s="95"/>
      <c r="D822" s="96"/>
      <c r="E822" s="85"/>
      <c r="F822" s="98"/>
      <c r="G822" s="99"/>
    </row>
    <row r="823" spans="1:7">
      <c r="A823" s="199" t="s">
        <v>127</v>
      </c>
      <c r="B823" s="126" t="s">
        <v>41</v>
      </c>
      <c r="C823" s="95"/>
      <c r="D823" s="96"/>
      <c r="E823" s="85"/>
      <c r="F823" s="98"/>
      <c r="G823" s="99"/>
    </row>
    <row r="824" spans="1:7" ht="36" customHeight="1">
      <c r="A824" s="81"/>
      <c r="B824" s="102" t="s">
        <v>172</v>
      </c>
      <c r="C824" s="200"/>
      <c r="D824" s="200"/>
      <c r="E824" s="200"/>
      <c r="F824" s="200"/>
      <c r="G824" s="201"/>
    </row>
    <row r="825" spans="1:7" ht="51" customHeight="1">
      <c r="A825" s="129"/>
      <c r="B825" s="102" t="s">
        <v>171</v>
      </c>
      <c r="C825" s="200"/>
      <c r="D825" s="200"/>
      <c r="E825" s="200"/>
      <c r="F825" s="200"/>
      <c r="G825" s="201"/>
    </row>
    <row r="826" spans="1:7" ht="28.5" customHeight="1">
      <c r="A826" s="81"/>
      <c r="B826" s="102" t="s">
        <v>276</v>
      </c>
      <c r="C826" s="200"/>
      <c r="D826" s="200"/>
      <c r="E826" s="200"/>
      <c r="F826" s="200"/>
      <c r="G826" s="201"/>
    </row>
    <row r="827" spans="1:7" ht="36.75" customHeight="1">
      <c r="A827" s="81"/>
      <c r="B827" s="102" t="s">
        <v>170</v>
      </c>
      <c r="C827" s="200"/>
      <c r="D827" s="200"/>
      <c r="E827" s="200"/>
      <c r="F827" s="200"/>
      <c r="G827" s="201"/>
    </row>
    <row r="828" spans="1:7" ht="29.25" customHeight="1">
      <c r="A828" s="81"/>
      <c r="B828" s="102" t="s">
        <v>277</v>
      </c>
      <c r="C828" s="200"/>
      <c r="D828" s="200"/>
      <c r="E828" s="200"/>
      <c r="F828" s="200"/>
      <c r="G828" s="201"/>
    </row>
    <row r="829" spans="1:7">
      <c r="A829" s="280" t="s">
        <v>161</v>
      </c>
      <c r="B829" s="281" t="s">
        <v>67</v>
      </c>
      <c r="C829" s="282"/>
      <c r="D829" s="283"/>
      <c r="E829" s="267"/>
      <c r="F829" s="180"/>
      <c r="G829" s="181">
        <f>D829*E829</f>
        <v>0</v>
      </c>
    </row>
    <row r="830" spans="1:7">
      <c r="A830" s="284" t="s">
        <v>177</v>
      </c>
      <c r="B830" s="285" t="s">
        <v>134</v>
      </c>
      <c r="C830" s="231"/>
      <c r="D830" s="286"/>
      <c r="E830" s="218"/>
      <c r="F830" s="232"/>
      <c r="G830" s="287"/>
    </row>
    <row r="831" spans="1:7">
      <c r="A831" s="288" t="s">
        <v>199</v>
      </c>
      <c r="B831" s="196" t="s">
        <v>222</v>
      </c>
      <c r="C831" s="109" t="s">
        <v>15</v>
      </c>
      <c r="D831" s="197">
        <v>1</v>
      </c>
      <c r="E831" s="85"/>
      <c r="F831" s="98"/>
      <c r="G831" s="99">
        <f>(D831*E831)+(D831*F831)</f>
        <v>0</v>
      </c>
    </row>
    <row r="832" spans="1:7" ht="27" customHeight="1">
      <c r="A832" s="288" t="s">
        <v>200</v>
      </c>
      <c r="B832" s="196" t="s">
        <v>223</v>
      </c>
      <c r="C832" s="109" t="s">
        <v>15</v>
      </c>
      <c r="D832" s="197">
        <v>1</v>
      </c>
      <c r="E832" s="85"/>
      <c r="F832" s="98"/>
      <c r="G832" s="99">
        <f>(D832*E832)+(D832*F832)</f>
        <v>0</v>
      </c>
    </row>
    <row r="833" spans="1:7" ht="36">
      <c r="A833" s="288" t="s">
        <v>202</v>
      </c>
      <c r="B833" s="196" t="s">
        <v>262</v>
      </c>
      <c r="C833" s="109" t="s">
        <v>114</v>
      </c>
      <c r="D833" s="197">
        <v>1</v>
      </c>
      <c r="E833" s="85"/>
      <c r="F833" s="98"/>
      <c r="G833" s="99">
        <f>(D833*E833)+(D833*F833)</f>
        <v>0</v>
      </c>
    </row>
    <row r="834" spans="1:7">
      <c r="A834" s="284" t="s">
        <v>178</v>
      </c>
      <c r="B834" s="289" t="s">
        <v>135</v>
      </c>
      <c r="C834" s="231"/>
      <c r="D834" s="286"/>
      <c r="E834" s="218"/>
      <c r="F834" s="219"/>
      <c r="G834" s="220">
        <f>D834*E834</f>
        <v>0</v>
      </c>
    </row>
    <row r="835" spans="1:7">
      <c r="A835" s="288"/>
      <c r="B835" s="196" t="s">
        <v>136</v>
      </c>
      <c r="C835" s="109" t="s">
        <v>114</v>
      </c>
      <c r="D835" s="197">
        <v>3</v>
      </c>
      <c r="E835" s="85"/>
      <c r="F835" s="98"/>
      <c r="G835" s="99">
        <f>(D835*E835)+(D835*F835)</f>
        <v>0</v>
      </c>
    </row>
    <row r="836" spans="1:7">
      <c r="A836" s="288"/>
      <c r="B836" s="196" t="s">
        <v>224</v>
      </c>
      <c r="C836" s="109" t="s">
        <v>114</v>
      </c>
      <c r="D836" s="197">
        <v>1</v>
      </c>
      <c r="E836" s="85"/>
      <c r="F836" s="98"/>
      <c r="G836" s="99">
        <f t="shared" ref="G836:G844" si="126">(D836*E836)+(D836*F836)</f>
        <v>0</v>
      </c>
    </row>
    <row r="837" spans="1:7">
      <c r="A837" s="288"/>
      <c r="B837" s="196" t="s">
        <v>137</v>
      </c>
      <c r="C837" s="109" t="s">
        <v>114</v>
      </c>
      <c r="D837" s="197">
        <f>D836</f>
        <v>1</v>
      </c>
      <c r="E837" s="85"/>
      <c r="F837" s="98"/>
      <c r="G837" s="99">
        <f t="shared" si="126"/>
        <v>0</v>
      </c>
    </row>
    <row r="838" spans="1:7">
      <c r="A838" s="288"/>
      <c r="B838" s="196" t="s">
        <v>138</v>
      </c>
      <c r="C838" s="109" t="s">
        <v>114</v>
      </c>
      <c r="D838" s="197">
        <f>D835</f>
        <v>3</v>
      </c>
      <c r="E838" s="85"/>
      <c r="F838" s="98"/>
      <c r="G838" s="99">
        <f t="shared" si="126"/>
        <v>0</v>
      </c>
    </row>
    <row r="839" spans="1:7">
      <c r="A839" s="288"/>
      <c r="B839" s="196" t="s">
        <v>139</v>
      </c>
      <c r="C839" s="109" t="s">
        <v>114</v>
      </c>
      <c r="D839" s="197">
        <f>D835</f>
        <v>3</v>
      </c>
      <c r="E839" s="85"/>
      <c r="F839" s="98"/>
      <c r="G839" s="99">
        <f t="shared" si="126"/>
        <v>0</v>
      </c>
    </row>
    <row r="840" spans="1:7">
      <c r="A840" s="288"/>
      <c r="B840" s="196" t="s">
        <v>140</v>
      </c>
      <c r="C840" s="109" t="s">
        <v>114</v>
      </c>
      <c r="D840" s="197">
        <f>D835</f>
        <v>3</v>
      </c>
      <c r="E840" s="85"/>
      <c r="F840" s="98"/>
      <c r="G840" s="99">
        <f t="shared" si="126"/>
        <v>0</v>
      </c>
    </row>
    <row r="841" spans="1:7">
      <c r="A841" s="288"/>
      <c r="B841" s="196" t="s">
        <v>198</v>
      </c>
      <c r="C841" s="109" t="s">
        <v>114</v>
      </c>
      <c r="D841" s="197">
        <v>5</v>
      </c>
      <c r="E841" s="85"/>
      <c r="F841" s="98"/>
      <c r="G841" s="99">
        <f t="shared" si="126"/>
        <v>0</v>
      </c>
    </row>
    <row r="842" spans="1:7">
      <c r="A842" s="288"/>
      <c r="B842" s="196" t="s">
        <v>225</v>
      </c>
      <c r="C842" s="109" t="s">
        <v>114</v>
      </c>
      <c r="D842" s="197">
        <f>D835</f>
        <v>3</v>
      </c>
      <c r="E842" s="85"/>
      <c r="F842" s="98"/>
      <c r="G842" s="99">
        <f t="shared" si="126"/>
        <v>0</v>
      </c>
    </row>
    <row r="843" spans="1:7">
      <c r="A843" s="288"/>
      <c r="B843" s="196" t="s">
        <v>485</v>
      </c>
      <c r="C843" s="109" t="s">
        <v>114</v>
      </c>
      <c r="D843" s="197">
        <v>1</v>
      </c>
      <c r="E843" s="85"/>
      <c r="F843" s="98"/>
      <c r="G843" s="99">
        <f t="shared" ref="G843" si="127">(D843*E843)+(D843*F843)</f>
        <v>0</v>
      </c>
    </row>
    <row r="844" spans="1:7">
      <c r="A844" s="288"/>
      <c r="B844" s="196" t="s">
        <v>273</v>
      </c>
      <c r="C844" s="109" t="s">
        <v>114</v>
      </c>
      <c r="D844" s="197">
        <v>4</v>
      </c>
      <c r="E844" s="85"/>
      <c r="F844" s="98"/>
      <c r="G844" s="99">
        <f t="shared" si="126"/>
        <v>0</v>
      </c>
    </row>
    <row r="845" spans="1:7">
      <c r="A845" s="288"/>
      <c r="B845" s="196" t="s">
        <v>484</v>
      </c>
      <c r="C845" s="109" t="s">
        <v>114</v>
      </c>
      <c r="D845" s="197">
        <v>3</v>
      </c>
      <c r="E845" s="85"/>
      <c r="F845" s="98"/>
      <c r="G845" s="99">
        <f t="shared" ref="G845" si="128">(D845*E845)+(D845*F845)</f>
        <v>0</v>
      </c>
    </row>
    <row r="846" spans="1:7" ht="12.75" customHeight="1">
      <c r="A846" s="284" t="s">
        <v>178</v>
      </c>
      <c r="B846" s="290" t="s">
        <v>226</v>
      </c>
      <c r="C846" s="291"/>
      <c r="D846" s="286"/>
      <c r="E846" s="218"/>
      <c r="F846" s="219"/>
      <c r="G846" s="220">
        <f t="shared" ref="G846:G849" si="129">(D846*E846)+(D846*F846)</f>
        <v>0</v>
      </c>
    </row>
    <row r="847" spans="1:7" ht="47.25" customHeight="1">
      <c r="A847" s="288" t="s">
        <v>177</v>
      </c>
      <c r="B847" s="196" t="s">
        <v>227</v>
      </c>
      <c r="C847" s="109" t="s">
        <v>15</v>
      </c>
      <c r="D847" s="197">
        <v>1</v>
      </c>
      <c r="E847" s="85"/>
      <c r="F847" s="98"/>
      <c r="G847" s="99">
        <f t="shared" si="129"/>
        <v>0</v>
      </c>
    </row>
    <row r="848" spans="1:7" ht="36.75" customHeight="1">
      <c r="A848" s="288" t="s">
        <v>178</v>
      </c>
      <c r="B848" s="196" t="s">
        <v>228</v>
      </c>
      <c r="C848" s="109" t="s">
        <v>15</v>
      </c>
      <c r="D848" s="197">
        <v>1</v>
      </c>
      <c r="E848" s="85"/>
      <c r="F848" s="98"/>
      <c r="G848" s="99">
        <f t="shared" si="129"/>
        <v>0</v>
      </c>
    </row>
    <row r="849" spans="1:10" ht="63.75" customHeight="1">
      <c r="A849" s="288" t="s">
        <v>189</v>
      </c>
      <c r="B849" s="196" t="s">
        <v>423</v>
      </c>
      <c r="C849" s="164" t="s">
        <v>151</v>
      </c>
      <c r="D849" s="197">
        <v>1.8</v>
      </c>
      <c r="E849" s="85"/>
      <c r="F849" s="98"/>
      <c r="G849" s="99">
        <f t="shared" si="129"/>
        <v>0</v>
      </c>
      <c r="I849" s="33"/>
      <c r="J849" s="33"/>
    </row>
    <row r="850" spans="1:10" ht="12" customHeight="1">
      <c r="A850" s="288"/>
      <c r="B850" s="196"/>
      <c r="C850" s="109"/>
      <c r="D850" s="197"/>
      <c r="E850" s="85"/>
      <c r="F850" s="98"/>
      <c r="G850" s="99"/>
      <c r="I850" s="33"/>
      <c r="J850" s="33"/>
    </row>
    <row r="851" spans="1:10" ht="12" customHeight="1">
      <c r="A851" s="288"/>
      <c r="B851" s="196"/>
      <c r="C851" s="109"/>
      <c r="D851" s="197"/>
      <c r="E851" s="85"/>
      <c r="F851" s="98"/>
      <c r="G851" s="99"/>
      <c r="I851" s="33"/>
      <c r="J851" s="33"/>
    </row>
    <row r="852" spans="1:10" ht="12" customHeight="1">
      <c r="A852" s="288"/>
      <c r="B852" s="196"/>
      <c r="C852" s="109"/>
      <c r="D852" s="197"/>
      <c r="E852" s="85"/>
      <c r="F852" s="98"/>
      <c r="G852" s="99"/>
      <c r="I852" s="33"/>
      <c r="J852" s="33"/>
    </row>
    <row r="853" spans="1:10" ht="12" customHeight="1">
      <c r="A853" s="288"/>
      <c r="B853" s="196"/>
      <c r="C853" s="109"/>
      <c r="D853" s="197"/>
      <c r="E853" s="85"/>
      <c r="F853" s="98"/>
      <c r="G853" s="99"/>
      <c r="I853" s="33"/>
      <c r="J853" s="33"/>
    </row>
    <row r="854" spans="1:10" ht="12" customHeight="1">
      <c r="A854" s="288"/>
      <c r="B854" s="196"/>
      <c r="C854" s="109"/>
      <c r="D854" s="197"/>
      <c r="E854" s="85"/>
      <c r="F854" s="98"/>
      <c r="G854" s="99"/>
      <c r="I854" s="33"/>
      <c r="J854" s="33"/>
    </row>
    <row r="855" spans="1:10" ht="12" customHeight="1" thickBot="1">
      <c r="A855" s="390"/>
      <c r="B855" s="391"/>
      <c r="C855" s="392"/>
      <c r="D855" s="393"/>
      <c r="E855" s="368"/>
      <c r="F855" s="343"/>
      <c r="G855" s="364"/>
      <c r="I855" s="33"/>
      <c r="J855" s="33"/>
    </row>
    <row r="856" spans="1:10" ht="12" customHeight="1">
      <c r="A856" s="288"/>
      <c r="B856" s="196"/>
      <c r="C856" s="109"/>
      <c r="D856" s="197"/>
      <c r="E856" s="85"/>
      <c r="F856" s="98"/>
      <c r="G856" s="99"/>
      <c r="I856" s="33"/>
      <c r="J856" s="33"/>
    </row>
    <row r="857" spans="1:10" ht="12" customHeight="1">
      <c r="A857" s="280" t="s">
        <v>162</v>
      </c>
      <c r="B857" s="281" t="s">
        <v>69</v>
      </c>
      <c r="C857" s="282"/>
      <c r="D857" s="283"/>
      <c r="E857" s="267"/>
      <c r="F857" s="180"/>
      <c r="G857" s="181"/>
    </row>
    <row r="858" spans="1:10">
      <c r="A858" s="284" t="s">
        <v>177</v>
      </c>
      <c r="B858" s="285" t="s">
        <v>134</v>
      </c>
      <c r="C858" s="231"/>
      <c r="D858" s="286"/>
      <c r="E858" s="218"/>
      <c r="F858" s="232"/>
      <c r="G858" s="287"/>
      <c r="I858" s="33"/>
      <c r="J858" s="33"/>
    </row>
    <row r="859" spans="1:10">
      <c r="A859" s="288" t="s">
        <v>199</v>
      </c>
      <c r="B859" s="196" t="s">
        <v>222</v>
      </c>
      <c r="C859" s="109" t="s">
        <v>15</v>
      </c>
      <c r="D859" s="197">
        <v>1</v>
      </c>
      <c r="E859" s="85"/>
      <c r="F859" s="98"/>
      <c r="G859" s="99">
        <f>(D859*E859)+(D859*F859)</f>
        <v>0</v>
      </c>
    </row>
    <row r="860" spans="1:10" ht="24">
      <c r="A860" s="288" t="s">
        <v>200</v>
      </c>
      <c r="B860" s="196" t="s">
        <v>223</v>
      </c>
      <c r="C860" s="109" t="s">
        <v>15</v>
      </c>
      <c r="D860" s="197">
        <v>1</v>
      </c>
      <c r="E860" s="85"/>
      <c r="F860" s="98"/>
      <c r="G860" s="99">
        <f>(D860*E860)+(D860*F860)</f>
        <v>0</v>
      </c>
    </row>
    <row r="861" spans="1:10" ht="12.75" customHeight="1">
      <c r="A861" s="284" t="s">
        <v>178</v>
      </c>
      <c r="B861" s="289" t="s">
        <v>135</v>
      </c>
      <c r="C861" s="231"/>
      <c r="D861" s="286"/>
      <c r="E861" s="218"/>
      <c r="F861" s="219"/>
      <c r="G861" s="220">
        <f>D861*E861</f>
        <v>0</v>
      </c>
    </row>
    <row r="862" spans="1:10">
      <c r="A862" s="288"/>
      <c r="B862" s="196" t="s">
        <v>136</v>
      </c>
      <c r="C862" s="109" t="s">
        <v>114</v>
      </c>
      <c r="D862" s="197">
        <v>3</v>
      </c>
      <c r="E862" s="85"/>
      <c r="F862" s="98"/>
      <c r="G862" s="99">
        <f>(D862*E862)+(D862*F862)</f>
        <v>0</v>
      </c>
    </row>
    <row r="863" spans="1:10">
      <c r="A863" s="288"/>
      <c r="B863" s="196" t="s">
        <v>224</v>
      </c>
      <c r="C863" s="109" t="s">
        <v>114</v>
      </c>
      <c r="D863" s="197">
        <v>1</v>
      </c>
      <c r="E863" s="85"/>
      <c r="F863" s="98"/>
      <c r="G863" s="99">
        <f t="shared" ref="G863:G874" si="130">(D863*E863)+(D863*F863)</f>
        <v>0</v>
      </c>
    </row>
    <row r="864" spans="1:10">
      <c r="A864" s="288"/>
      <c r="B864" s="196" t="s">
        <v>137</v>
      </c>
      <c r="C864" s="109" t="s">
        <v>114</v>
      </c>
      <c r="D864" s="197">
        <f>D863</f>
        <v>1</v>
      </c>
      <c r="E864" s="85"/>
      <c r="F864" s="98"/>
      <c r="G864" s="99">
        <f t="shared" si="130"/>
        <v>0</v>
      </c>
    </row>
    <row r="865" spans="1:7" ht="14.25" customHeight="1">
      <c r="A865" s="288"/>
      <c r="B865" s="196" t="s">
        <v>138</v>
      </c>
      <c r="C865" s="109" t="s">
        <v>114</v>
      </c>
      <c r="D865" s="197">
        <f>D862</f>
        <v>3</v>
      </c>
      <c r="E865" s="85"/>
      <c r="F865" s="98"/>
      <c r="G865" s="99">
        <f t="shared" si="130"/>
        <v>0</v>
      </c>
    </row>
    <row r="866" spans="1:7" ht="14.25" customHeight="1">
      <c r="A866" s="288"/>
      <c r="B866" s="196" t="s">
        <v>139</v>
      </c>
      <c r="C866" s="109" t="s">
        <v>114</v>
      </c>
      <c r="D866" s="197">
        <f>D862</f>
        <v>3</v>
      </c>
      <c r="E866" s="85"/>
      <c r="F866" s="98"/>
      <c r="G866" s="99">
        <f t="shared" si="130"/>
        <v>0</v>
      </c>
    </row>
    <row r="867" spans="1:7">
      <c r="A867" s="288"/>
      <c r="B867" s="196" t="s">
        <v>140</v>
      </c>
      <c r="C867" s="109" t="s">
        <v>114</v>
      </c>
      <c r="D867" s="197">
        <f>D862</f>
        <v>3</v>
      </c>
      <c r="E867" s="85"/>
      <c r="F867" s="98"/>
      <c r="G867" s="99">
        <f t="shared" si="130"/>
        <v>0</v>
      </c>
    </row>
    <row r="868" spans="1:7">
      <c r="A868" s="288"/>
      <c r="B868" s="196" t="s">
        <v>198</v>
      </c>
      <c r="C868" s="109" t="s">
        <v>114</v>
      </c>
      <c r="D868" s="197">
        <v>5</v>
      </c>
      <c r="E868" s="85"/>
      <c r="F868" s="98"/>
      <c r="G868" s="99">
        <f t="shared" si="130"/>
        <v>0</v>
      </c>
    </row>
    <row r="869" spans="1:7">
      <c r="A869" s="288"/>
      <c r="B869" s="196" t="s">
        <v>225</v>
      </c>
      <c r="C869" s="109" t="s">
        <v>114</v>
      </c>
      <c r="D869" s="197">
        <f>D862</f>
        <v>3</v>
      </c>
      <c r="E869" s="85"/>
      <c r="F869" s="98"/>
      <c r="G869" s="99">
        <f t="shared" si="130"/>
        <v>0</v>
      </c>
    </row>
    <row r="870" spans="1:7">
      <c r="A870" s="288"/>
      <c r="B870" s="196" t="s">
        <v>485</v>
      </c>
      <c r="C870" s="109" t="s">
        <v>114</v>
      </c>
      <c r="D870" s="197">
        <v>1</v>
      </c>
      <c r="E870" s="85"/>
      <c r="F870" s="98"/>
      <c r="G870" s="99">
        <f t="shared" si="130"/>
        <v>0</v>
      </c>
    </row>
    <row r="871" spans="1:7">
      <c r="A871" s="288"/>
      <c r="B871" s="196" t="s">
        <v>273</v>
      </c>
      <c r="C871" s="109" t="s">
        <v>114</v>
      </c>
      <c r="D871" s="197">
        <v>4</v>
      </c>
      <c r="E871" s="85"/>
      <c r="F871" s="98"/>
      <c r="G871" s="99">
        <f t="shared" si="130"/>
        <v>0</v>
      </c>
    </row>
    <row r="872" spans="1:7">
      <c r="A872" s="288"/>
      <c r="B872" s="196" t="s">
        <v>484</v>
      </c>
      <c r="C872" s="109" t="s">
        <v>114</v>
      </c>
      <c r="D872" s="197">
        <v>3</v>
      </c>
      <c r="E872" s="85"/>
      <c r="F872" s="98"/>
      <c r="G872" s="99">
        <f t="shared" si="130"/>
        <v>0</v>
      </c>
    </row>
    <row r="873" spans="1:7">
      <c r="A873" s="284" t="s">
        <v>178</v>
      </c>
      <c r="B873" s="290" t="s">
        <v>226</v>
      </c>
      <c r="C873" s="291"/>
      <c r="D873" s="286"/>
      <c r="E873" s="218"/>
      <c r="F873" s="219"/>
      <c r="G873" s="220">
        <f t="shared" si="130"/>
        <v>0</v>
      </c>
    </row>
    <row r="874" spans="1:7" ht="48">
      <c r="A874" s="288" t="s">
        <v>177</v>
      </c>
      <c r="B874" s="196" t="s">
        <v>227</v>
      </c>
      <c r="C874" s="109" t="s">
        <v>15</v>
      </c>
      <c r="D874" s="197">
        <v>1</v>
      </c>
      <c r="E874" s="85"/>
      <c r="F874" s="98"/>
      <c r="G874" s="99">
        <f t="shared" si="130"/>
        <v>0</v>
      </c>
    </row>
    <row r="875" spans="1:7">
      <c r="A875" s="280" t="s">
        <v>57</v>
      </c>
      <c r="B875" s="281" t="s">
        <v>71</v>
      </c>
      <c r="C875" s="282"/>
      <c r="D875" s="283"/>
      <c r="E875" s="267"/>
      <c r="F875" s="180"/>
      <c r="G875" s="181"/>
    </row>
    <row r="876" spans="1:7">
      <c r="A876" s="284" t="s">
        <v>177</v>
      </c>
      <c r="B876" s="285" t="s">
        <v>134</v>
      </c>
      <c r="C876" s="231"/>
      <c r="D876" s="286"/>
      <c r="E876" s="218"/>
      <c r="F876" s="232"/>
      <c r="G876" s="287"/>
    </row>
    <row r="877" spans="1:7">
      <c r="A877" s="288" t="s">
        <v>199</v>
      </c>
      <c r="B877" s="196" t="s">
        <v>222</v>
      </c>
      <c r="C877" s="109" t="s">
        <v>15</v>
      </c>
      <c r="D877" s="197">
        <v>1</v>
      </c>
      <c r="E877" s="85"/>
      <c r="F877" s="98"/>
      <c r="G877" s="99">
        <f>(D877*E877)+(D877*F877)</f>
        <v>0</v>
      </c>
    </row>
    <row r="878" spans="1:7" ht="24">
      <c r="A878" s="288" t="s">
        <v>200</v>
      </c>
      <c r="B878" s="196" t="s">
        <v>223</v>
      </c>
      <c r="C878" s="109" t="s">
        <v>15</v>
      </c>
      <c r="D878" s="197">
        <v>1</v>
      </c>
      <c r="E878" s="85"/>
      <c r="F878" s="98"/>
      <c r="G878" s="99">
        <f>(D878*E878)+(D878*F878)</f>
        <v>0</v>
      </c>
    </row>
    <row r="879" spans="1:7">
      <c r="A879" s="284" t="s">
        <v>178</v>
      </c>
      <c r="B879" s="289" t="s">
        <v>135</v>
      </c>
      <c r="C879" s="231"/>
      <c r="D879" s="286"/>
      <c r="E879" s="218"/>
      <c r="F879" s="219"/>
      <c r="G879" s="220">
        <f>D879*E879</f>
        <v>0</v>
      </c>
    </row>
    <row r="880" spans="1:7">
      <c r="A880" s="288"/>
      <c r="B880" s="196" t="s">
        <v>136</v>
      </c>
      <c r="C880" s="109" t="s">
        <v>114</v>
      </c>
      <c r="D880" s="197">
        <v>3</v>
      </c>
      <c r="E880" s="85"/>
      <c r="F880" s="98"/>
      <c r="G880" s="99">
        <f>(D880*E880)+(D880*F880)</f>
        <v>0</v>
      </c>
    </row>
    <row r="881" spans="1:7">
      <c r="A881" s="288"/>
      <c r="B881" s="196" t="s">
        <v>224</v>
      </c>
      <c r="C881" s="109" t="s">
        <v>114</v>
      </c>
      <c r="D881" s="197">
        <v>1</v>
      </c>
      <c r="E881" s="85"/>
      <c r="F881" s="98"/>
      <c r="G881" s="99">
        <f t="shared" ref="G881:G892" si="131">(D881*E881)+(D881*F881)</f>
        <v>0</v>
      </c>
    </row>
    <row r="882" spans="1:7">
      <c r="A882" s="288"/>
      <c r="B882" s="196" t="s">
        <v>137</v>
      </c>
      <c r="C882" s="109" t="s">
        <v>114</v>
      </c>
      <c r="D882" s="197">
        <f>D881</f>
        <v>1</v>
      </c>
      <c r="E882" s="85"/>
      <c r="F882" s="98"/>
      <c r="G882" s="99">
        <f t="shared" si="131"/>
        <v>0</v>
      </c>
    </row>
    <row r="883" spans="1:7">
      <c r="A883" s="288"/>
      <c r="B883" s="196" t="s">
        <v>138</v>
      </c>
      <c r="C883" s="109" t="s">
        <v>114</v>
      </c>
      <c r="D883" s="197">
        <f>D880</f>
        <v>3</v>
      </c>
      <c r="E883" s="85"/>
      <c r="F883" s="98"/>
      <c r="G883" s="99">
        <f t="shared" si="131"/>
        <v>0</v>
      </c>
    </row>
    <row r="884" spans="1:7">
      <c r="A884" s="288"/>
      <c r="B884" s="196" t="s">
        <v>139</v>
      </c>
      <c r="C884" s="109" t="s">
        <v>114</v>
      </c>
      <c r="D884" s="197">
        <f>D880</f>
        <v>3</v>
      </c>
      <c r="E884" s="85"/>
      <c r="F884" s="98"/>
      <c r="G884" s="99">
        <f t="shared" si="131"/>
        <v>0</v>
      </c>
    </row>
    <row r="885" spans="1:7">
      <c r="A885" s="288"/>
      <c r="B885" s="196" t="s">
        <v>140</v>
      </c>
      <c r="C885" s="109" t="s">
        <v>114</v>
      </c>
      <c r="D885" s="197">
        <f>D880</f>
        <v>3</v>
      </c>
      <c r="E885" s="85"/>
      <c r="F885" s="98"/>
      <c r="G885" s="99">
        <f t="shared" si="131"/>
        <v>0</v>
      </c>
    </row>
    <row r="886" spans="1:7">
      <c r="A886" s="288"/>
      <c r="B886" s="196" t="s">
        <v>198</v>
      </c>
      <c r="C886" s="109" t="s">
        <v>114</v>
      </c>
      <c r="D886" s="197">
        <v>5</v>
      </c>
      <c r="E886" s="85"/>
      <c r="F886" s="98"/>
      <c r="G886" s="99">
        <f t="shared" si="131"/>
        <v>0</v>
      </c>
    </row>
    <row r="887" spans="1:7">
      <c r="A887" s="288"/>
      <c r="B887" s="196" t="s">
        <v>225</v>
      </c>
      <c r="C887" s="109" t="s">
        <v>114</v>
      </c>
      <c r="D887" s="197">
        <f>D880</f>
        <v>3</v>
      </c>
      <c r="E887" s="85"/>
      <c r="F887" s="98"/>
      <c r="G887" s="99">
        <f t="shared" si="131"/>
        <v>0</v>
      </c>
    </row>
    <row r="888" spans="1:7">
      <c r="A888" s="288"/>
      <c r="B888" s="196" t="s">
        <v>485</v>
      </c>
      <c r="C888" s="109" t="s">
        <v>114</v>
      </c>
      <c r="D888" s="197">
        <v>1</v>
      </c>
      <c r="E888" s="85"/>
      <c r="F888" s="98"/>
      <c r="G888" s="99">
        <f t="shared" si="131"/>
        <v>0</v>
      </c>
    </row>
    <row r="889" spans="1:7">
      <c r="A889" s="288"/>
      <c r="B889" s="196" t="s">
        <v>273</v>
      </c>
      <c r="C889" s="109" t="s">
        <v>114</v>
      </c>
      <c r="D889" s="197">
        <v>4</v>
      </c>
      <c r="E889" s="85"/>
      <c r="F889" s="98"/>
      <c r="G889" s="99">
        <f t="shared" si="131"/>
        <v>0</v>
      </c>
    </row>
    <row r="890" spans="1:7">
      <c r="A890" s="288"/>
      <c r="B890" s="196" t="s">
        <v>484</v>
      </c>
      <c r="C890" s="109" t="s">
        <v>114</v>
      </c>
      <c r="D890" s="197">
        <v>3</v>
      </c>
      <c r="E890" s="85"/>
      <c r="F890" s="98"/>
      <c r="G890" s="99">
        <f t="shared" si="131"/>
        <v>0</v>
      </c>
    </row>
    <row r="891" spans="1:7">
      <c r="A891" s="284" t="s">
        <v>178</v>
      </c>
      <c r="B891" s="290" t="s">
        <v>226</v>
      </c>
      <c r="C891" s="291"/>
      <c r="D891" s="286"/>
      <c r="E891" s="218"/>
      <c r="F891" s="219"/>
      <c r="G891" s="220">
        <f t="shared" si="131"/>
        <v>0</v>
      </c>
    </row>
    <row r="892" spans="1:7" ht="48">
      <c r="A892" s="288" t="s">
        <v>177</v>
      </c>
      <c r="B892" s="196" t="s">
        <v>227</v>
      </c>
      <c r="C892" s="109" t="s">
        <v>15</v>
      </c>
      <c r="D892" s="197">
        <v>1</v>
      </c>
      <c r="E892" s="85"/>
      <c r="F892" s="98"/>
      <c r="G892" s="99">
        <f t="shared" si="131"/>
        <v>0</v>
      </c>
    </row>
    <row r="893" spans="1:7">
      <c r="A893" s="280" t="s">
        <v>163</v>
      </c>
      <c r="B893" s="281" t="s">
        <v>283</v>
      </c>
      <c r="C893" s="282"/>
      <c r="D893" s="283"/>
      <c r="E893" s="267"/>
      <c r="F893" s="180"/>
      <c r="G893" s="181"/>
    </row>
    <row r="894" spans="1:7">
      <c r="A894" s="284" t="s">
        <v>189</v>
      </c>
      <c r="B894" s="290" t="s">
        <v>226</v>
      </c>
      <c r="C894" s="291"/>
      <c r="D894" s="286"/>
      <c r="E894" s="218"/>
      <c r="F894" s="219"/>
      <c r="G894" s="220">
        <f t="shared" ref="G894:G895" si="132">(D894*E894)+(D894*F894)</f>
        <v>0</v>
      </c>
    </row>
    <row r="895" spans="1:7" ht="48">
      <c r="A895" s="288" t="s">
        <v>177</v>
      </c>
      <c r="B895" s="196" t="s">
        <v>379</v>
      </c>
      <c r="C895" s="109" t="s">
        <v>15</v>
      </c>
      <c r="D895" s="197">
        <v>1</v>
      </c>
      <c r="E895" s="85"/>
      <c r="F895" s="98"/>
      <c r="G895" s="99">
        <f t="shared" si="132"/>
        <v>0</v>
      </c>
    </row>
    <row r="896" spans="1:7">
      <c r="A896" s="81"/>
      <c r="B896" s="255"/>
      <c r="C896" s="271"/>
      <c r="D896" s="96"/>
      <c r="E896" s="85"/>
      <c r="F896" s="98"/>
      <c r="G896" s="99"/>
    </row>
    <row r="897" spans="1:7">
      <c r="A897" s="81"/>
      <c r="B897" s="255"/>
      <c r="C897" s="271"/>
      <c r="D897" s="96"/>
      <c r="E897" s="85"/>
      <c r="F897" s="98"/>
      <c r="G897" s="99"/>
    </row>
    <row r="898" spans="1:7">
      <c r="A898" s="81"/>
      <c r="B898" s="255"/>
      <c r="C898" s="271"/>
      <c r="D898" s="96"/>
      <c r="E898" s="85"/>
      <c r="F898" s="98"/>
      <c r="G898" s="99"/>
    </row>
    <row r="899" spans="1:7">
      <c r="A899" s="81"/>
      <c r="B899" s="255"/>
      <c r="C899" s="271"/>
      <c r="D899" s="96"/>
      <c r="E899" s="85"/>
      <c r="F899" s="98"/>
      <c r="G899" s="99"/>
    </row>
    <row r="900" spans="1:7" ht="12.75" thickBot="1">
      <c r="A900" s="81"/>
      <c r="B900" s="255"/>
      <c r="C900" s="271"/>
      <c r="D900" s="96"/>
      <c r="E900" s="85"/>
      <c r="F900" s="98"/>
      <c r="G900" s="99"/>
    </row>
    <row r="901" spans="1:7">
      <c r="A901" s="67"/>
      <c r="B901" s="68" t="s">
        <v>210</v>
      </c>
      <c r="C901" s="69"/>
      <c r="D901" s="70"/>
      <c r="E901" s="71"/>
      <c r="F901" s="352"/>
      <c r="G901" s="73"/>
    </row>
    <row r="902" spans="1:7" ht="12.75" thickBot="1">
      <c r="A902" s="74"/>
      <c r="B902" s="75" t="s">
        <v>130</v>
      </c>
      <c r="C902" s="76"/>
      <c r="D902" s="77"/>
      <c r="E902" s="78"/>
      <c r="F902" s="356"/>
      <c r="G902" s="80">
        <f>SUM(G831:G901)</f>
        <v>0</v>
      </c>
    </row>
    <row r="903" spans="1:7">
      <c r="A903" s="162"/>
      <c r="B903" s="205"/>
      <c r="C903" s="164"/>
      <c r="D903" s="119"/>
      <c r="E903" s="120"/>
      <c r="F903" s="98"/>
      <c r="G903" s="99"/>
    </row>
    <row r="904" spans="1:7">
      <c r="A904" s="81"/>
      <c r="B904" s="82" t="s">
        <v>131</v>
      </c>
      <c r="C904" s="95"/>
      <c r="D904" s="96"/>
      <c r="E904" s="85"/>
      <c r="F904" s="98"/>
      <c r="G904" s="99"/>
    </row>
    <row r="905" spans="1:7">
      <c r="A905" s="81"/>
      <c r="B905" s="88" t="s">
        <v>100</v>
      </c>
      <c r="C905" s="95"/>
      <c r="D905" s="96"/>
      <c r="E905" s="85"/>
      <c r="F905" s="98"/>
      <c r="G905" s="99"/>
    </row>
    <row r="906" spans="1:7">
      <c r="A906" s="292" t="s">
        <v>133</v>
      </c>
      <c r="B906" s="126" t="s">
        <v>41</v>
      </c>
      <c r="C906" s="95"/>
      <c r="D906" s="96"/>
      <c r="E906" s="293"/>
      <c r="F906" s="98"/>
      <c r="G906" s="99"/>
    </row>
    <row r="907" spans="1:7" ht="26.25" customHeight="1">
      <c r="A907" s="294"/>
      <c r="B907" s="449" t="s">
        <v>289</v>
      </c>
      <c r="C907" s="450"/>
      <c r="D907" s="450"/>
      <c r="E907" s="451"/>
      <c r="F907" s="200"/>
      <c r="G907" s="201"/>
    </row>
    <row r="908" spans="1:7" ht="39.75" customHeight="1">
      <c r="A908" s="294"/>
      <c r="B908" s="449" t="s">
        <v>290</v>
      </c>
      <c r="C908" s="450"/>
      <c r="D908" s="450"/>
      <c r="E908" s="451"/>
      <c r="F908" s="200"/>
      <c r="G908" s="201"/>
    </row>
    <row r="909" spans="1:7" ht="41.25" customHeight="1">
      <c r="A909" s="294"/>
      <c r="B909" s="449" t="s">
        <v>288</v>
      </c>
      <c r="C909" s="450"/>
      <c r="D909" s="450"/>
      <c r="E909" s="451"/>
      <c r="F909" s="200"/>
      <c r="G909" s="201"/>
    </row>
    <row r="910" spans="1:7" ht="38.25" customHeight="1">
      <c r="A910" s="295"/>
      <c r="B910" s="449" t="s">
        <v>196</v>
      </c>
      <c r="C910" s="450"/>
      <c r="D910" s="450"/>
      <c r="E910" s="451"/>
      <c r="F910" s="200"/>
      <c r="G910" s="201"/>
    </row>
    <row r="911" spans="1:7" ht="27" customHeight="1">
      <c r="A911" s="294"/>
      <c r="B911" s="452" t="s">
        <v>507</v>
      </c>
      <c r="C911" s="453"/>
      <c r="D911" s="453"/>
      <c r="E911" s="454"/>
      <c r="F911" s="200"/>
      <c r="G911" s="201"/>
    </row>
    <row r="912" spans="1:7">
      <c r="A912" s="296" t="s">
        <v>161</v>
      </c>
      <c r="B912" s="297" t="s">
        <v>67</v>
      </c>
      <c r="C912" s="298"/>
      <c r="D912" s="299"/>
      <c r="E912" s="300"/>
      <c r="F912" s="301"/>
      <c r="G912" s="302"/>
    </row>
    <row r="913" spans="1:7" ht="12.75">
      <c r="A913" s="303" t="s">
        <v>177</v>
      </c>
      <c r="B913" s="304" t="s">
        <v>235</v>
      </c>
      <c r="C913" s="223"/>
      <c r="D913" s="224"/>
      <c r="E913" s="212"/>
      <c r="F913" s="192"/>
      <c r="G913" s="225">
        <f>D913*E913</f>
        <v>0</v>
      </c>
    </row>
    <row r="914" spans="1:7" ht="25.5" customHeight="1">
      <c r="A914" s="305" t="s">
        <v>199</v>
      </c>
      <c r="B914" s="306" t="s">
        <v>494</v>
      </c>
      <c r="C914" s="307" t="s">
        <v>8</v>
      </c>
      <c r="D914" s="308">
        <v>1</v>
      </c>
      <c r="E914" s="309"/>
      <c r="F914" s="309"/>
      <c r="G914" s="310">
        <f>+D914*E914+D914*F914</f>
        <v>0</v>
      </c>
    </row>
    <row r="915" spans="1:7" ht="24.75" customHeight="1">
      <c r="A915" s="305" t="s">
        <v>200</v>
      </c>
      <c r="B915" s="311" t="s">
        <v>493</v>
      </c>
      <c r="C915" s="307"/>
      <c r="D915" s="308"/>
      <c r="E915" s="212"/>
      <c r="F915" s="309"/>
      <c r="G915" s="310"/>
    </row>
    <row r="916" spans="1:7" ht="12.75">
      <c r="A916" s="305" t="s">
        <v>486</v>
      </c>
      <c r="B916" s="312" t="s">
        <v>487</v>
      </c>
      <c r="C916" s="307" t="s">
        <v>8</v>
      </c>
      <c r="D916" s="308">
        <v>1</v>
      </c>
      <c r="E916" s="212"/>
      <c r="F916" s="309"/>
      <c r="G916" s="310">
        <f t="shared" ref="G916:G917" si="133">+D916*E916+D916*F916</f>
        <v>0</v>
      </c>
    </row>
    <row r="917" spans="1:7" ht="12.75">
      <c r="A917" s="305" t="s">
        <v>488</v>
      </c>
      <c r="B917" s="312" t="s">
        <v>489</v>
      </c>
      <c r="C917" s="307" t="s">
        <v>8</v>
      </c>
      <c r="D917" s="308">
        <v>1</v>
      </c>
      <c r="E917" s="212"/>
      <c r="F917" s="309"/>
      <c r="G917" s="310">
        <f t="shared" si="133"/>
        <v>0</v>
      </c>
    </row>
    <row r="918" spans="1:7" ht="12.75">
      <c r="A918" s="303" t="s">
        <v>178</v>
      </c>
      <c r="B918" s="304" t="s">
        <v>236</v>
      </c>
      <c r="C918" s="313"/>
      <c r="D918" s="314"/>
      <c r="E918" s="212"/>
      <c r="F918" s="309"/>
      <c r="G918" s="315">
        <f t="shared" ref="G918:G947" si="134">+D918*E918+D918*F918</f>
        <v>0</v>
      </c>
    </row>
    <row r="919" spans="1:7" ht="12.75">
      <c r="A919" s="305"/>
      <c r="B919" s="312" t="s">
        <v>380</v>
      </c>
      <c r="C919" s="223" t="s">
        <v>8</v>
      </c>
      <c r="D919" s="224">
        <v>24</v>
      </c>
      <c r="E919" s="212"/>
      <c r="F919" s="309"/>
      <c r="G919" s="315">
        <f t="shared" si="134"/>
        <v>0</v>
      </c>
    </row>
    <row r="920" spans="1:7" ht="12.75">
      <c r="A920" s="305"/>
      <c r="B920" s="312" t="s">
        <v>381</v>
      </c>
      <c r="C920" s="223" t="s">
        <v>8</v>
      </c>
      <c r="D920" s="224">
        <v>8</v>
      </c>
      <c r="E920" s="212"/>
      <c r="F920" s="309"/>
      <c r="G920" s="315">
        <f t="shared" ref="G920" si="135">+D920*E920+D920*F920</f>
        <v>0</v>
      </c>
    </row>
    <row r="921" spans="1:7" ht="12.75">
      <c r="A921" s="305"/>
      <c r="B921" s="312" t="s">
        <v>295</v>
      </c>
      <c r="C921" s="223" t="s">
        <v>8</v>
      </c>
      <c r="D921" s="224">
        <v>11</v>
      </c>
      <c r="E921" s="212"/>
      <c r="F921" s="309"/>
      <c r="G921" s="315">
        <f t="shared" ref="G921" si="136">+D921*E921+D921*F921</f>
        <v>0</v>
      </c>
    </row>
    <row r="922" spans="1:7" ht="12.75">
      <c r="A922" s="305"/>
      <c r="B922" s="312" t="s">
        <v>296</v>
      </c>
      <c r="C922" s="223" t="s">
        <v>8</v>
      </c>
      <c r="D922" s="224">
        <v>9</v>
      </c>
      <c r="E922" s="212"/>
      <c r="F922" s="309"/>
      <c r="G922" s="315">
        <f t="shared" si="134"/>
        <v>0</v>
      </c>
    </row>
    <row r="923" spans="1:7" ht="12.75">
      <c r="A923" s="305"/>
      <c r="B923" s="312" t="s">
        <v>279</v>
      </c>
      <c r="C923" s="223" t="s">
        <v>8</v>
      </c>
      <c r="D923" s="224">
        <v>12</v>
      </c>
      <c r="E923" s="212"/>
      <c r="F923" s="309"/>
      <c r="G923" s="315">
        <f t="shared" si="134"/>
        <v>0</v>
      </c>
    </row>
    <row r="924" spans="1:7" ht="12.75">
      <c r="A924" s="305"/>
      <c r="B924" s="312" t="s">
        <v>392</v>
      </c>
      <c r="C924" s="307" t="s">
        <v>8</v>
      </c>
      <c r="D924" s="308">
        <v>2</v>
      </c>
      <c r="E924" s="212"/>
      <c r="F924" s="309"/>
      <c r="G924" s="315">
        <f t="shared" ref="G924:G928" si="137">+D924*E924+D924*F924</f>
        <v>0</v>
      </c>
    </row>
    <row r="925" spans="1:7" ht="12.75">
      <c r="A925" s="305"/>
      <c r="B925" s="312" t="s">
        <v>495</v>
      </c>
      <c r="C925" s="307" t="s">
        <v>8</v>
      </c>
      <c r="D925" s="308">
        <v>17</v>
      </c>
      <c r="E925" s="212"/>
      <c r="F925" s="309"/>
      <c r="G925" s="315">
        <f t="shared" ref="G925" si="138">+D925*E925+D925*F925</f>
        <v>0</v>
      </c>
    </row>
    <row r="926" spans="1:7" ht="12.75">
      <c r="A926" s="305"/>
      <c r="B926" s="312" t="s">
        <v>382</v>
      </c>
      <c r="C926" s="307" t="s">
        <v>8</v>
      </c>
      <c r="D926" s="308">
        <v>12</v>
      </c>
      <c r="E926" s="212"/>
      <c r="F926" s="309"/>
      <c r="G926" s="315">
        <f t="shared" si="137"/>
        <v>0</v>
      </c>
    </row>
    <row r="927" spans="1:7" ht="12.75">
      <c r="A927" s="305"/>
      <c r="B927" s="312" t="s">
        <v>506</v>
      </c>
      <c r="C927" s="307" t="s">
        <v>8</v>
      </c>
      <c r="D927" s="308">
        <v>5</v>
      </c>
      <c r="E927" s="212"/>
      <c r="F927" s="309"/>
      <c r="G927" s="315">
        <f t="shared" ref="G927" si="139">+D927*E927+D927*F927</f>
        <v>0</v>
      </c>
    </row>
    <row r="928" spans="1:7" ht="12.75">
      <c r="A928" s="305"/>
      <c r="B928" s="312" t="s">
        <v>496</v>
      </c>
      <c r="C928" s="223" t="s">
        <v>8</v>
      </c>
      <c r="D928" s="224">
        <v>5</v>
      </c>
      <c r="E928" s="212"/>
      <c r="F928" s="309"/>
      <c r="G928" s="315">
        <f t="shared" si="137"/>
        <v>0</v>
      </c>
    </row>
    <row r="929" spans="1:7" ht="12.75">
      <c r="A929" s="305"/>
      <c r="B929" s="312" t="s">
        <v>383</v>
      </c>
      <c r="C929" s="223" t="s">
        <v>8</v>
      </c>
      <c r="D929" s="224">
        <v>1</v>
      </c>
      <c r="E929" s="212"/>
      <c r="F929" s="309"/>
      <c r="G929" s="315">
        <f t="shared" ref="G929:G931" si="140">+D929*E929+D929*F929</f>
        <v>0</v>
      </c>
    </row>
    <row r="930" spans="1:7" ht="12.75">
      <c r="A930" s="305"/>
      <c r="B930" s="312" t="s">
        <v>384</v>
      </c>
      <c r="C930" s="223" t="s">
        <v>8</v>
      </c>
      <c r="D930" s="224">
        <v>3</v>
      </c>
      <c r="E930" s="212"/>
      <c r="F930" s="309"/>
      <c r="G930" s="315">
        <f t="shared" si="140"/>
        <v>0</v>
      </c>
    </row>
    <row r="931" spans="1:7" ht="12.75">
      <c r="A931" s="305"/>
      <c r="B931" s="312" t="s">
        <v>385</v>
      </c>
      <c r="C931" s="223" t="s">
        <v>8</v>
      </c>
      <c r="D931" s="224">
        <v>9</v>
      </c>
      <c r="E931" s="212"/>
      <c r="F931" s="309"/>
      <c r="G931" s="315">
        <f t="shared" si="140"/>
        <v>0</v>
      </c>
    </row>
    <row r="932" spans="1:7" ht="12.75">
      <c r="A932" s="305"/>
      <c r="B932" s="312" t="s">
        <v>386</v>
      </c>
      <c r="C932" s="223" t="s">
        <v>8</v>
      </c>
      <c r="D932" s="224">
        <f>D923</f>
        <v>12</v>
      </c>
      <c r="E932" s="212"/>
      <c r="F932" s="309"/>
      <c r="G932" s="315">
        <f t="shared" si="134"/>
        <v>0</v>
      </c>
    </row>
    <row r="933" spans="1:7" ht="12.75">
      <c r="A933" s="305"/>
      <c r="B933" s="312" t="s">
        <v>387</v>
      </c>
      <c r="C933" s="223" t="s">
        <v>8</v>
      </c>
      <c r="D933" s="224">
        <v>3</v>
      </c>
      <c r="E933" s="212"/>
      <c r="F933" s="309"/>
      <c r="G933" s="315">
        <f t="shared" ref="G933" si="141">+D933*E933+D933*F933</f>
        <v>0</v>
      </c>
    </row>
    <row r="934" spans="1:7" ht="12.75">
      <c r="A934" s="305"/>
      <c r="B934" s="312" t="s">
        <v>388</v>
      </c>
      <c r="C934" s="223" t="s">
        <v>8</v>
      </c>
      <c r="D934" s="224">
        <v>3</v>
      </c>
      <c r="E934" s="212"/>
      <c r="F934" s="309"/>
      <c r="G934" s="315">
        <f t="shared" si="134"/>
        <v>0</v>
      </c>
    </row>
    <row r="935" spans="1:7" ht="12.75">
      <c r="A935" s="305"/>
      <c r="B935" s="312" t="s">
        <v>389</v>
      </c>
      <c r="C935" s="223" t="s">
        <v>8</v>
      </c>
      <c r="D935" s="224">
        <v>3</v>
      </c>
      <c r="E935" s="212"/>
      <c r="F935" s="309"/>
      <c r="G935" s="315">
        <f t="shared" ref="G935:G938" si="142">+D935*E935+D935*F935</f>
        <v>0</v>
      </c>
    </row>
    <row r="936" spans="1:7" ht="12.75">
      <c r="A936" s="305"/>
      <c r="B936" s="312" t="s">
        <v>416</v>
      </c>
      <c r="C936" s="223" t="s">
        <v>8</v>
      </c>
      <c r="D936" s="224">
        <v>7</v>
      </c>
      <c r="E936" s="212"/>
      <c r="F936" s="309"/>
      <c r="G936" s="315">
        <f t="shared" si="142"/>
        <v>0</v>
      </c>
    </row>
    <row r="937" spans="1:7" ht="12.75">
      <c r="A937" s="305"/>
      <c r="B937" s="312" t="s">
        <v>390</v>
      </c>
      <c r="C937" s="223" t="s">
        <v>8</v>
      </c>
      <c r="D937" s="224">
        <v>6</v>
      </c>
      <c r="E937" s="212"/>
      <c r="F937" s="309"/>
      <c r="G937" s="315">
        <f t="shared" si="142"/>
        <v>0</v>
      </c>
    </row>
    <row r="938" spans="1:7" ht="12.75">
      <c r="A938" s="305"/>
      <c r="B938" s="312" t="s">
        <v>417</v>
      </c>
      <c r="C938" s="223" t="s">
        <v>8</v>
      </c>
      <c r="D938" s="224">
        <v>3</v>
      </c>
      <c r="E938" s="212"/>
      <c r="F938" s="309"/>
      <c r="G938" s="315">
        <f t="shared" si="142"/>
        <v>0</v>
      </c>
    </row>
    <row r="939" spans="1:7" ht="12.75">
      <c r="A939" s="303" t="s">
        <v>189</v>
      </c>
      <c r="B939" s="304" t="s">
        <v>237</v>
      </c>
      <c r="C939" s="313"/>
      <c r="D939" s="314"/>
      <c r="E939" s="212"/>
      <c r="F939" s="309"/>
      <c r="G939" s="315">
        <f t="shared" si="134"/>
        <v>0</v>
      </c>
    </row>
    <row r="940" spans="1:7" ht="13.5">
      <c r="A940" s="81" t="s">
        <v>177</v>
      </c>
      <c r="B940" s="255" t="s">
        <v>260</v>
      </c>
      <c r="C940" s="271" t="s">
        <v>239</v>
      </c>
      <c r="D940" s="96">
        <f>D919+D922+D923+D921+D920</f>
        <v>64</v>
      </c>
      <c r="E940" s="85"/>
      <c r="F940" s="309"/>
      <c r="G940" s="315">
        <f t="shared" si="134"/>
        <v>0</v>
      </c>
    </row>
    <row r="941" spans="1:7" ht="13.5">
      <c r="A941" s="81" t="s">
        <v>178</v>
      </c>
      <c r="B941" s="255" t="s">
        <v>259</v>
      </c>
      <c r="C941" s="271" t="s">
        <v>239</v>
      </c>
      <c r="D941" s="96">
        <f>D924+D925+D926+D927</f>
        <v>36</v>
      </c>
      <c r="E941" s="85"/>
      <c r="F941" s="309"/>
      <c r="G941" s="315">
        <f t="shared" si="134"/>
        <v>0</v>
      </c>
    </row>
    <row r="942" spans="1:7" ht="13.5">
      <c r="A942" s="81" t="s">
        <v>189</v>
      </c>
      <c r="B942" s="255" t="s">
        <v>261</v>
      </c>
      <c r="C942" s="271" t="s">
        <v>114</v>
      </c>
      <c r="D942" s="96">
        <f>D916+D917</f>
        <v>2</v>
      </c>
      <c r="E942" s="85"/>
      <c r="F942" s="309"/>
      <c r="G942" s="315">
        <f t="shared" si="134"/>
        <v>0</v>
      </c>
    </row>
    <row r="943" spans="1:7">
      <c r="A943" s="81" t="s">
        <v>190</v>
      </c>
      <c r="B943" s="255" t="s">
        <v>238</v>
      </c>
      <c r="C943" s="271" t="s">
        <v>114</v>
      </c>
      <c r="D943" s="96">
        <f>D935</f>
        <v>3</v>
      </c>
      <c r="E943" s="85"/>
      <c r="F943" s="309"/>
      <c r="G943" s="315">
        <f t="shared" si="134"/>
        <v>0</v>
      </c>
    </row>
    <row r="944" spans="1:7">
      <c r="A944" s="81" t="s">
        <v>191</v>
      </c>
      <c r="B944" s="255" t="s">
        <v>497</v>
      </c>
      <c r="C944" s="271" t="s">
        <v>114</v>
      </c>
      <c r="D944" s="96">
        <f>D933</f>
        <v>3</v>
      </c>
      <c r="E944" s="85"/>
      <c r="F944" s="309"/>
      <c r="G944" s="315">
        <f t="shared" si="134"/>
        <v>0</v>
      </c>
    </row>
    <row r="945" spans="1:7">
      <c r="A945" s="81" t="s">
        <v>192</v>
      </c>
      <c r="B945" s="255" t="s">
        <v>498</v>
      </c>
      <c r="C945" s="271" t="s">
        <v>114</v>
      </c>
      <c r="D945" s="96">
        <f>D934</f>
        <v>3</v>
      </c>
      <c r="E945" s="85"/>
      <c r="F945" s="309"/>
      <c r="G945" s="315">
        <f t="shared" si="134"/>
        <v>0</v>
      </c>
    </row>
    <row r="946" spans="1:7">
      <c r="A946" s="81" t="s">
        <v>193</v>
      </c>
      <c r="B946" s="255" t="s">
        <v>499</v>
      </c>
      <c r="C946" s="271" t="s">
        <v>114</v>
      </c>
      <c r="D946" s="96">
        <f>3</f>
        <v>3</v>
      </c>
      <c r="E946" s="85"/>
      <c r="F946" s="309"/>
      <c r="G946" s="315">
        <f t="shared" si="134"/>
        <v>0</v>
      </c>
    </row>
    <row r="947" spans="1:7" ht="12.75" thickBot="1">
      <c r="A947" s="81" t="s">
        <v>194</v>
      </c>
      <c r="B947" s="255" t="s">
        <v>500</v>
      </c>
      <c r="C947" s="271" t="s">
        <v>114</v>
      </c>
      <c r="D947" s="96">
        <f>D936</f>
        <v>7</v>
      </c>
      <c r="E947" s="85"/>
      <c r="F947" s="309"/>
      <c r="G947" s="315">
        <f t="shared" si="134"/>
        <v>0</v>
      </c>
    </row>
    <row r="948" spans="1:7">
      <c r="A948" s="420"/>
      <c r="B948" s="416"/>
      <c r="C948" s="421"/>
      <c r="D948" s="365"/>
      <c r="E948" s="366"/>
      <c r="F948" s="422"/>
      <c r="G948" s="423"/>
    </row>
    <row r="949" spans="1:7">
      <c r="A949" s="296" t="s">
        <v>162</v>
      </c>
      <c r="B949" s="297" t="s">
        <v>69</v>
      </c>
      <c r="C949" s="298"/>
      <c r="D949" s="299"/>
      <c r="E949" s="300"/>
      <c r="F949" s="301"/>
      <c r="G949" s="302"/>
    </row>
    <row r="950" spans="1:7" ht="12.75">
      <c r="A950" s="303" t="s">
        <v>177</v>
      </c>
      <c r="B950" s="304" t="s">
        <v>235</v>
      </c>
      <c r="C950" s="223"/>
      <c r="D950" s="224"/>
      <c r="E950" s="212"/>
      <c r="F950" s="192"/>
      <c r="G950" s="225">
        <f>D950*E950</f>
        <v>0</v>
      </c>
    </row>
    <row r="951" spans="1:7" ht="27.75" customHeight="1">
      <c r="A951" s="305" t="s">
        <v>492</v>
      </c>
      <c r="B951" s="311" t="s">
        <v>493</v>
      </c>
      <c r="C951" s="307"/>
      <c r="D951" s="308"/>
      <c r="E951" s="212"/>
      <c r="F951" s="309"/>
      <c r="G951" s="310"/>
    </row>
    <row r="952" spans="1:7" ht="12.75">
      <c r="A952" s="305" t="s">
        <v>490</v>
      </c>
      <c r="B952" s="312" t="s">
        <v>487</v>
      </c>
      <c r="C952" s="307" t="s">
        <v>8</v>
      </c>
      <c r="D952" s="308">
        <v>1</v>
      </c>
      <c r="E952" s="212"/>
      <c r="F952" s="309"/>
      <c r="G952" s="310">
        <f t="shared" ref="G952:G982" si="143">+D952*E952+D952*F952</f>
        <v>0</v>
      </c>
    </row>
    <row r="953" spans="1:7" ht="12.75">
      <c r="A953" s="305" t="s">
        <v>491</v>
      </c>
      <c r="B953" s="312" t="s">
        <v>489</v>
      </c>
      <c r="C953" s="307" t="s">
        <v>8</v>
      </c>
      <c r="D953" s="308">
        <v>1</v>
      </c>
      <c r="E953" s="212"/>
      <c r="F953" s="309"/>
      <c r="G953" s="310">
        <f t="shared" si="143"/>
        <v>0</v>
      </c>
    </row>
    <row r="954" spans="1:7" ht="12.75">
      <c r="A954" s="303" t="s">
        <v>178</v>
      </c>
      <c r="B954" s="304" t="s">
        <v>236</v>
      </c>
      <c r="C954" s="313"/>
      <c r="D954" s="314"/>
      <c r="E954" s="212"/>
      <c r="F954" s="309"/>
      <c r="G954" s="315">
        <f t="shared" si="143"/>
        <v>0</v>
      </c>
    </row>
    <row r="955" spans="1:7" ht="12.75">
      <c r="A955" s="305"/>
      <c r="B955" s="312" t="s">
        <v>380</v>
      </c>
      <c r="C955" s="223" t="s">
        <v>8</v>
      </c>
      <c r="D955" s="224">
        <v>24</v>
      </c>
      <c r="E955" s="212"/>
      <c r="F955" s="309"/>
      <c r="G955" s="315">
        <f t="shared" si="143"/>
        <v>0</v>
      </c>
    </row>
    <row r="956" spans="1:7" ht="12.75">
      <c r="A956" s="305"/>
      <c r="B956" s="312" t="s">
        <v>391</v>
      </c>
      <c r="C956" s="223" t="s">
        <v>8</v>
      </c>
      <c r="D956" s="224">
        <v>2</v>
      </c>
      <c r="E956" s="212"/>
      <c r="F956" s="309"/>
      <c r="G956" s="315">
        <f t="shared" si="143"/>
        <v>0</v>
      </c>
    </row>
    <row r="957" spans="1:7" ht="12.75">
      <c r="A957" s="305"/>
      <c r="B957" s="312" t="s">
        <v>381</v>
      </c>
      <c r="C957" s="223" t="s">
        <v>8</v>
      </c>
      <c r="D957" s="224">
        <v>8</v>
      </c>
      <c r="E957" s="212"/>
      <c r="F957" s="309"/>
      <c r="G957" s="315">
        <f t="shared" si="143"/>
        <v>0</v>
      </c>
    </row>
    <row r="958" spans="1:7" ht="12.75">
      <c r="A958" s="305"/>
      <c r="B958" s="312" t="s">
        <v>295</v>
      </c>
      <c r="C958" s="223" t="s">
        <v>8</v>
      </c>
      <c r="D958" s="224">
        <v>11</v>
      </c>
      <c r="E958" s="212"/>
      <c r="F958" s="309"/>
      <c r="G958" s="315">
        <f t="shared" si="143"/>
        <v>0</v>
      </c>
    </row>
    <row r="959" spans="1:7" ht="12.75">
      <c r="A959" s="305"/>
      <c r="B959" s="312" t="s">
        <v>279</v>
      </c>
      <c r="C959" s="223" t="s">
        <v>8</v>
      </c>
      <c r="D959" s="224">
        <v>12</v>
      </c>
      <c r="E959" s="212"/>
      <c r="F959" s="309"/>
      <c r="G959" s="315">
        <f t="shared" si="143"/>
        <v>0</v>
      </c>
    </row>
    <row r="960" spans="1:7" ht="12.75">
      <c r="A960" s="305"/>
      <c r="B960" s="312" t="s">
        <v>502</v>
      </c>
      <c r="C960" s="307" t="s">
        <v>8</v>
      </c>
      <c r="D960" s="308">
        <v>23</v>
      </c>
      <c r="E960" s="212"/>
      <c r="F960" s="309"/>
      <c r="G960" s="315">
        <f t="shared" si="143"/>
        <v>0</v>
      </c>
    </row>
    <row r="961" spans="1:7" ht="12.75">
      <c r="A961" s="305"/>
      <c r="B961" s="312" t="s">
        <v>382</v>
      </c>
      <c r="C961" s="307" t="s">
        <v>8</v>
      </c>
      <c r="D961" s="308">
        <v>12</v>
      </c>
      <c r="E961" s="212"/>
      <c r="F961" s="309"/>
      <c r="G961" s="315">
        <f t="shared" si="143"/>
        <v>0</v>
      </c>
    </row>
    <row r="962" spans="1:7" ht="12.75">
      <c r="A962" s="305"/>
      <c r="B962" s="312" t="s">
        <v>506</v>
      </c>
      <c r="C962" s="307" t="s">
        <v>8</v>
      </c>
      <c r="D962" s="308">
        <v>5</v>
      </c>
      <c r="E962" s="212"/>
      <c r="F962" s="309"/>
      <c r="G962" s="315">
        <f t="shared" si="143"/>
        <v>0</v>
      </c>
    </row>
    <row r="963" spans="1:7" ht="12.75">
      <c r="A963" s="305"/>
      <c r="B963" s="312" t="s">
        <v>496</v>
      </c>
      <c r="C963" s="223" t="s">
        <v>8</v>
      </c>
      <c r="D963" s="224">
        <v>5</v>
      </c>
      <c r="E963" s="212"/>
      <c r="F963" s="309"/>
      <c r="G963" s="315">
        <f t="shared" si="143"/>
        <v>0</v>
      </c>
    </row>
    <row r="964" spans="1:7" ht="12.75">
      <c r="A964" s="305"/>
      <c r="B964" s="312" t="s">
        <v>383</v>
      </c>
      <c r="C964" s="223" t="s">
        <v>8</v>
      </c>
      <c r="D964" s="224">
        <v>2</v>
      </c>
      <c r="E964" s="212"/>
      <c r="F964" s="309"/>
      <c r="G964" s="315">
        <f t="shared" si="143"/>
        <v>0</v>
      </c>
    </row>
    <row r="965" spans="1:7" ht="12.75">
      <c r="A965" s="305"/>
      <c r="B965" s="312" t="s">
        <v>384</v>
      </c>
      <c r="C965" s="223" t="s">
        <v>8</v>
      </c>
      <c r="D965" s="224">
        <v>0</v>
      </c>
      <c r="E965" s="212"/>
      <c r="F965" s="309"/>
      <c r="G965" s="315">
        <f t="shared" si="143"/>
        <v>0</v>
      </c>
    </row>
    <row r="966" spans="1:7" ht="12.75">
      <c r="A966" s="305"/>
      <c r="B966" s="312" t="s">
        <v>385</v>
      </c>
      <c r="C966" s="223" t="s">
        <v>8</v>
      </c>
      <c r="D966" s="224">
        <v>9</v>
      </c>
      <c r="E966" s="212"/>
      <c r="F966" s="309"/>
      <c r="G966" s="315">
        <f t="shared" si="143"/>
        <v>0</v>
      </c>
    </row>
    <row r="967" spans="1:7" ht="12.75">
      <c r="A967" s="305"/>
      <c r="B967" s="312" t="s">
        <v>386</v>
      </c>
      <c r="C967" s="223" t="s">
        <v>8</v>
      </c>
      <c r="D967" s="224">
        <f>D959</f>
        <v>12</v>
      </c>
      <c r="E967" s="212"/>
      <c r="F967" s="309"/>
      <c r="G967" s="315">
        <f t="shared" si="143"/>
        <v>0</v>
      </c>
    </row>
    <row r="968" spans="1:7" ht="12.75">
      <c r="A968" s="305"/>
      <c r="B968" s="312" t="s">
        <v>387</v>
      </c>
      <c r="C968" s="223" t="s">
        <v>8</v>
      </c>
      <c r="D968" s="224">
        <v>3</v>
      </c>
      <c r="E968" s="212"/>
      <c r="F968" s="309"/>
      <c r="G968" s="315">
        <f t="shared" si="143"/>
        <v>0</v>
      </c>
    </row>
    <row r="969" spans="1:7" ht="12.75">
      <c r="A969" s="305"/>
      <c r="B969" s="312" t="s">
        <v>388</v>
      </c>
      <c r="C969" s="223" t="s">
        <v>8</v>
      </c>
      <c r="D969" s="224">
        <v>3</v>
      </c>
      <c r="E969" s="212"/>
      <c r="F969" s="309"/>
      <c r="G969" s="315">
        <f t="shared" si="143"/>
        <v>0</v>
      </c>
    </row>
    <row r="970" spans="1:7" ht="12.75">
      <c r="A970" s="305"/>
      <c r="B970" s="312" t="s">
        <v>389</v>
      </c>
      <c r="C970" s="223" t="s">
        <v>8</v>
      </c>
      <c r="D970" s="224">
        <v>3</v>
      </c>
      <c r="E970" s="212"/>
      <c r="F970" s="309"/>
      <c r="G970" s="315">
        <f t="shared" si="143"/>
        <v>0</v>
      </c>
    </row>
    <row r="971" spans="1:7" ht="12.75">
      <c r="A971" s="305"/>
      <c r="B971" s="312" t="s">
        <v>416</v>
      </c>
      <c r="C971" s="223" t="s">
        <v>8</v>
      </c>
      <c r="D971" s="224">
        <v>7</v>
      </c>
      <c r="E971" s="212"/>
      <c r="F971" s="309"/>
      <c r="G971" s="315">
        <f t="shared" si="143"/>
        <v>0</v>
      </c>
    </row>
    <row r="972" spans="1:7" ht="12.75">
      <c r="A972" s="305"/>
      <c r="B972" s="312" t="s">
        <v>390</v>
      </c>
      <c r="C972" s="223" t="s">
        <v>8</v>
      </c>
      <c r="D972" s="224">
        <v>6</v>
      </c>
      <c r="E972" s="212"/>
      <c r="F972" s="309"/>
      <c r="G972" s="315">
        <f t="shared" si="143"/>
        <v>0</v>
      </c>
    </row>
    <row r="973" spans="1:7" ht="12.75">
      <c r="A973" s="305"/>
      <c r="B973" s="312" t="s">
        <v>417</v>
      </c>
      <c r="C973" s="223" t="s">
        <v>8</v>
      </c>
      <c r="D973" s="224">
        <v>3</v>
      </c>
      <c r="E973" s="212"/>
      <c r="F973" s="309"/>
      <c r="G973" s="315">
        <f t="shared" si="143"/>
        <v>0</v>
      </c>
    </row>
    <row r="974" spans="1:7" ht="12.75">
      <c r="A974" s="303" t="s">
        <v>189</v>
      </c>
      <c r="B974" s="304" t="s">
        <v>237</v>
      </c>
      <c r="C974" s="313"/>
      <c r="D974" s="314"/>
      <c r="E974" s="212"/>
      <c r="F974" s="309"/>
      <c r="G974" s="315">
        <f t="shared" si="143"/>
        <v>0</v>
      </c>
    </row>
    <row r="975" spans="1:7" ht="13.5">
      <c r="A975" s="81" t="s">
        <v>177</v>
      </c>
      <c r="B975" s="255" t="s">
        <v>260</v>
      </c>
      <c r="C975" s="271" t="s">
        <v>239</v>
      </c>
      <c r="D975" s="96">
        <f>D955+D958+D959+D957+D956</f>
        <v>57</v>
      </c>
      <c r="E975" s="85"/>
      <c r="F975" s="309"/>
      <c r="G975" s="315">
        <f t="shared" si="143"/>
        <v>0</v>
      </c>
    </row>
    <row r="976" spans="1:7" ht="13.5">
      <c r="A976" s="81" t="s">
        <v>178</v>
      </c>
      <c r="B976" s="255" t="s">
        <v>259</v>
      </c>
      <c r="C976" s="271" t="s">
        <v>239</v>
      </c>
      <c r="D976" s="96">
        <f>D960+D961+D962</f>
        <v>40</v>
      </c>
      <c r="E976" s="85"/>
      <c r="F976" s="309"/>
      <c r="G976" s="315">
        <f t="shared" si="143"/>
        <v>0</v>
      </c>
    </row>
    <row r="977" spans="1:7" ht="13.5">
      <c r="A977" s="81" t="s">
        <v>189</v>
      </c>
      <c r="B977" s="255" t="s">
        <v>261</v>
      </c>
      <c r="C977" s="271" t="s">
        <v>114</v>
      </c>
      <c r="D977" s="96">
        <f>D952+D953</f>
        <v>2</v>
      </c>
      <c r="E977" s="85"/>
      <c r="F977" s="309"/>
      <c r="G977" s="315">
        <f t="shared" si="143"/>
        <v>0</v>
      </c>
    </row>
    <row r="978" spans="1:7">
      <c r="A978" s="81" t="s">
        <v>190</v>
      </c>
      <c r="B978" s="255" t="s">
        <v>238</v>
      </c>
      <c r="C978" s="271" t="s">
        <v>114</v>
      </c>
      <c r="D978" s="96">
        <f>D970</f>
        <v>3</v>
      </c>
      <c r="E978" s="85"/>
      <c r="F978" s="309"/>
      <c r="G978" s="315">
        <f t="shared" si="143"/>
        <v>0</v>
      </c>
    </row>
    <row r="979" spans="1:7">
      <c r="A979" s="81" t="s">
        <v>191</v>
      </c>
      <c r="B979" s="255" t="s">
        <v>497</v>
      </c>
      <c r="C979" s="271" t="s">
        <v>114</v>
      </c>
      <c r="D979" s="96">
        <f>D968</f>
        <v>3</v>
      </c>
      <c r="E979" s="85"/>
      <c r="F979" s="309"/>
      <c r="G979" s="315">
        <f t="shared" si="143"/>
        <v>0</v>
      </c>
    </row>
    <row r="980" spans="1:7">
      <c r="A980" s="81" t="s">
        <v>192</v>
      </c>
      <c r="B980" s="255" t="s">
        <v>498</v>
      </c>
      <c r="C980" s="271" t="s">
        <v>114</v>
      </c>
      <c r="D980" s="96">
        <f>D969</f>
        <v>3</v>
      </c>
      <c r="E980" s="85"/>
      <c r="F980" s="309"/>
      <c r="G980" s="315">
        <f t="shared" si="143"/>
        <v>0</v>
      </c>
    </row>
    <row r="981" spans="1:7">
      <c r="A981" s="81" t="s">
        <v>193</v>
      </c>
      <c r="B981" s="255" t="s">
        <v>499</v>
      </c>
      <c r="C981" s="271" t="s">
        <v>114</v>
      </c>
      <c r="D981" s="96">
        <f>3</f>
        <v>3</v>
      </c>
      <c r="E981" s="85"/>
      <c r="F981" s="309"/>
      <c r="G981" s="315">
        <f t="shared" si="143"/>
        <v>0</v>
      </c>
    </row>
    <row r="982" spans="1:7">
      <c r="A982" s="81" t="s">
        <v>194</v>
      </c>
      <c r="B982" s="255" t="s">
        <v>500</v>
      </c>
      <c r="C982" s="271" t="s">
        <v>114</v>
      </c>
      <c r="D982" s="96">
        <f>D971</f>
        <v>7</v>
      </c>
      <c r="E982" s="85"/>
      <c r="F982" s="309"/>
      <c r="G982" s="315">
        <f t="shared" si="143"/>
        <v>0</v>
      </c>
    </row>
    <row r="983" spans="1:7">
      <c r="A983" s="81"/>
      <c r="B983" s="255"/>
      <c r="C983" s="271"/>
      <c r="D983" s="96"/>
      <c r="E983" s="85"/>
      <c r="F983" s="309"/>
      <c r="G983" s="315"/>
    </row>
    <row r="984" spans="1:7">
      <c r="A984" s="296" t="s">
        <v>57</v>
      </c>
      <c r="B984" s="297" t="s">
        <v>71</v>
      </c>
      <c r="C984" s="298"/>
      <c r="D984" s="299"/>
      <c r="E984" s="300"/>
      <c r="F984" s="301"/>
      <c r="G984" s="302"/>
    </row>
    <row r="985" spans="1:7" ht="12.75">
      <c r="A985" s="303" t="s">
        <v>177</v>
      </c>
      <c r="B985" s="304" t="s">
        <v>235</v>
      </c>
      <c r="C985" s="223"/>
      <c r="D985" s="224"/>
      <c r="E985" s="212"/>
      <c r="F985" s="192"/>
      <c r="G985" s="225">
        <f>D985*E985</f>
        <v>0</v>
      </c>
    </row>
    <row r="986" spans="1:7" ht="26.25" customHeight="1">
      <c r="A986" s="305" t="s">
        <v>492</v>
      </c>
      <c r="B986" s="311" t="s">
        <v>493</v>
      </c>
      <c r="C986" s="307"/>
      <c r="D986" s="308"/>
      <c r="E986" s="212"/>
      <c r="F986" s="309"/>
      <c r="G986" s="310"/>
    </row>
    <row r="987" spans="1:7" ht="12.75">
      <c r="A987" s="305" t="s">
        <v>490</v>
      </c>
      <c r="B987" s="312" t="s">
        <v>487</v>
      </c>
      <c r="C987" s="307" t="s">
        <v>8</v>
      </c>
      <c r="D987" s="308">
        <v>1</v>
      </c>
      <c r="E987" s="212"/>
      <c r="F987" s="309"/>
      <c r="G987" s="310">
        <f t="shared" ref="G987:G1017" si="144">+D987*E987+D987*F987</f>
        <v>0</v>
      </c>
    </row>
    <row r="988" spans="1:7" ht="12.75">
      <c r="A988" s="305" t="s">
        <v>491</v>
      </c>
      <c r="B988" s="312" t="s">
        <v>489</v>
      </c>
      <c r="C988" s="307" t="s">
        <v>8</v>
      </c>
      <c r="D988" s="308">
        <v>1</v>
      </c>
      <c r="E988" s="212"/>
      <c r="F988" s="309"/>
      <c r="G988" s="310">
        <f t="shared" si="144"/>
        <v>0</v>
      </c>
    </row>
    <row r="989" spans="1:7" ht="12.75">
      <c r="A989" s="303" t="s">
        <v>178</v>
      </c>
      <c r="B989" s="304" t="s">
        <v>236</v>
      </c>
      <c r="C989" s="313"/>
      <c r="D989" s="314"/>
      <c r="E989" s="212"/>
      <c r="F989" s="309"/>
      <c r="G989" s="315">
        <f t="shared" si="144"/>
        <v>0</v>
      </c>
    </row>
    <row r="990" spans="1:7" ht="12.75">
      <c r="A990" s="305"/>
      <c r="B990" s="312" t="s">
        <v>380</v>
      </c>
      <c r="C990" s="223" t="s">
        <v>8</v>
      </c>
      <c r="D990" s="224">
        <v>24</v>
      </c>
      <c r="E990" s="212"/>
      <c r="F990" s="309"/>
      <c r="G990" s="315">
        <f t="shared" si="144"/>
        <v>0</v>
      </c>
    </row>
    <row r="991" spans="1:7" ht="12.75">
      <c r="A991" s="305"/>
      <c r="B991" s="312" t="s">
        <v>391</v>
      </c>
      <c r="C991" s="223" t="s">
        <v>8</v>
      </c>
      <c r="D991" s="224">
        <v>2</v>
      </c>
      <c r="E991" s="212"/>
      <c r="F991" s="309"/>
      <c r="G991" s="315">
        <f t="shared" si="144"/>
        <v>0</v>
      </c>
    </row>
    <row r="992" spans="1:7" ht="12.75">
      <c r="A992" s="305"/>
      <c r="B992" s="312" t="s">
        <v>381</v>
      </c>
      <c r="C992" s="223" t="s">
        <v>8</v>
      </c>
      <c r="D992" s="224">
        <v>8</v>
      </c>
      <c r="E992" s="212"/>
      <c r="F992" s="309"/>
      <c r="G992" s="315">
        <f t="shared" si="144"/>
        <v>0</v>
      </c>
    </row>
    <row r="993" spans="1:7" ht="12.75">
      <c r="A993" s="305"/>
      <c r="B993" s="312" t="s">
        <v>295</v>
      </c>
      <c r="C993" s="223" t="s">
        <v>8</v>
      </c>
      <c r="D993" s="224">
        <v>11</v>
      </c>
      <c r="E993" s="212"/>
      <c r="F993" s="309"/>
      <c r="G993" s="315">
        <f t="shared" si="144"/>
        <v>0</v>
      </c>
    </row>
    <row r="994" spans="1:7" ht="12.75">
      <c r="A994" s="305"/>
      <c r="B994" s="312" t="s">
        <v>279</v>
      </c>
      <c r="C994" s="223" t="s">
        <v>8</v>
      </c>
      <c r="D994" s="224">
        <v>12</v>
      </c>
      <c r="E994" s="212"/>
      <c r="F994" s="309"/>
      <c r="G994" s="315">
        <f t="shared" si="144"/>
        <v>0</v>
      </c>
    </row>
    <row r="995" spans="1:7" ht="12.75">
      <c r="A995" s="305"/>
      <c r="B995" s="312" t="s">
        <v>502</v>
      </c>
      <c r="C995" s="307" t="s">
        <v>8</v>
      </c>
      <c r="D995" s="308">
        <v>23</v>
      </c>
      <c r="E995" s="212"/>
      <c r="F995" s="309"/>
      <c r="G995" s="315">
        <f t="shared" si="144"/>
        <v>0</v>
      </c>
    </row>
    <row r="996" spans="1:7" ht="12.75">
      <c r="A996" s="305"/>
      <c r="B996" s="312" t="s">
        <v>382</v>
      </c>
      <c r="C996" s="307" t="s">
        <v>8</v>
      </c>
      <c r="D996" s="308">
        <v>12</v>
      </c>
      <c r="E996" s="212"/>
      <c r="F996" s="309"/>
      <c r="G996" s="315">
        <f t="shared" si="144"/>
        <v>0</v>
      </c>
    </row>
    <row r="997" spans="1:7" ht="12.75">
      <c r="A997" s="305"/>
      <c r="B997" s="312" t="s">
        <v>506</v>
      </c>
      <c r="C997" s="307" t="s">
        <v>8</v>
      </c>
      <c r="D997" s="308">
        <v>5</v>
      </c>
      <c r="E997" s="212"/>
      <c r="F997" s="309"/>
      <c r="G997" s="315">
        <f t="shared" si="144"/>
        <v>0</v>
      </c>
    </row>
    <row r="998" spans="1:7" ht="12.75">
      <c r="A998" s="305"/>
      <c r="B998" s="312" t="s">
        <v>496</v>
      </c>
      <c r="C998" s="223" t="s">
        <v>8</v>
      </c>
      <c r="D998" s="224">
        <v>5</v>
      </c>
      <c r="E998" s="212"/>
      <c r="F998" s="309"/>
      <c r="G998" s="315">
        <f t="shared" si="144"/>
        <v>0</v>
      </c>
    </row>
    <row r="999" spans="1:7" ht="12.75">
      <c r="A999" s="305"/>
      <c r="B999" s="312" t="s">
        <v>383</v>
      </c>
      <c r="C999" s="223" t="s">
        <v>8</v>
      </c>
      <c r="D999" s="224">
        <v>2</v>
      </c>
      <c r="E999" s="212"/>
      <c r="F999" s="309"/>
      <c r="G999" s="315">
        <f t="shared" si="144"/>
        <v>0</v>
      </c>
    </row>
    <row r="1000" spans="1:7" ht="13.5" thickBot="1">
      <c r="A1000" s="395"/>
      <c r="B1000" s="396" t="s">
        <v>384</v>
      </c>
      <c r="C1000" s="371" t="s">
        <v>8</v>
      </c>
      <c r="D1000" s="372">
        <v>0</v>
      </c>
      <c r="E1000" s="397"/>
      <c r="F1000" s="398"/>
      <c r="G1000" s="394">
        <f t="shared" si="144"/>
        <v>0</v>
      </c>
    </row>
    <row r="1001" spans="1:7" ht="12.75">
      <c r="A1001" s="424"/>
      <c r="B1001" s="425" t="s">
        <v>385</v>
      </c>
      <c r="C1001" s="426" t="s">
        <v>8</v>
      </c>
      <c r="D1001" s="427">
        <v>9</v>
      </c>
      <c r="E1001" s="428"/>
      <c r="F1001" s="429"/>
      <c r="G1001" s="423">
        <f t="shared" si="144"/>
        <v>0</v>
      </c>
    </row>
    <row r="1002" spans="1:7" ht="12.75">
      <c r="A1002" s="305"/>
      <c r="B1002" s="312" t="s">
        <v>386</v>
      </c>
      <c r="C1002" s="223" t="s">
        <v>8</v>
      </c>
      <c r="D1002" s="224">
        <f>D994</f>
        <v>12</v>
      </c>
      <c r="E1002" s="212"/>
      <c r="F1002" s="309"/>
      <c r="G1002" s="315">
        <f t="shared" si="144"/>
        <v>0</v>
      </c>
    </row>
    <row r="1003" spans="1:7" ht="12.75">
      <c r="A1003" s="305"/>
      <c r="B1003" s="312" t="s">
        <v>387</v>
      </c>
      <c r="C1003" s="223" t="s">
        <v>8</v>
      </c>
      <c r="D1003" s="224">
        <v>3</v>
      </c>
      <c r="E1003" s="212"/>
      <c r="F1003" s="309"/>
      <c r="G1003" s="315">
        <f t="shared" si="144"/>
        <v>0</v>
      </c>
    </row>
    <row r="1004" spans="1:7" ht="12.75">
      <c r="A1004" s="305"/>
      <c r="B1004" s="312" t="s">
        <v>388</v>
      </c>
      <c r="C1004" s="223" t="s">
        <v>8</v>
      </c>
      <c r="D1004" s="224">
        <v>3</v>
      </c>
      <c r="E1004" s="212"/>
      <c r="F1004" s="309"/>
      <c r="G1004" s="315">
        <f t="shared" si="144"/>
        <v>0</v>
      </c>
    </row>
    <row r="1005" spans="1:7" ht="12.75">
      <c r="A1005" s="305"/>
      <c r="B1005" s="312" t="s">
        <v>389</v>
      </c>
      <c r="C1005" s="223" t="s">
        <v>8</v>
      </c>
      <c r="D1005" s="224">
        <v>3</v>
      </c>
      <c r="E1005" s="212"/>
      <c r="F1005" s="309"/>
      <c r="G1005" s="315">
        <f t="shared" si="144"/>
        <v>0</v>
      </c>
    </row>
    <row r="1006" spans="1:7" ht="12.75">
      <c r="A1006" s="305"/>
      <c r="B1006" s="312" t="s">
        <v>416</v>
      </c>
      <c r="C1006" s="223" t="s">
        <v>8</v>
      </c>
      <c r="D1006" s="224">
        <v>7</v>
      </c>
      <c r="E1006" s="212"/>
      <c r="F1006" s="309"/>
      <c r="G1006" s="315">
        <f t="shared" si="144"/>
        <v>0</v>
      </c>
    </row>
    <row r="1007" spans="1:7" ht="12.75">
      <c r="A1007" s="305"/>
      <c r="B1007" s="312" t="s">
        <v>390</v>
      </c>
      <c r="C1007" s="223" t="s">
        <v>8</v>
      </c>
      <c r="D1007" s="224">
        <v>6</v>
      </c>
      <c r="E1007" s="212"/>
      <c r="F1007" s="309"/>
      <c r="G1007" s="315">
        <f t="shared" si="144"/>
        <v>0</v>
      </c>
    </row>
    <row r="1008" spans="1:7" ht="12.75">
      <c r="A1008" s="305"/>
      <c r="B1008" s="312" t="s">
        <v>417</v>
      </c>
      <c r="C1008" s="223" t="s">
        <v>8</v>
      </c>
      <c r="D1008" s="224">
        <v>3</v>
      </c>
      <c r="E1008" s="212"/>
      <c r="F1008" s="309"/>
      <c r="G1008" s="315">
        <f t="shared" si="144"/>
        <v>0</v>
      </c>
    </row>
    <row r="1009" spans="1:7" ht="12.75">
      <c r="A1009" s="303" t="s">
        <v>189</v>
      </c>
      <c r="B1009" s="304" t="s">
        <v>237</v>
      </c>
      <c r="C1009" s="313"/>
      <c r="D1009" s="314"/>
      <c r="E1009" s="212"/>
      <c r="F1009" s="309"/>
      <c r="G1009" s="315">
        <f t="shared" si="144"/>
        <v>0</v>
      </c>
    </row>
    <row r="1010" spans="1:7" ht="13.5">
      <c r="A1010" s="81" t="s">
        <v>177</v>
      </c>
      <c r="B1010" s="255" t="s">
        <v>260</v>
      </c>
      <c r="C1010" s="271" t="s">
        <v>239</v>
      </c>
      <c r="D1010" s="96">
        <f>D990+D993+D994+D992+D991</f>
        <v>57</v>
      </c>
      <c r="E1010" s="85"/>
      <c r="F1010" s="309"/>
      <c r="G1010" s="315">
        <f t="shared" si="144"/>
        <v>0</v>
      </c>
    </row>
    <row r="1011" spans="1:7" ht="13.5">
      <c r="A1011" s="81" t="s">
        <v>178</v>
      </c>
      <c r="B1011" s="255" t="s">
        <v>259</v>
      </c>
      <c r="C1011" s="271" t="s">
        <v>239</v>
      </c>
      <c r="D1011" s="96">
        <f>D995+D996+D997</f>
        <v>40</v>
      </c>
      <c r="E1011" s="85"/>
      <c r="F1011" s="309"/>
      <c r="G1011" s="315">
        <f t="shared" si="144"/>
        <v>0</v>
      </c>
    </row>
    <row r="1012" spans="1:7" ht="13.5">
      <c r="A1012" s="81" t="s">
        <v>189</v>
      </c>
      <c r="B1012" s="255" t="s">
        <v>261</v>
      </c>
      <c r="C1012" s="271" t="s">
        <v>114</v>
      </c>
      <c r="D1012" s="96">
        <f>D987+D988</f>
        <v>2</v>
      </c>
      <c r="E1012" s="85"/>
      <c r="F1012" s="309"/>
      <c r="G1012" s="315">
        <f t="shared" si="144"/>
        <v>0</v>
      </c>
    </row>
    <row r="1013" spans="1:7">
      <c r="A1013" s="81" t="s">
        <v>190</v>
      </c>
      <c r="B1013" s="255" t="s">
        <v>238</v>
      </c>
      <c r="C1013" s="271" t="s">
        <v>114</v>
      </c>
      <c r="D1013" s="96">
        <f>D1005</f>
        <v>3</v>
      </c>
      <c r="E1013" s="85"/>
      <c r="F1013" s="309"/>
      <c r="G1013" s="315">
        <f t="shared" si="144"/>
        <v>0</v>
      </c>
    </row>
    <row r="1014" spans="1:7">
      <c r="A1014" s="81" t="s">
        <v>191</v>
      </c>
      <c r="B1014" s="255" t="s">
        <v>497</v>
      </c>
      <c r="C1014" s="271" t="s">
        <v>114</v>
      </c>
      <c r="D1014" s="96">
        <f>D1003</f>
        <v>3</v>
      </c>
      <c r="E1014" s="85"/>
      <c r="F1014" s="309"/>
      <c r="G1014" s="315">
        <f t="shared" si="144"/>
        <v>0</v>
      </c>
    </row>
    <row r="1015" spans="1:7">
      <c r="A1015" s="81" t="s">
        <v>192</v>
      </c>
      <c r="B1015" s="255" t="s">
        <v>498</v>
      </c>
      <c r="C1015" s="271" t="s">
        <v>114</v>
      </c>
      <c r="D1015" s="96">
        <f>D1004</f>
        <v>3</v>
      </c>
      <c r="E1015" s="85"/>
      <c r="F1015" s="309"/>
      <c r="G1015" s="315">
        <f t="shared" si="144"/>
        <v>0</v>
      </c>
    </row>
    <row r="1016" spans="1:7">
      <c r="A1016" s="81" t="s">
        <v>193</v>
      </c>
      <c r="B1016" s="255" t="s">
        <v>499</v>
      </c>
      <c r="C1016" s="271" t="s">
        <v>114</v>
      </c>
      <c r="D1016" s="96">
        <f>3</f>
        <v>3</v>
      </c>
      <c r="E1016" s="85"/>
      <c r="F1016" s="309"/>
      <c r="G1016" s="315">
        <f t="shared" si="144"/>
        <v>0</v>
      </c>
    </row>
    <row r="1017" spans="1:7">
      <c r="A1017" s="81" t="s">
        <v>194</v>
      </c>
      <c r="B1017" s="255" t="s">
        <v>500</v>
      </c>
      <c r="C1017" s="271" t="s">
        <v>114</v>
      </c>
      <c r="D1017" s="96">
        <f>D1006</f>
        <v>7</v>
      </c>
      <c r="E1017" s="85"/>
      <c r="F1017" s="309"/>
      <c r="G1017" s="315">
        <f t="shared" si="144"/>
        <v>0</v>
      </c>
    </row>
    <row r="1018" spans="1:7" ht="12.75">
      <c r="A1018" s="305"/>
      <c r="B1018" s="312"/>
      <c r="C1018" s="307"/>
      <c r="D1018" s="308"/>
      <c r="E1018" s="212"/>
      <c r="F1018" s="309"/>
      <c r="G1018" s="315"/>
    </row>
    <row r="1019" spans="1:7" ht="12.75">
      <c r="A1019" s="305"/>
      <c r="B1019" s="312"/>
      <c r="C1019" s="307"/>
      <c r="D1019" s="308"/>
      <c r="E1019" s="212"/>
      <c r="F1019" s="309"/>
      <c r="G1019" s="315"/>
    </row>
    <row r="1020" spans="1:7" ht="12.75">
      <c r="A1020" s="305"/>
      <c r="B1020" s="312"/>
      <c r="C1020" s="307"/>
      <c r="D1020" s="308"/>
      <c r="E1020" s="212"/>
      <c r="F1020" s="309"/>
      <c r="G1020" s="315"/>
    </row>
    <row r="1021" spans="1:7" ht="12.75">
      <c r="A1021" s="305"/>
      <c r="B1021" s="312"/>
      <c r="C1021" s="307"/>
      <c r="D1021" s="308"/>
      <c r="E1021" s="212"/>
      <c r="F1021" s="309"/>
      <c r="G1021" s="315"/>
    </row>
    <row r="1022" spans="1:7" ht="12.75">
      <c r="A1022" s="305"/>
      <c r="B1022" s="312"/>
      <c r="C1022" s="307"/>
      <c r="D1022" s="308"/>
      <c r="E1022" s="212"/>
      <c r="F1022" s="309"/>
      <c r="G1022" s="315"/>
    </row>
    <row r="1023" spans="1:7" ht="12.75">
      <c r="A1023" s="305"/>
      <c r="B1023" s="312"/>
      <c r="C1023" s="307"/>
      <c r="D1023" s="308"/>
      <c r="E1023" s="212"/>
      <c r="F1023" s="309"/>
      <c r="G1023" s="315"/>
    </row>
    <row r="1024" spans="1:7" ht="12.75">
      <c r="A1024" s="305"/>
      <c r="B1024" s="312"/>
      <c r="C1024" s="307"/>
      <c r="D1024" s="308"/>
      <c r="E1024" s="212"/>
      <c r="F1024" s="309"/>
      <c r="G1024" s="315"/>
    </row>
    <row r="1025" spans="1:7" ht="12.75">
      <c r="A1025" s="305"/>
      <c r="B1025" s="312"/>
      <c r="C1025" s="307"/>
      <c r="D1025" s="308"/>
      <c r="E1025" s="212"/>
      <c r="F1025" s="309"/>
      <c r="G1025" s="315"/>
    </row>
    <row r="1026" spans="1:7" ht="12.75">
      <c r="A1026" s="305"/>
      <c r="B1026" s="312"/>
      <c r="C1026" s="307"/>
      <c r="D1026" s="308"/>
      <c r="E1026" s="212"/>
      <c r="F1026" s="309"/>
      <c r="G1026" s="315"/>
    </row>
    <row r="1027" spans="1:7" ht="12.75">
      <c r="A1027" s="305"/>
      <c r="B1027" s="312"/>
      <c r="C1027" s="307"/>
      <c r="D1027" s="308"/>
      <c r="E1027" s="212"/>
      <c r="F1027" s="309"/>
      <c r="G1027" s="315"/>
    </row>
    <row r="1028" spans="1:7" ht="12.75">
      <c r="A1028" s="305"/>
      <c r="B1028" s="312"/>
      <c r="C1028" s="307"/>
      <c r="D1028" s="308"/>
      <c r="E1028" s="212"/>
      <c r="F1028" s="309"/>
      <c r="G1028" s="315"/>
    </row>
    <row r="1029" spans="1:7" ht="12.75">
      <c r="A1029" s="305"/>
      <c r="B1029" s="312"/>
      <c r="C1029" s="307"/>
      <c r="D1029" s="308"/>
      <c r="E1029" s="212"/>
      <c r="F1029" s="309"/>
      <c r="G1029" s="315"/>
    </row>
    <row r="1030" spans="1:7" ht="12.75">
      <c r="A1030" s="305"/>
      <c r="B1030" s="312"/>
      <c r="C1030" s="307"/>
      <c r="D1030" s="308"/>
      <c r="E1030" s="212"/>
      <c r="F1030" s="309"/>
      <c r="G1030" s="315"/>
    </row>
    <row r="1031" spans="1:7" ht="12.75">
      <c r="A1031" s="305"/>
      <c r="B1031" s="312"/>
      <c r="C1031" s="307"/>
      <c r="D1031" s="308"/>
      <c r="E1031" s="212"/>
      <c r="F1031" s="309"/>
      <c r="G1031" s="315"/>
    </row>
    <row r="1032" spans="1:7" ht="12.75">
      <c r="A1032" s="305"/>
      <c r="B1032" s="312"/>
      <c r="C1032" s="307"/>
      <c r="D1032" s="308"/>
      <c r="E1032" s="212"/>
      <c r="F1032" s="309"/>
      <c r="G1032" s="315"/>
    </row>
    <row r="1033" spans="1:7" ht="12.75">
      <c r="A1033" s="305"/>
      <c r="B1033" s="312"/>
      <c r="C1033" s="307"/>
      <c r="D1033" s="308"/>
      <c r="E1033" s="212"/>
      <c r="F1033" s="309"/>
      <c r="G1033" s="315"/>
    </row>
    <row r="1034" spans="1:7" ht="12.75">
      <c r="A1034" s="305"/>
      <c r="B1034" s="312"/>
      <c r="C1034" s="307"/>
      <c r="D1034" s="308"/>
      <c r="E1034" s="212"/>
      <c r="F1034" s="309"/>
      <c r="G1034" s="315"/>
    </row>
    <row r="1035" spans="1:7" ht="12.75">
      <c r="A1035" s="305"/>
      <c r="B1035" s="312"/>
      <c r="C1035" s="307"/>
      <c r="D1035" s="308"/>
      <c r="E1035" s="212"/>
      <c r="F1035" s="309"/>
      <c r="G1035" s="315"/>
    </row>
    <row r="1036" spans="1:7" ht="12.75">
      <c r="A1036" s="305"/>
      <c r="B1036" s="312"/>
      <c r="C1036" s="307"/>
      <c r="D1036" s="308"/>
      <c r="E1036" s="212"/>
      <c r="F1036" s="309"/>
      <c r="G1036" s="315"/>
    </row>
    <row r="1037" spans="1:7" ht="12.75">
      <c r="A1037" s="305"/>
      <c r="B1037" s="312"/>
      <c r="C1037" s="307"/>
      <c r="D1037" s="308"/>
      <c r="E1037" s="212"/>
      <c r="F1037" s="309"/>
      <c r="G1037" s="315"/>
    </row>
    <row r="1038" spans="1:7" ht="12.75">
      <c r="A1038" s="305"/>
      <c r="B1038" s="312"/>
      <c r="C1038" s="307"/>
      <c r="D1038" s="308"/>
      <c r="E1038" s="212"/>
      <c r="F1038" s="309"/>
      <c r="G1038" s="315"/>
    </row>
    <row r="1039" spans="1:7" ht="12.75">
      <c r="A1039" s="305"/>
      <c r="B1039" s="312"/>
      <c r="C1039" s="307"/>
      <c r="D1039" s="308"/>
      <c r="E1039" s="212"/>
      <c r="F1039" s="309"/>
      <c r="G1039" s="315"/>
    </row>
    <row r="1040" spans="1:7" ht="12.75">
      <c r="A1040" s="305"/>
      <c r="B1040" s="312"/>
      <c r="C1040" s="307"/>
      <c r="D1040" s="308"/>
      <c r="E1040" s="212"/>
      <c r="F1040" s="309"/>
      <c r="G1040" s="315"/>
    </row>
    <row r="1041" spans="1:9" ht="12.75">
      <c r="A1041" s="305"/>
      <c r="B1041" s="312"/>
      <c r="C1041" s="307"/>
      <c r="D1041" s="308"/>
      <c r="E1041" s="212"/>
      <c r="F1041" s="309"/>
      <c r="G1041" s="315"/>
    </row>
    <row r="1042" spans="1:9" ht="12.75">
      <c r="A1042" s="305"/>
      <c r="B1042" s="312"/>
      <c r="C1042" s="307"/>
      <c r="D1042" s="308"/>
      <c r="E1042" s="212"/>
      <c r="F1042" s="309"/>
      <c r="G1042" s="315"/>
    </row>
    <row r="1043" spans="1:9" ht="12.75">
      <c r="A1043" s="305"/>
      <c r="B1043" s="312"/>
      <c r="C1043" s="307"/>
      <c r="D1043" s="308"/>
      <c r="E1043" s="212"/>
      <c r="F1043" s="309"/>
      <c r="G1043" s="315"/>
    </row>
    <row r="1044" spans="1:9" ht="12.75">
      <c r="A1044" s="305"/>
      <c r="B1044" s="312"/>
      <c r="C1044" s="307"/>
      <c r="D1044" s="308"/>
      <c r="E1044" s="212"/>
      <c r="F1044" s="309"/>
      <c r="G1044" s="315"/>
    </row>
    <row r="1045" spans="1:9" ht="12.75">
      <c r="A1045" s="305"/>
      <c r="B1045" s="312"/>
      <c r="C1045" s="307"/>
      <c r="D1045" s="308"/>
      <c r="E1045" s="212"/>
      <c r="F1045" s="309"/>
      <c r="G1045" s="315"/>
    </row>
    <row r="1046" spans="1:9" ht="12.75">
      <c r="A1046" s="305"/>
      <c r="B1046" s="312"/>
      <c r="C1046" s="307"/>
      <c r="D1046" s="308"/>
      <c r="E1046" s="212"/>
      <c r="F1046" s="309"/>
      <c r="G1046" s="315"/>
    </row>
    <row r="1047" spans="1:9" ht="12.75">
      <c r="A1047" s="305"/>
      <c r="B1047" s="312"/>
      <c r="C1047" s="307"/>
      <c r="D1047" s="308"/>
      <c r="E1047" s="212"/>
      <c r="F1047" s="309"/>
      <c r="G1047" s="315"/>
    </row>
    <row r="1048" spans="1:9" ht="12.75">
      <c r="A1048" s="305"/>
      <c r="B1048" s="312"/>
      <c r="C1048" s="307"/>
      <c r="D1048" s="308"/>
      <c r="E1048" s="212"/>
      <c r="F1048" s="309"/>
      <c r="G1048" s="315"/>
    </row>
    <row r="1049" spans="1:9" ht="12.75">
      <c r="A1049" s="305"/>
      <c r="B1049" s="312"/>
      <c r="C1049" s="307"/>
      <c r="D1049" s="308"/>
      <c r="E1049" s="212"/>
      <c r="F1049" s="309"/>
      <c r="G1049" s="315"/>
    </row>
    <row r="1050" spans="1:9" ht="12.75">
      <c r="A1050" s="305"/>
      <c r="B1050" s="312"/>
      <c r="C1050" s="307"/>
      <c r="D1050" s="308"/>
      <c r="E1050" s="212"/>
      <c r="F1050" s="309"/>
      <c r="G1050" s="315"/>
    </row>
    <row r="1051" spans="1:9" ht="12.75">
      <c r="A1051" s="305"/>
      <c r="B1051" s="312"/>
      <c r="C1051" s="307"/>
      <c r="D1051" s="308"/>
      <c r="E1051" s="212"/>
      <c r="F1051" s="309"/>
      <c r="G1051" s="315"/>
    </row>
    <row r="1052" spans="1:9" ht="12.75">
      <c r="A1052" s="305"/>
      <c r="B1052" s="312"/>
      <c r="C1052" s="307"/>
      <c r="D1052" s="308"/>
      <c r="E1052" s="212"/>
      <c r="F1052" s="309"/>
      <c r="G1052" s="315"/>
    </row>
    <row r="1053" spans="1:9" ht="13.5" thickBot="1">
      <c r="A1053" s="305"/>
      <c r="B1053" s="312"/>
      <c r="C1053" s="307"/>
      <c r="D1053" s="308"/>
      <c r="E1053" s="212"/>
      <c r="F1053" s="309"/>
      <c r="G1053" s="315"/>
    </row>
    <row r="1054" spans="1:9">
      <c r="A1054" s="67"/>
      <c r="B1054" s="68" t="s">
        <v>197</v>
      </c>
      <c r="C1054" s="350"/>
      <c r="D1054" s="399"/>
      <c r="E1054" s="351"/>
      <c r="F1054" s="352"/>
      <c r="G1054" s="73"/>
    </row>
    <row r="1055" spans="1:9" ht="12.75" thickBot="1">
      <c r="A1055" s="74"/>
      <c r="B1055" s="75" t="s">
        <v>141</v>
      </c>
      <c r="C1055" s="354"/>
      <c r="D1055" s="400"/>
      <c r="E1055" s="355"/>
      <c r="F1055" s="356"/>
      <c r="G1055" s="80">
        <f>SUM(G914:G1054)</f>
        <v>0</v>
      </c>
      <c r="I1055" s="54"/>
    </row>
    <row r="1056" spans="1:9">
      <c r="A1056" s="316"/>
      <c r="B1056" s="82" t="s">
        <v>398</v>
      </c>
      <c r="C1056" s="95"/>
      <c r="D1056" s="197"/>
      <c r="E1056" s="85"/>
      <c r="F1056" s="98"/>
      <c r="G1056" s="99"/>
    </row>
    <row r="1057" spans="1:7">
      <c r="A1057" s="316"/>
      <c r="B1057" s="88" t="s">
        <v>397</v>
      </c>
      <c r="C1057" s="95"/>
      <c r="D1057" s="197"/>
      <c r="E1057" s="85"/>
      <c r="F1057" s="98"/>
      <c r="G1057" s="99"/>
    </row>
    <row r="1058" spans="1:7">
      <c r="A1058" s="317">
        <v>12.1</v>
      </c>
      <c r="B1058" s="264" t="s">
        <v>399</v>
      </c>
      <c r="C1058" s="318"/>
      <c r="D1058" s="319"/>
      <c r="E1058" s="146"/>
      <c r="F1058" s="238"/>
      <c r="G1058" s="239"/>
    </row>
    <row r="1059" spans="1:7" ht="50.25" customHeight="1">
      <c r="A1059" s="316"/>
      <c r="B1059" s="448" t="s">
        <v>400</v>
      </c>
      <c r="C1059" s="448"/>
      <c r="D1059" s="448"/>
      <c r="E1059" s="448"/>
      <c r="F1059" s="98"/>
      <c r="G1059" s="99"/>
    </row>
    <row r="1060" spans="1:7" ht="30" customHeight="1">
      <c r="A1060" s="316"/>
      <c r="B1060" s="448" t="s">
        <v>401</v>
      </c>
      <c r="C1060" s="448"/>
      <c r="D1060" s="448"/>
      <c r="E1060" s="448"/>
      <c r="F1060" s="98"/>
      <c r="G1060" s="99"/>
    </row>
    <row r="1061" spans="1:7" ht="12.75" customHeight="1">
      <c r="A1061" s="316"/>
      <c r="B1061" s="448" t="s">
        <v>402</v>
      </c>
      <c r="C1061" s="448"/>
      <c r="D1061" s="448"/>
      <c r="E1061" s="448"/>
      <c r="F1061" s="98"/>
      <c r="G1061" s="99"/>
    </row>
    <row r="1062" spans="1:7" ht="27" customHeight="1">
      <c r="A1062" s="316"/>
      <c r="B1062" s="448" t="s">
        <v>403</v>
      </c>
      <c r="C1062" s="448"/>
      <c r="D1062" s="448"/>
      <c r="E1062" s="448"/>
      <c r="F1062" s="98"/>
      <c r="G1062" s="99"/>
    </row>
    <row r="1063" spans="1:7">
      <c r="A1063" s="320">
        <v>12.2</v>
      </c>
      <c r="B1063" s="321" t="s">
        <v>404</v>
      </c>
      <c r="C1063" s="322"/>
      <c r="D1063" s="323"/>
      <c r="E1063" s="279"/>
      <c r="F1063" s="170"/>
      <c r="G1063" s="171"/>
    </row>
    <row r="1064" spans="1:7" ht="24">
      <c r="A1064" s="316"/>
      <c r="B1064" s="255" t="s">
        <v>405</v>
      </c>
      <c r="C1064" s="271"/>
      <c r="D1064" s="197"/>
      <c r="E1064" s="85"/>
      <c r="F1064" s="98"/>
      <c r="G1064" s="99"/>
    </row>
    <row r="1065" spans="1:7">
      <c r="A1065" s="324">
        <v>1</v>
      </c>
      <c r="B1065" s="325" t="s">
        <v>67</v>
      </c>
      <c r="C1065" s="326"/>
      <c r="D1065" s="327"/>
      <c r="E1065" s="328"/>
      <c r="F1065" s="329"/>
      <c r="G1065" s="330"/>
    </row>
    <row r="1066" spans="1:7">
      <c r="A1066" s="331" t="s">
        <v>199</v>
      </c>
      <c r="B1066" s="332" t="s">
        <v>404</v>
      </c>
      <c r="C1066" s="322"/>
      <c r="D1066" s="323"/>
      <c r="E1066" s="279"/>
      <c r="F1066" s="208"/>
      <c r="G1066" s="315">
        <f t="shared" ref="G1066:G1074" si="145">+D1066*E1066+D1066*F1066</f>
        <v>0</v>
      </c>
    </row>
    <row r="1067" spans="1:7">
      <c r="A1067" s="316" t="s">
        <v>177</v>
      </c>
      <c r="B1067" s="255" t="s">
        <v>406</v>
      </c>
      <c r="C1067" s="271" t="s">
        <v>114</v>
      </c>
      <c r="D1067" s="197">
        <v>1</v>
      </c>
      <c r="E1067" s="85"/>
      <c r="F1067" s="98"/>
      <c r="G1067" s="315">
        <f t="shared" si="145"/>
        <v>0</v>
      </c>
    </row>
    <row r="1068" spans="1:7">
      <c r="A1068" s="316" t="s">
        <v>178</v>
      </c>
      <c r="B1068" s="255" t="s">
        <v>407</v>
      </c>
      <c r="C1068" s="271" t="s">
        <v>114</v>
      </c>
      <c r="D1068" s="197">
        <v>1</v>
      </c>
      <c r="E1068" s="85"/>
      <c r="F1068" s="98"/>
      <c r="G1068" s="315">
        <f t="shared" si="145"/>
        <v>0</v>
      </c>
    </row>
    <row r="1069" spans="1:7">
      <c r="A1069" s="316" t="s">
        <v>189</v>
      </c>
      <c r="B1069" s="255" t="s">
        <v>408</v>
      </c>
      <c r="C1069" s="271" t="s">
        <v>114</v>
      </c>
      <c r="D1069" s="197">
        <v>7</v>
      </c>
      <c r="E1069" s="85"/>
      <c r="F1069" s="98"/>
      <c r="G1069" s="315">
        <f t="shared" si="145"/>
        <v>0</v>
      </c>
    </row>
    <row r="1070" spans="1:7" ht="24">
      <c r="A1070" s="316" t="s">
        <v>190</v>
      </c>
      <c r="B1070" s="255" t="s">
        <v>409</v>
      </c>
      <c r="C1070" s="271" t="s">
        <v>114</v>
      </c>
      <c r="D1070" s="197">
        <v>1</v>
      </c>
      <c r="E1070" s="85"/>
      <c r="F1070" s="98"/>
      <c r="G1070" s="315">
        <f t="shared" si="145"/>
        <v>0</v>
      </c>
    </row>
    <row r="1071" spans="1:7">
      <c r="A1071" s="316" t="s">
        <v>191</v>
      </c>
      <c r="B1071" s="255" t="s">
        <v>410</v>
      </c>
      <c r="C1071" s="271" t="s">
        <v>114</v>
      </c>
      <c r="D1071" s="197">
        <v>1</v>
      </c>
      <c r="E1071" s="85"/>
      <c r="F1071" s="98"/>
      <c r="G1071" s="315">
        <f t="shared" si="145"/>
        <v>0</v>
      </c>
    </row>
    <row r="1072" spans="1:7">
      <c r="A1072" s="316" t="s">
        <v>192</v>
      </c>
      <c r="B1072" s="255" t="s">
        <v>411</v>
      </c>
      <c r="C1072" s="271" t="s">
        <v>114</v>
      </c>
      <c r="D1072" s="197">
        <v>8</v>
      </c>
      <c r="E1072" s="85"/>
      <c r="F1072" s="98"/>
      <c r="G1072" s="315">
        <f t="shared" si="145"/>
        <v>0</v>
      </c>
    </row>
    <row r="1073" spans="1:7">
      <c r="A1073" s="316" t="s">
        <v>193</v>
      </c>
      <c r="B1073" s="255" t="s">
        <v>412</v>
      </c>
      <c r="C1073" s="271" t="s">
        <v>114</v>
      </c>
      <c r="D1073" s="197">
        <v>1</v>
      </c>
      <c r="E1073" s="85"/>
      <c r="F1073" s="98"/>
      <c r="G1073" s="315">
        <f t="shared" si="145"/>
        <v>0</v>
      </c>
    </row>
    <row r="1074" spans="1:7">
      <c r="A1074" s="316" t="s">
        <v>194</v>
      </c>
      <c r="B1074" s="255" t="s">
        <v>413</v>
      </c>
      <c r="C1074" s="271" t="s">
        <v>114</v>
      </c>
      <c r="D1074" s="197">
        <v>1</v>
      </c>
      <c r="E1074" s="85"/>
      <c r="F1074" s="98"/>
      <c r="G1074" s="315">
        <f t="shared" si="145"/>
        <v>0</v>
      </c>
    </row>
    <row r="1075" spans="1:7">
      <c r="A1075" s="333"/>
      <c r="B1075" s="334"/>
      <c r="C1075" s="335"/>
      <c r="D1075" s="323"/>
      <c r="E1075" s="336"/>
      <c r="F1075" s="337"/>
      <c r="G1075" s="315"/>
    </row>
    <row r="1076" spans="1:7">
      <c r="A1076" s="324">
        <v>2</v>
      </c>
      <c r="B1076" s="325" t="s">
        <v>69</v>
      </c>
      <c r="C1076" s="326"/>
      <c r="D1076" s="327"/>
      <c r="E1076" s="328"/>
      <c r="F1076" s="329"/>
      <c r="G1076" s="330"/>
    </row>
    <row r="1077" spans="1:7">
      <c r="A1077" s="331" t="s">
        <v>199</v>
      </c>
      <c r="B1077" s="332" t="s">
        <v>404</v>
      </c>
      <c r="C1077" s="322"/>
      <c r="D1077" s="323"/>
      <c r="E1077" s="279"/>
      <c r="F1077" s="208"/>
      <c r="G1077" s="315">
        <f t="shared" ref="G1077:G1083" si="146">+D1077*E1077+D1077*F1077</f>
        <v>0</v>
      </c>
    </row>
    <row r="1078" spans="1:7">
      <c r="A1078" s="316" t="s">
        <v>177</v>
      </c>
      <c r="B1078" s="255" t="s">
        <v>408</v>
      </c>
      <c r="C1078" s="271" t="s">
        <v>114</v>
      </c>
      <c r="D1078" s="197">
        <v>7</v>
      </c>
      <c r="E1078" s="85"/>
      <c r="F1078" s="98"/>
      <c r="G1078" s="315">
        <f t="shared" si="146"/>
        <v>0</v>
      </c>
    </row>
    <row r="1079" spans="1:7" ht="24">
      <c r="A1079" s="316" t="s">
        <v>178</v>
      </c>
      <c r="B1079" s="255" t="s">
        <v>409</v>
      </c>
      <c r="C1079" s="271" t="s">
        <v>114</v>
      </c>
      <c r="D1079" s="197">
        <v>1</v>
      </c>
      <c r="E1079" s="85"/>
      <c r="F1079" s="98"/>
      <c r="G1079" s="315">
        <f t="shared" si="146"/>
        <v>0</v>
      </c>
    </row>
    <row r="1080" spans="1:7">
      <c r="A1080" s="316" t="s">
        <v>189</v>
      </c>
      <c r="B1080" s="255" t="s">
        <v>410</v>
      </c>
      <c r="C1080" s="271" t="s">
        <v>114</v>
      </c>
      <c r="D1080" s="197">
        <v>1</v>
      </c>
      <c r="E1080" s="85"/>
      <c r="F1080" s="98"/>
      <c r="G1080" s="315">
        <f t="shared" si="146"/>
        <v>0</v>
      </c>
    </row>
    <row r="1081" spans="1:7">
      <c r="A1081" s="316" t="s">
        <v>190</v>
      </c>
      <c r="B1081" s="255" t="s">
        <v>411</v>
      </c>
      <c r="C1081" s="271" t="s">
        <v>114</v>
      </c>
      <c r="D1081" s="197">
        <v>7</v>
      </c>
      <c r="E1081" s="85"/>
      <c r="F1081" s="98"/>
      <c r="G1081" s="315">
        <f t="shared" si="146"/>
        <v>0</v>
      </c>
    </row>
    <row r="1082" spans="1:7">
      <c r="A1082" s="316" t="s">
        <v>191</v>
      </c>
      <c r="B1082" s="255" t="s">
        <v>412</v>
      </c>
      <c r="C1082" s="271" t="s">
        <v>114</v>
      </c>
      <c r="D1082" s="197">
        <v>1</v>
      </c>
      <c r="E1082" s="85"/>
      <c r="F1082" s="98"/>
      <c r="G1082" s="315">
        <f t="shared" si="146"/>
        <v>0</v>
      </c>
    </row>
    <row r="1083" spans="1:7">
      <c r="A1083" s="316" t="s">
        <v>192</v>
      </c>
      <c r="B1083" s="255" t="s">
        <v>413</v>
      </c>
      <c r="C1083" s="271" t="s">
        <v>114</v>
      </c>
      <c r="D1083" s="197">
        <v>1</v>
      </c>
      <c r="E1083" s="85"/>
      <c r="F1083" s="98"/>
      <c r="G1083" s="315">
        <f t="shared" si="146"/>
        <v>0</v>
      </c>
    </row>
    <row r="1084" spans="1:7">
      <c r="A1084" s="333"/>
      <c r="B1084" s="334"/>
      <c r="C1084" s="335"/>
      <c r="D1084" s="323"/>
      <c r="E1084" s="336"/>
      <c r="F1084" s="337"/>
      <c r="G1084" s="315"/>
    </row>
    <row r="1085" spans="1:7">
      <c r="A1085" s="324">
        <v>3</v>
      </c>
      <c r="B1085" s="325" t="s">
        <v>71</v>
      </c>
      <c r="C1085" s="326"/>
      <c r="D1085" s="327"/>
      <c r="E1085" s="328"/>
      <c r="F1085" s="329"/>
      <c r="G1085" s="330"/>
    </row>
    <row r="1086" spans="1:7">
      <c r="A1086" s="331" t="s">
        <v>199</v>
      </c>
      <c r="B1086" s="332" t="s">
        <v>404</v>
      </c>
      <c r="C1086" s="322"/>
      <c r="D1086" s="323"/>
      <c r="E1086" s="279"/>
      <c r="F1086" s="208"/>
      <c r="G1086" s="315">
        <f t="shared" ref="G1086:G1092" si="147">+D1086*E1086+D1086*F1086</f>
        <v>0</v>
      </c>
    </row>
    <row r="1087" spans="1:7">
      <c r="A1087" s="316" t="s">
        <v>177</v>
      </c>
      <c r="B1087" s="255" t="s">
        <v>408</v>
      </c>
      <c r="C1087" s="271" t="s">
        <v>114</v>
      </c>
      <c r="D1087" s="197">
        <v>7</v>
      </c>
      <c r="E1087" s="85"/>
      <c r="F1087" s="98"/>
      <c r="G1087" s="315">
        <f t="shared" si="147"/>
        <v>0</v>
      </c>
    </row>
    <row r="1088" spans="1:7" ht="24">
      <c r="A1088" s="316" t="s">
        <v>178</v>
      </c>
      <c r="B1088" s="255" t="s">
        <v>409</v>
      </c>
      <c r="C1088" s="271" t="s">
        <v>114</v>
      </c>
      <c r="D1088" s="197">
        <v>1</v>
      </c>
      <c r="E1088" s="85"/>
      <c r="F1088" s="98"/>
      <c r="G1088" s="315">
        <f t="shared" si="147"/>
        <v>0</v>
      </c>
    </row>
    <row r="1089" spans="1:7">
      <c r="A1089" s="316" t="s">
        <v>189</v>
      </c>
      <c r="B1089" s="255" t="s">
        <v>410</v>
      </c>
      <c r="C1089" s="271" t="s">
        <v>114</v>
      </c>
      <c r="D1089" s="197">
        <v>1</v>
      </c>
      <c r="E1089" s="85"/>
      <c r="F1089" s="98"/>
      <c r="G1089" s="315">
        <f t="shared" si="147"/>
        <v>0</v>
      </c>
    </row>
    <row r="1090" spans="1:7">
      <c r="A1090" s="316" t="s">
        <v>190</v>
      </c>
      <c r="B1090" s="255" t="s">
        <v>411</v>
      </c>
      <c r="C1090" s="271" t="s">
        <v>114</v>
      </c>
      <c r="D1090" s="197">
        <v>7</v>
      </c>
      <c r="E1090" s="85"/>
      <c r="F1090" s="98"/>
      <c r="G1090" s="315">
        <f t="shared" si="147"/>
        <v>0</v>
      </c>
    </row>
    <row r="1091" spans="1:7">
      <c r="A1091" s="316" t="s">
        <v>191</v>
      </c>
      <c r="B1091" s="255" t="s">
        <v>412</v>
      </c>
      <c r="C1091" s="271" t="s">
        <v>114</v>
      </c>
      <c r="D1091" s="197">
        <v>1</v>
      </c>
      <c r="E1091" s="85"/>
      <c r="F1091" s="98"/>
      <c r="G1091" s="315">
        <f t="shared" si="147"/>
        <v>0</v>
      </c>
    </row>
    <row r="1092" spans="1:7">
      <c r="A1092" s="316" t="s">
        <v>192</v>
      </c>
      <c r="B1092" s="255" t="s">
        <v>413</v>
      </c>
      <c r="C1092" s="271" t="s">
        <v>114</v>
      </c>
      <c r="D1092" s="197">
        <v>1</v>
      </c>
      <c r="E1092" s="85"/>
      <c r="F1092" s="98"/>
      <c r="G1092" s="315">
        <f t="shared" si="147"/>
        <v>0</v>
      </c>
    </row>
    <row r="1093" spans="1:7">
      <c r="A1093" s="333"/>
      <c r="B1093" s="334"/>
      <c r="C1093" s="335"/>
      <c r="D1093" s="323"/>
      <c r="E1093" s="336"/>
      <c r="F1093" s="337"/>
      <c r="G1093" s="315"/>
    </row>
    <row r="1094" spans="1:7">
      <c r="A1094" s="333"/>
      <c r="B1094" s="334"/>
      <c r="C1094" s="335"/>
      <c r="D1094" s="323"/>
      <c r="E1094" s="336"/>
      <c r="F1094" s="337"/>
      <c r="G1094" s="315"/>
    </row>
    <row r="1095" spans="1:7">
      <c r="A1095" s="333"/>
      <c r="B1095" s="334"/>
      <c r="C1095" s="335"/>
      <c r="D1095" s="323"/>
      <c r="E1095" s="336"/>
      <c r="F1095" s="337"/>
      <c r="G1095" s="315"/>
    </row>
    <row r="1096" spans="1:7">
      <c r="A1096" s="333"/>
      <c r="B1096" s="334"/>
      <c r="C1096" s="335"/>
      <c r="D1096" s="323"/>
      <c r="E1096" s="336"/>
      <c r="F1096" s="337"/>
      <c r="G1096" s="315"/>
    </row>
    <row r="1097" spans="1:7">
      <c r="A1097" s="333"/>
      <c r="B1097" s="334"/>
      <c r="C1097" s="335"/>
      <c r="D1097" s="323"/>
      <c r="E1097" s="336"/>
      <c r="F1097" s="337"/>
      <c r="G1097" s="315"/>
    </row>
    <row r="1098" spans="1:7">
      <c r="A1098" s="333"/>
      <c r="B1098" s="334"/>
      <c r="C1098" s="335"/>
      <c r="D1098" s="323"/>
      <c r="E1098" s="336"/>
      <c r="F1098" s="337"/>
      <c r="G1098" s="315"/>
    </row>
    <row r="1099" spans="1:7">
      <c r="A1099" s="333"/>
      <c r="B1099" s="334"/>
      <c r="C1099" s="335"/>
      <c r="D1099" s="323"/>
      <c r="E1099" s="336"/>
      <c r="F1099" s="337"/>
      <c r="G1099" s="315"/>
    </row>
    <row r="1100" spans="1:7">
      <c r="A1100" s="333"/>
      <c r="B1100" s="334"/>
      <c r="C1100" s="335"/>
      <c r="D1100" s="323"/>
      <c r="E1100" s="336"/>
      <c r="F1100" s="337"/>
      <c r="G1100" s="315"/>
    </row>
    <row r="1101" spans="1:7" ht="12.75" thickBot="1">
      <c r="A1101" s="333"/>
      <c r="B1101" s="334"/>
      <c r="C1101" s="335"/>
      <c r="D1101" s="323"/>
      <c r="E1101" s="336"/>
      <c r="F1101" s="337"/>
      <c r="G1101" s="315"/>
    </row>
    <row r="1102" spans="1:7">
      <c r="A1102" s="349"/>
      <c r="B1102" s="68" t="s">
        <v>414</v>
      </c>
      <c r="C1102" s="350"/>
      <c r="D1102" s="72"/>
      <c r="E1102" s="351"/>
      <c r="F1102" s="352"/>
      <c r="G1102" s="73"/>
    </row>
    <row r="1103" spans="1:7" ht="12.75" thickBot="1">
      <c r="A1103" s="353"/>
      <c r="B1103" s="75" t="s">
        <v>415</v>
      </c>
      <c r="C1103" s="354"/>
      <c r="D1103" s="79"/>
      <c r="E1103" s="355"/>
      <c r="F1103" s="356"/>
      <c r="G1103" s="80">
        <f>SUM(G1059:G1102)</f>
        <v>0</v>
      </c>
    </row>
    <row r="1104" spans="1:7">
      <c r="A1104" s="316"/>
      <c r="B1104" s="82" t="s">
        <v>429</v>
      </c>
      <c r="C1104" s="95"/>
      <c r="D1104" s="197"/>
      <c r="E1104" s="85"/>
      <c r="F1104" s="98"/>
      <c r="G1104" s="99"/>
    </row>
    <row r="1105" spans="1:7">
      <c r="A1105" s="316"/>
      <c r="B1105" s="88" t="s">
        <v>426</v>
      </c>
      <c r="C1105" s="95"/>
      <c r="D1105" s="197"/>
      <c r="E1105" s="85"/>
      <c r="F1105" s="98"/>
      <c r="G1105" s="99"/>
    </row>
    <row r="1106" spans="1:7">
      <c r="A1106" s="317">
        <v>13.1</v>
      </c>
      <c r="B1106" s="264" t="s">
        <v>41</v>
      </c>
      <c r="C1106" s="318"/>
      <c r="D1106" s="319"/>
      <c r="E1106" s="146"/>
      <c r="F1106" s="238"/>
      <c r="G1106" s="239"/>
    </row>
    <row r="1107" spans="1:7">
      <c r="A1107" s="338"/>
      <c r="B1107" s="264" t="s">
        <v>428</v>
      </c>
      <c r="C1107" s="318"/>
      <c r="D1107" s="319"/>
      <c r="E1107" s="146"/>
      <c r="F1107" s="238"/>
      <c r="G1107" s="239"/>
    </row>
    <row r="1108" spans="1:7">
      <c r="A1108" s="316"/>
      <c r="B1108" s="255"/>
      <c r="C1108" s="271"/>
      <c r="D1108" s="197"/>
      <c r="E1108" s="85"/>
      <c r="F1108" s="98"/>
      <c r="G1108" s="99"/>
    </row>
    <row r="1109" spans="1:7">
      <c r="A1109" s="316"/>
      <c r="B1109" s="255"/>
      <c r="C1109" s="271"/>
      <c r="D1109" s="197"/>
      <c r="E1109" s="85"/>
      <c r="F1109" s="98"/>
      <c r="G1109" s="99"/>
    </row>
    <row r="1110" spans="1:7">
      <c r="A1110" s="316"/>
      <c r="B1110" s="255"/>
      <c r="C1110" s="271"/>
      <c r="D1110" s="197"/>
      <c r="E1110" s="85"/>
      <c r="F1110" s="98"/>
      <c r="G1110" s="99"/>
    </row>
    <row r="1111" spans="1:7">
      <c r="A1111" s="316"/>
      <c r="B1111" s="255"/>
      <c r="C1111" s="271"/>
      <c r="D1111" s="197"/>
      <c r="E1111" s="85"/>
      <c r="F1111" s="98"/>
      <c r="G1111" s="99"/>
    </row>
    <row r="1112" spans="1:7">
      <c r="A1112" s="316"/>
      <c r="B1112" s="255"/>
      <c r="C1112" s="271"/>
      <c r="D1112" s="197"/>
      <c r="E1112" s="85"/>
      <c r="F1112" s="98"/>
      <c r="G1112" s="99"/>
    </row>
    <row r="1113" spans="1:7">
      <c r="A1113" s="316"/>
      <c r="B1113" s="255"/>
      <c r="C1113" s="271"/>
      <c r="D1113" s="197"/>
      <c r="E1113" s="85"/>
      <c r="F1113" s="98"/>
      <c r="G1113" s="99"/>
    </row>
    <row r="1114" spans="1:7">
      <c r="A1114" s="316"/>
      <c r="B1114" s="255"/>
      <c r="C1114" s="271"/>
      <c r="D1114" s="197"/>
      <c r="E1114" s="85"/>
      <c r="F1114" s="98"/>
      <c r="G1114" s="99"/>
    </row>
    <row r="1115" spans="1:7">
      <c r="A1115" s="316"/>
      <c r="B1115" s="255"/>
      <c r="C1115" s="271"/>
      <c r="D1115" s="197"/>
      <c r="E1115" s="85"/>
      <c r="F1115" s="98"/>
      <c r="G1115" s="99"/>
    </row>
    <row r="1116" spans="1:7">
      <c r="A1116" s="316"/>
      <c r="B1116" s="255"/>
      <c r="C1116" s="271"/>
      <c r="D1116" s="197"/>
      <c r="E1116" s="85"/>
      <c r="F1116" s="98"/>
      <c r="G1116" s="99"/>
    </row>
    <row r="1117" spans="1:7">
      <c r="A1117" s="316"/>
      <c r="B1117" s="255"/>
      <c r="C1117" s="271"/>
      <c r="D1117" s="197"/>
      <c r="E1117" s="85"/>
      <c r="F1117" s="98"/>
      <c r="G1117" s="99"/>
    </row>
    <row r="1118" spans="1:7">
      <c r="A1118" s="316"/>
      <c r="B1118" s="255"/>
      <c r="C1118" s="271"/>
      <c r="D1118" s="197"/>
      <c r="E1118" s="85"/>
      <c r="F1118" s="98"/>
      <c r="G1118" s="99"/>
    </row>
    <row r="1119" spans="1:7">
      <c r="A1119" s="316"/>
      <c r="B1119" s="255"/>
      <c r="C1119" s="271"/>
      <c r="D1119" s="197"/>
      <c r="E1119" s="85"/>
      <c r="F1119" s="98"/>
      <c r="G1119" s="99"/>
    </row>
    <row r="1120" spans="1:7">
      <c r="A1120" s="316"/>
      <c r="B1120" s="255"/>
      <c r="C1120" s="271"/>
      <c r="D1120" s="197"/>
      <c r="E1120" s="85"/>
      <c r="F1120" s="98"/>
      <c r="G1120" s="99"/>
    </row>
    <row r="1121" spans="1:7">
      <c r="A1121" s="316"/>
      <c r="B1121" s="255"/>
      <c r="C1121" s="271"/>
      <c r="D1121" s="197"/>
      <c r="E1121" s="85"/>
      <c r="F1121" s="98"/>
      <c r="G1121" s="99"/>
    </row>
    <row r="1122" spans="1:7">
      <c r="A1122" s="316"/>
      <c r="B1122" s="255"/>
      <c r="C1122" s="271"/>
      <c r="D1122" s="197"/>
      <c r="E1122" s="85"/>
      <c r="F1122" s="98"/>
      <c r="G1122" s="99"/>
    </row>
    <row r="1123" spans="1:7">
      <c r="A1123" s="316"/>
      <c r="B1123" s="255"/>
      <c r="C1123" s="271"/>
      <c r="D1123" s="197"/>
      <c r="E1123" s="85"/>
      <c r="F1123" s="98"/>
      <c r="G1123" s="99"/>
    </row>
    <row r="1124" spans="1:7">
      <c r="A1124" s="316"/>
      <c r="B1124" s="255"/>
      <c r="C1124" s="271"/>
      <c r="D1124" s="197"/>
      <c r="E1124" s="85"/>
      <c r="F1124" s="98"/>
      <c r="G1124" s="99"/>
    </row>
    <row r="1125" spans="1:7">
      <c r="A1125" s="316"/>
      <c r="B1125" s="255"/>
      <c r="C1125" s="271"/>
      <c r="D1125" s="197"/>
      <c r="E1125" s="85"/>
      <c r="F1125" s="98"/>
      <c r="G1125" s="99"/>
    </row>
    <row r="1126" spans="1:7">
      <c r="A1126" s="316"/>
      <c r="B1126" s="255"/>
      <c r="C1126" s="271"/>
      <c r="D1126" s="197"/>
      <c r="E1126" s="85"/>
      <c r="F1126" s="98"/>
      <c r="G1126" s="99"/>
    </row>
    <row r="1127" spans="1:7">
      <c r="A1127" s="316"/>
      <c r="B1127" s="255"/>
      <c r="C1127" s="271"/>
      <c r="D1127" s="197"/>
      <c r="E1127" s="85"/>
      <c r="F1127" s="98"/>
      <c r="G1127" s="99"/>
    </row>
    <row r="1128" spans="1:7">
      <c r="A1128" s="316"/>
      <c r="B1128" s="255"/>
      <c r="C1128" s="271"/>
      <c r="D1128" s="197"/>
      <c r="E1128" s="85"/>
      <c r="F1128" s="98"/>
      <c r="G1128" s="99"/>
    </row>
    <row r="1129" spans="1:7">
      <c r="A1129" s="316"/>
      <c r="B1129" s="255"/>
      <c r="C1129" s="271"/>
      <c r="D1129" s="197"/>
      <c r="E1129" s="85"/>
      <c r="F1129" s="98"/>
      <c r="G1129" s="99"/>
    </row>
    <row r="1130" spans="1:7">
      <c r="A1130" s="316"/>
      <c r="B1130" s="255"/>
      <c r="C1130" s="271"/>
      <c r="D1130" s="197"/>
      <c r="E1130" s="85"/>
      <c r="F1130" s="98"/>
      <c r="G1130" s="99"/>
    </row>
    <row r="1131" spans="1:7">
      <c r="A1131" s="316"/>
      <c r="B1131" s="255"/>
      <c r="C1131" s="271"/>
      <c r="D1131" s="197"/>
      <c r="E1131" s="85"/>
      <c r="F1131" s="98"/>
      <c r="G1131" s="99"/>
    </row>
    <row r="1132" spans="1:7">
      <c r="A1132" s="316"/>
      <c r="B1132" s="255"/>
      <c r="C1132" s="271"/>
      <c r="D1132" s="197"/>
      <c r="E1132" s="85"/>
      <c r="F1132" s="98"/>
      <c r="G1132" s="99"/>
    </row>
    <row r="1133" spans="1:7">
      <c r="A1133" s="316"/>
      <c r="B1133" s="255"/>
      <c r="C1133" s="271"/>
      <c r="D1133" s="197"/>
      <c r="E1133" s="85"/>
      <c r="F1133" s="98"/>
      <c r="G1133" s="99"/>
    </row>
    <row r="1134" spans="1:7">
      <c r="A1134" s="316"/>
      <c r="B1134" s="255"/>
      <c r="C1134" s="271"/>
      <c r="D1134" s="197"/>
      <c r="E1134" s="85"/>
      <c r="F1134" s="98"/>
      <c r="G1134" s="99"/>
    </row>
    <row r="1135" spans="1:7">
      <c r="A1135" s="316"/>
      <c r="B1135" s="255"/>
      <c r="C1135" s="271"/>
      <c r="D1135" s="197"/>
      <c r="E1135" s="85"/>
      <c r="F1135" s="98"/>
      <c r="G1135" s="99"/>
    </row>
    <row r="1136" spans="1:7">
      <c r="A1136" s="316"/>
      <c r="B1136" s="255"/>
      <c r="C1136" s="271"/>
      <c r="D1136" s="197"/>
      <c r="E1136" s="85"/>
      <c r="F1136" s="98"/>
      <c r="G1136" s="99"/>
    </row>
    <row r="1137" spans="1:7">
      <c r="A1137" s="316"/>
      <c r="B1137" s="255"/>
      <c r="C1137" s="271"/>
      <c r="D1137" s="197"/>
      <c r="E1137" s="85"/>
      <c r="F1137" s="98"/>
      <c r="G1137" s="99"/>
    </row>
    <row r="1138" spans="1:7">
      <c r="A1138" s="316"/>
      <c r="B1138" s="255"/>
      <c r="C1138" s="271"/>
      <c r="D1138" s="197"/>
      <c r="E1138" s="85"/>
      <c r="F1138" s="98"/>
      <c r="G1138" s="99"/>
    </row>
    <row r="1139" spans="1:7">
      <c r="A1139" s="316"/>
      <c r="B1139" s="255"/>
      <c r="C1139" s="271"/>
      <c r="D1139" s="197"/>
      <c r="E1139" s="85"/>
      <c r="F1139" s="98"/>
      <c r="G1139" s="99"/>
    </row>
    <row r="1140" spans="1:7">
      <c r="A1140" s="316"/>
      <c r="B1140" s="255"/>
      <c r="C1140" s="271"/>
      <c r="D1140" s="197"/>
      <c r="E1140" s="85"/>
      <c r="F1140" s="98"/>
      <c r="G1140" s="99"/>
    </row>
    <row r="1141" spans="1:7">
      <c r="A1141" s="316"/>
      <c r="B1141" s="255"/>
      <c r="C1141" s="271"/>
      <c r="D1141" s="197"/>
      <c r="E1141" s="85"/>
      <c r="F1141" s="98"/>
      <c r="G1141" s="99"/>
    </row>
    <row r="1142" spans="1:7">
      <c r="A1142" s="316"/>
      <c r="B1142" s="255"/>
      <c r="C1142" s="271"/>
      <c r="D1142" s="197"/>
      <c r="E1142" s="85"/>
      <c r="F1142" s="98"/>
      <c r="G1142" s="99"/>
    </row>
    <row r="1143" spans="1:7">
      <c r="A1143" s="316"/>
      <c r="B1143" s="255"/>
      <c r="C1143" s="271"/>
      <c r="D1143" s="197"/>
      <c r="E1143" s="85"/>
      <c r="F1143" s="98"/>
      <c r="G1143" s="99"/>
    </row>
    <row r="1144" spans="1:7">
      <c r="A1144" s="316"/>
      <c r="B1144" s="255"/>
      <c r="C1144" s="271"/>
      <c r="D1144" s="197"/>
      <c r="E1144" s="85"/>
      <c r="F1144" s="98"/>
      <c r="G1144" s="99"/>
    </row>
    <row r="1145" spans="1:7">
      <c r="A1145" s="316"/>
      <c r="B1145" s="255"/>
      <c r="C1145" s="271"/>
      <c r="D1145" s="197"/>
      <c r="E1145" s="85"/>
      <c r="F1145" s="98"/>
      <c r="G1145" s="99"/>
    </row>
    <row r="1146" spans="1:7">
      <c r="A1146" s="316"/>
      <c r="B1146" s="255"/>
      <c r="C1146" s="271"/>
      <c r="D1146" s="197"/>
      <c r="E1146" s="85"/>
      <c r="F1146" s="98"/>
      <c r="G1146" s="99"/>
    </row>
    <row r="1147" spans="1:7">
      <c r="A1147" s="316"/>
      <c r="B1147" s="255"/>
      <c r="C1147" s="271"/>
      <c r="D1147" s="197"/>
      <c r="E1147" s="85"/>
      <c r="F1147" s="98"/>
      <c r="G1147" s="99"/>
    </row>
    <row r="1148" spans="1:7">
      <c r="A1148" s="316"/>
      <c r="B1148" s="255"/>
      <c r="C1148" s="271"/>
      <c r="D1148" s="197"/>
      <c r="E1148" s="85"/>
      <c r="F1148" s="98"/>
      <c r="G1148" s="99"/>
    </row>
    <row r="1149" spans="1:7">
      <c r="A1149" s="316"/>
      <c r="B1149" s="255"/>
      <c r="C1149" s="271"/>
      <c r="D1149" s="197"/>
      <c r="E1149" s="85"/>
      <c r="F1149" s="98"/>
      <c r="G1149" s="99"/>
    </row>
    <row r="1150" spans="1:7">
      <c r="A1150" s="316"/>
      <c r="B1150" s="255"/>
      <c r="C1150" s="271"/>
      <c r="D1150" s="197"/>
      <c r="E1150" s="85"/>
      <c r="F1150" s="98"/>
      <c r="G1150" s="99"/>
    </row>
    <row r="1151" spans="1:7">
      <c r="A1151" s="316"/>
      <c r="B1151" s="255"/>
      <c r="C1151" s="271"/>
      <c r="D1151" s="197"/>
      <c r="E1151" s="85"/>
      <c r="F1151" s="98"/>
      <c r="G1151" s="99"/>
    </row>
    <row r="1152" spans="1:7">
      <c r="A1152" s="316"/>
      <c r="B1152" s="255"/>
      <c r="C1152" s="271"/>
      <c r="D1152" s="197"/>
      <c r="E1152" s="85"/>
      <c r="F1152" s="98"/>
      <c r="G1152" s="99"/>
    </row>
    <row r="1153" spans="1:7">
      <c r="A1153" s="316"/>
      <c r="B1153" s="255"/>
      <c r="C1153" s="271"/>
      <c r="D1153" s="197"/>
      <c r="E1153" s="85"/>
      <c r="F1153" s="98"/>
      <c r="G1153" s="99"/>
    </row>
    <row r="1154" spans="1:7">
      <c r="A1154" s="316"/>
      <c r="B1154" s="255"/>
      <c r="C1154" s="271"/>
      <c r="D1154" s="197"/>
      <c r="E1154" s="85"/>
      <c r="F1154" s="98"/>
      <c r="G1154" s="99"/>
    </row>
    <row r="1155" spans="1:7">
      <c r="A1155" s="316"/>
      <c r="B1155" s="255"/>
      <c r="C1155" s="271"/>
      <c r="D1155" s="197"/>
      <c r="E1155" s="85"/>
      <c r="F1155" s="98"/>
      <c r="G1155" s="99"/>
    </row>
    <row r="1156" spans="1:7">
      <c r="A1156" s="316"/>
      <c r="B1156" s="255"/>
      <c r="C1156" s="271"/>
      <c r="D1156" s="197"/>
      <c r="E1156" s="85"/>
      <c r="F1156" s="98"/>
      <c r="G1156" s="99"/>
    </row>
    <row r="1157" spans="1:7">
      <c r="A1157" s="316"/>
      <c r="B1157" s="255"/>
      <c r="C1157" s="271"/>
      <c r="D1157" s="197"/>
      <c r="E1157" s="85"/>
      <c r="F1157" s="98"/>
      <c r="G1157" s="99"/>
    </row>
    <row r="1158" spans="1:7">
      <c r="A1158" s="316"/>
      <c r="B1158" s="255"/>
      <c r="C1158" s="271"/>
      <c r="D1158" s="197"/>
      <c r="E1158" s="85"/>
      <c r="F1158" s="98"/>
      <c r="G1158" s="99"/>
    </row>
    <row r="1159" spans="1:7">
      <c r="A1159" s="316"/>
      <c r="B1159" s="255"/>
      <c r="C1159" s="271"/>
      <c r="D1159" s="197"/>
      <c r="E1159" s="85"/>
      <c r="F1159" s="98"/>
      <c r="G1159" s="99"/>
    </row>
    <row r="1160" spans="1:7" ht="12.75" thickBot="1">
      <c r="A1160" s="316"/>
      <c r="B1160" s="255"/>
      <c r="C1160" s="271"/>
      <c r="D1160" s="197"/>
      <c r="E1160" s="85"/>
      <c r="F1160" s="98"/>
      <c r="G1160" s="99"/>
    </row>
    <row r="1161" spans="1:7">
      <c r="A1161" s="349"/>
      <c r="B1161" s="68" t="s">
        <v>432</v>
      </c>
      <c r="C1161" s="350"/>
      <c r="D1161" s="72"/>
      <c r="E1161" s="351"/>
      <c r="F1161" s="352"/>
      <c r="G1161" s="73"/>
    </row>
    <row r="1162" spans="1:7" ht="12.75" thickBot="1">
      <c r="A1162" s="353"/>
      <c r="B1162" s="75" t="s">
        <v>431</v>
      </c>
      <c r="C1162" s="354"/>
      <c r="D1162" s="79"/>
      <c r="E1162" s="355"/>
      <c r="F1162" s="356"/>
      <c r="G1162" s="80">
        <f>SUM(G911:G1161)</f>
        <v>0</v>
      </c>
    </row>
    <row r="1163" spans="1:7">
      <c r="A1163" s="316"/>
      <c r="B1163" s="82" t="s">
        <v>433</v>
      </c>
      <c r="C1163" s="95"/>
      <c r="D1163" s="197"/>
      <c r="E1163" s="85"/>
      <c r="F1163" s="98"/>
      <c r="G1163" s="99"/>
    </row>
    <row r="1164" spans="1:7">
      <c r="A1164" s="316"/>
      <c r="B1164" s="88" t="s">
        <v>427</v>
      </c>
      <c r="C1164" s="95"/>
      <c r="D1164" s="197"/>
      <c r="E1164" s="85"/>
      <c r="F1164" s="98"/>
      <c r="G1164" s="99"/>
    </row>
    <row r="1165" spans="1:7">
      <c r="A1165" s="317">
        <v>14.1</v>
      </c>
      <c r="B1165" s="264" t="s">
        <v>41</v>
      </c>
      <c r="C1165" s="318"/>
      <c r="D1165" s="319"/>
      <c r="E1165" s="146"/>
      <c r="F1165" s="238"/>
      <c r="G1165" s="239"/>
    </row>
    <row r="1166" spans="1:7">
      <c r="A1166" s="339"/>
      <c r="B1166" s="340" t="s">
        <v>430</v>
      </c>
      <c r="C1166" s="109"/>
      <c r="D1166" s="197"/>
      <c r="E1166" s="212"/>
      <c r="F1166" s="192"/>
      <c r="G1166" s="225"/>
    </row>
    <row r="1167" spans="1:7">
      <c r="A1167" s="316"/>
      <c r="B1167" s="255"/>
      <c r="C1167" s="271"/>
      <c r="D1167" s="197"/>
      <c r="E1167" s="85"/>
      <c r="F1167" s="98"/>
      <c r="G1167" s="99"/>
    </row>
    <row r="1168" spans="1:7">
      <c r="A1168" s="316"/>
      <c r="B1168" s="255"/>
      <c r="C1168" s="271"/>
      <c r="D1168" s="197"/>
      <c r="E1168" s="85"/>
      <c r="F1168" s="98"/>
      <c r="G1168" s="99"/>
    </row>
    <row r="1169" spans="1:7">
      <c r="A1169" s="316"/>
      <c r="B1169" s="255"/>
      <c r="C1169" s="271"/>
      <c r="D1169" s="197"/>
      <c r="E1169" s="85"/>
      <c r="F1169" s="98"/>
      <c r="G1169" s="99"/>
    </row>
    <row r="1170" spans="1:7">
      <c r="A1170" s="316"/>
      <c r="B1170" s="255"/>
      <c r="C1170" s="271"/>
      <c r="D1170" s="197"/>
      <c r="E1170" s="85"/>
      <c r="F1170" s="98"/>
      <c r="G1170" s="99"/>
    </row>
    <row r="1171" spans="1:7">
      <c r="A1171" s="316"/>
      <c r="B1171" s="255"/>
      <c r="C1171" s="271"/>
      <c r="D1171" s="197"/>
      <c r="E1171" s="85"/>
      <c r="F1171" s="98"/>
      <c r="G1171" s="99"/>
    </row>
    <row r="1172" spans="1:7">
      <c r="A1172" s="316"/>
      <c r="B1172" s="255"/>
      <c r="C1172" s="271"/>
      <c r="D1172" s="197"/>
      <c r="E1172" s="85"/>
      <c r="F1172" s="98"/>
      <c r="G1172" s="99"/>
    </row>
    <row r="1173" spans="1:7">
      <c r="A1173" s="316"/>
      <c r="B1173" s="255"/>
      <c r="C1173" s="271"/>
      <c r="D1173" s="197"/>
      <c r="E1173" s="85"/>
      <c r="F1173" s="98"/>
      <c r="G1173" s="99"/>
    </row>
    <row r="1174" spans="1:7">
      <c r="A1174" s="316"/>
      <c r="B1174" s="255"/>
      <c r="C1174" s="271"/>
      <c r="D1174" s="197"/>
      <c r="E1174" s="85"/>
      <c r="F1174" s="98"/>
      <c r="G1174" s="99"/>
    </row>
    <row r="1175" spans="1:7">
      <c r="A1175" s="316"/>
      <c r="B1175" s="255"/>
      <c r="C1175" s="271"/>
      <c r="D1175" s="197"/>
      <c r="E1175" s="85"/>
      <c r="F1175" s="98"/>
      <c r="G1175" s="99"/>
    </row>
    <row r="1176" spans="1:7">
      <c r="A1176" s="316"/>
      <c r="B1176" s="255"/>
      <c r="C1176" s="271"/>
      <c r="D1176" s="197"/>
      <c r="E1176" s="85"/>
      <c r="F1176" s="98"/>
      <c r="G1176" s="99"/>
    </row>
    <row r="1177" spans="1:7">
      <c r="A1177" s="316"/>
      <c r="B1177" s="255"/>
      <c r="C1177" s="271"/>
      <c r="D1177" s="197"/>
      <c r="E1177" s="85"/>
      <c r="F1177" s="98"/>
      <c r="G1177" s="99"/>
    </row>
    <row r="1178" spans="1:7">
      <c r="A1178" s="316"/>
      <c r="B1178" s="255"/>
      <c r="C1178" s="271"/>
      <c r="D1178" s="197"/>
      <c r="E1178" s="85"/>
      <c r="F1178" s="98"/>
      <c r="G1178" s="99"/>
    </row>
    <row r="1179" spans="1:7">
      <c r="A1179" s="316"/>
      <c r="B1179" s="255"/>
      <c r="C1179" s="271"/>
      <c r="D1179" s="197"/>
      <c r="E1179" s="85"/>
      <c r="F1179" s="98"/>
      <c r="G1179" s="99"/>
    </row>
    <row r="1180" spans="1:7">
      <c r="A1180" s="316"/>
      <c r="B1180" s="255"/>
      <c r="C1180" s="271"/>
      <c r="D1180" s="197"/>
      <c r="E1180" s="85"/>
      <c r="F1180" s="98"/>
      <c r="G1180" s="99"/>
    </row>
    <row r="1181" spans="1:7">
      <c r="A1181" s="316"/>
      <c r="B1181" s="255"/>
      <c r="C1181" s="271"/>
      <c r="D1181" s="197"/>
      <c r="E1181" s="85"/>
      <c r="F1181" s="98"/>
      <c r="G1181" s="99"/>
    </row>
    <row r="1182" spans="1:7">
      <c r="A1182" s="316"/>
      <c r="B1182" s="255"/>
      <c r="C1182" s="271"/>
      <c r="D1182" s="197"/>
      <c r="E1182" s="85"/>
      <c r="F1182" s="98"/>
      <c r="G1182" s="99"/>
    </row>
    <row r="1183" spans="1:7">
      <c r="A1183" s="316"/>
      <c r="B1183" s="255"/>
      <c r="C1183" s="271"/>
      <c r="D1183" s="197"/>
      <c r="E1183" s="85"/>
      <c r="F1183" s="98"/>
      <c r="G1183" s="99"/>
    </row>
    <row r="1184" spans="1:7">
      <c r="A1184" s="316"/>
      <c r="B1184" s="255"/>
      <c r="C1184" s="271"/>
      <c r="D1184" s="197"/>
      <c r="E1184" s="85"/>
      <c r="F1184" s="98"/>
      <c r="G1184" s="99"/>
    </row>
    <row r="1185" spans="1:7">
      <c r="A1185" s="316"/>
      <c r="B1185" s="255"/>
      <c r="C1185" s="271"/>
      <c r="D1185" s="197"/>
      <c r="E1185" s="85"/>
      <c r="F1185" s="98"/>
      <c r="G1185" s="99"/>
    </row>
    <row r="1186" spans="1:7">
      <c r="A1186" s="316"/>
      <c r="B1186" s="255"/>
      <c r="C1186" s="271"/>
      <c r="D1186" s="197"/>
      <c r="E1186" s="85"/>
      <c r="F1186" s="98"/>
      <c r="G1186" s="99"/>
    </row>
    <row r="1187" spans="1:7">
      <c r="A1187" s="316"/>
      <c r="B1187" s="255"/>
      <c r="C1187" s="271"/>
      <c r="D1187" s="197"/>
      <c r="E1187" s="85"/>
      <c r="F1187" s="98"/>
      <c r="G1187" s="99"/>
    </row>
    <row r="1188" spans="1:7">
      <c r="A1188" s="316"/>
      <c r="B1188" s="255"/>
      <c r="C1188" s="271"/>
      <c r="D1188" s="197"/>
      <c r="E1188" s="85"/>
      <c r="F1188" s="98"/>
      <c r="G1188" s="99"/>
    </row>
    <row r="1189" spans="1:7">
      <c r="A1189" s="316"/>
      <c r="B1189" s="255"/>
      <c r="C1189" s="271"/>
      <c r="D1189" s="197"/>
      <c r="E1189" s="85"/>
      <c r="F1189" s="98"/>
      <c r="G1189" s="99"/>
    </row>
    <row r="1190" spans="1:7">
      <c r="A1190" s="316"/>
      <c r="B1190" s="255"/>
      <c r="C1190" s="271"/>
      <c r="D1190" s="197"/>
      <c r="E1190" s="85"/>
      <c r="F1190" s="98"/>
      <c r="G1190" s="99"/>
    </row>
    <row r="1191" spans="1:7">
      <c r="A1191" s="316"/>
      <c r="B1191" s="255"/>
      <c r="C1191" s="271"/>
      <c r="D1191" s="197"/>
      <c r="E1191" s="85"/>
      <c r="F1191" s="98"/>
      <c r="G1191" s="99"/>
    </row>
    <row r="1192" spans="1:7">
      <c r="A1192" s="316"/>
      <c r="B1192" s="255"/>
      <c r="C1192" s="271"/>
      <c r="D1192" s="197"/>
      <c r="E1192" s="85"/>
      <c r="F1192" s="98"/>
      <c r="G1192" s="99"/>
    </row>
    <row r="1193" spans="1:7">
      <c r="A1193" s="316"/>
      <c r="B1193" s="255"/>
      <c r="C1193" s="271"/>
      <c r="D1193" s="197"/>
      <c r="E1193" s="85"/>
      <c r="F1193" s="98"/>
      <c r="G1193" s="99"/>
    </row>
    <row r="1194" spans="1:7">
      <c r="A1194" s="316"/>
      <c r="B1194" s="255"/>
      <c r="C1194" s="271"/>
      <c r="D1194" s="197"/>
      <c r="E1194" s="85"/>
      <c r="F1194" s="98"/>
      <c r="G1194" s="99"/>
    </row>
    <row r="1195" spans="1:7">
      <c r="A1195" s="316"/>
      <c r="B1195" s="255"/>
      <c r="C1195" s="271"/>
      <c r="D1195" s="197"/>
      <c r="E1195" s="85"/>
      <c r="F1195" s="98"/>
      <c r="G1195" s="99"/>
    </row>
    <row r="1196" spans="1:7">
      <c r="A1196" s="316"/>
      <c r="B1196" s="255"/>
      <c r="C1196" s="271"/>
      <c r="D1196" s="197"/>
      <c r="E1196" s="85"/>
      <c r="F1196" s="98"/>
      <c r="G1196" s="99"/>
    </row>
    <row r="1197" spans="1:7">
      <c r="A1197" s="316"/>
      <c r="B1197" s="255"/>
      <c r="C1197" s="271"/>
      <c r="D1197" s="197"/>
      <c r="E1197" s="85"/>
      <c r="F1197" s="98"/>
      <c r="G1197" s="99"/>
    </row>
    <row r="1198" spans="1:7">
      <c r="A1198" s="316"/>
      <c r="B1198" s="255"/>
      <c r="C1198" s="271"/>
      <c r="D1198" s="197"/>
      <c r="E1198" s="85"/>
      <c r="F1198" s="98"/>
      <c r="G1198" s="99"/>
    </row>
    <row r="1199" spans="1:7">
      <c r="A1199" s="316"/>
      <c r="B1199" s="255"/>
      <c r="C1199" s="271"/>
      <c r="D1199" s="197"/>
      <c r="E1199" s="85"/>
      <c r="F1199" s="98"/>
      <c r="G1199" s="99"/>
    </row>
    <row r="1200" spans="1:7">
      <c r="A1200" s="316"/>
      <c r="B1200" s="255"/>
      <c r="C1200" s="271"/>
      <c r="D1200" s="197"/>
      <c r="E1200" s="85"/>
      <c r="F1200" s="98"/>
      <c r="G1200" s="99"/>
    </row>
    <row r="1201" spans="1:7">
      <c r="A1201" s="316"/>
      <c r="B1201" s="255"/>
      <c r="C1201" s="271"/>
      <c r="D1201" s="197"/>
      <c r="E1201" s="85"/>
      <c r="F1201" s="98"/>
      <c r="G1201" s="99"/>
    </row>
    <row r="1202" spans="1:7">
      <c r="A1202" s="316"/>
      <c r="B1202" s="255"/>
      <c r="C1202" s="271"/>
      <c r="D1202" s="197"/>
      <c r="E1202" s="85"/>
      <c r="F1202" s="98"/>
      <c r="G1202" s="99"/>
    </row>
    <row r="1203" spans="1:7">
      <c r="A1203" s="316"/>
      <c r="B1203" s="255"/>
      <c r="C1203" s="271"/>
      <c r="D1203" s="197"/>
      <c r="E1203" s="85"/>
      <c r="F1203" s="98"/>
      <c r="G1203" s="99"/>
    </row>
    <row r="1204" spans="1:7">
      <c r="A1204" s="316"/>
      <c r="B1204" s="255"/>
      <c r="C1204" s="271"/>
      <c r="D1204" s="197"/>
      <c r="E1204" s="85"/>
      <c r="F1204" s="98"/>
      <c r="G1204" s="99"/>
    </row>
    <row r="1205" spans="1:7">
      <c r="A1205" s="316"/>
      <c r="B1205" s="255"/>
      <c r="C1205" s="271"/>
      <c r="D1205" s="197"/>
      <c r="E1205" s="85"/>
      <c r="F1205" s="98"/>
      <c r="G1205" s="99"/>
    </row>
    <row r="1206" spans="1:7">
      <c r="A1206" s="316"/>
      <c r="B1206" s="255"/>
      <c r="C1206" s="271"/>
      <c r="D1206" s="197"/>
      <c r="E1206" s="85"/>
      <c r="F1206" s="98"/>
      <c r="G1206" s="99"/>
    </row>
    <row r="1207" spans="1:7">
      <c r="A1207" s="316"/>
      <c r="B1207" s="255"/>
      <c r="C1207" s="271"/>
      <c r="D1207" s="197"/>
      <c r="E1207" s="85"/>
      <c r="F1207" s="98"/>
      <c r="G1207" s="99"/>
    </row>
    <row r="1208" spans="1:7">
      <c r="A1208" s="316"/>
      <c r="B1208" s="255"/>
      <c r="C1208" s="271"/>
      <c r="D1208" s="197"/>
      <c r="E1208" s="85"/>
      <c r="F1208" s="98"/>
      <c r="G1208" s="99"/>
    </row>
    <row r="1209" spans="1:7">
      <c r="A1209" s="316"/>
      <c r="B1209" s="255"/>
      <c r="C1209" s="271"/>
      <c r="D1209" s="197"/>
      <c r="E1209" s="85"/>
      <c r="F1209" s="98"/>
      <c r="G1209" s="99"/>
    </row>
    <row r="1210" spans="1:7">
      <c r="A1210" s="316"/>
      <c r="B1210" s="255"/>
      <c r="C1210" s="271"/>
      <c r="D1210" s="197"/>
      <c r="E1210" s="85"/>
      <c r="F1210" s="98"/>
      <c r="G1210" s="99"/>
    </row>
    <row r="1211" spans="1:7">
      <c r="A1211" s="316"/>
      <c r="B1211" s="255"/>
      <c r="C1211" s="271"/>
      <c r="D1211" s="197"/>
      <c r="E1211" s="85"/>
      <c r="F1211" s="98"/>
      <c r="G1211" s="99"/>
    </row>
    <row r="1212" spans="1:7">
      <c r="A1212" s="316"/>
      <c r="B1212" s="255"/>
      <c r="C1212" s="271"/>
      <c r="D1212" s="197"/>
      <c r="E1212" s="85"/>
      <c r="F1212" s="98"/>
      <c r="G1212" s="99"/>
    </row>
    <row r="1213" spans="1:7">
      <c r="A1213" s="316"/>
      <c r="B1213" s="255"/>
      <c r="C1213" s="271"/>
      <c r="D1213" s="197"/>
      <c r="E1213" s="85"/>
      <c r="F1213" s="98"/>
      <c r="G1213" s="99"/>
    </row>
    <row r="1214" spans="1:7">
      <c r="A1214" s="316"/>
      <c r="B1214" s="255"/>
      <c r="C1214" s="271"/>
      <c r="D1214" s="197"/>
      <c r="E1214" s="85"/>
      <c r="F1214" s="98"/>
      <c r="G1214" s="99"/>
    </row>
    <row r="1215" spans="1:7">
      <c r="A1215" s="316"/>
      <c r="B1215" s="255"/>
      <c r="C1215" s="271"/>
      <c r="D1215" s="197"/>
      <c r="E1215" s="85"/>
      <c r="F1215" s="98"/>
      <c r="G1215" s="99"/>
    </row>
    <row r="1216" spans="1:7">
      <c r="A1216" s="316"/>
      <c r="B1216" s="255"/>
      <c r="C1216" s="271"/>
      <c r="D1216" s="197"/>
      <c r="E1216" s="85"/>
      <c r="F1216" s="98"/>
      <c r="G1216" s="99"/>
    </row>
    <row r="1217" spans="1:7">
      <c r="A1217" s="316"/>
      <c r="B1217" s="255"/>
      <c r="C1217" s="271"/>
      <c r="D1217" s="197"/>
      <c r="E1217" s="85"/>
      <c r="F1217" s="98"/>
      <c r="G1217" s="99"/>
    </row>
    <row r="1218" spans="1:7">
      <c r="A1218" s="316"/>
      <c r="B1218" s="255"/>
      <c r="C1218" s="271"/>
      <c r="D1218" s="197"/>
      <c r="E1218" s="85"/>
      <c r="F1218" s="98"/>
      <c r="G1218" s="99"/>
    </row>
    <row r="1219" spans="1:7" ht="12.75" thickBot="1">
      <c r="A1219" s="316"/>
      <c r="B1219" s="255"/>
      <c r="C1219" s="271"/>
      <c r="D1219" s="197"/>
      <c r="E1219" s="85"/>
      <c r="F1219" s="98"/>
      <c r="G1219" s="99"/>
    </row>
    <row r="1220" spans="1:7">
      <c r="A1220" s="349"/>
      <c r="B1220" s="68" t="s">
        <v>434</v>
      </c>
      <c r="C1220" s="350"/>
      <c r="D1220" s="72"/>
      <c r="E1220" s="351"/>
      <c r="F1220" s="352"/>
      <c r="G1220" s="348"/>
    </row>
    <row r="1221" spans="1:7" ht="12.75" thickBot="1">
      <c r="A1221" s="353"/>
      <c r="B1221" s="75" t="s">
        <v>435</v>
      </c>
      <c r="C1221" s="354"/>
      <c r="D1221" s="79"/>
      <c r="E1221" s="355"/>
      <c r="F1221" s="356"/>
      <c r="G1221" s="345">
        <f>SUM(G1164:G1220)</f>
        <v>0</v>
      </c>
    </row>
  </sheetData>
  <mergeCells count="22">
    <mergeCell ref="B1059:E1059"/>
    <mergeCell ref="B1060:E1060"/>
    <mergeCell ref="B1061:E1061"/>
    <mergeCell ref="B1062:E1062"/>
    <mergeCell ref="B907:E907"/>
    <mergeCell ref="B908:E908"/>
    <mergeCell ref="B909:E909"/>
    <mergeCell ref="B910:E910"/>
    <mergeCell ref="B911:E911"/>
    <mergeCell ref="A1:G1"/>
    <mergeCell ref="B663:G663"/>
    <mergeCell ref="B90:E90"/>
    <mergeCell ref="B91:E91"/>
    <mergeCell ref="B92:E92"/>
    <mergeCell ref="B162:E162"/>
    <mergeCell ref="B163:E163"/>
    <mergeCell ref="B164:E164"/>
    <mergeCell ref="B165:E165"/>
    <mergeCell ref="B244:E244"/>
    <mergeCell ref="B245:E245"/>
    <mergeCell ref="B246:E246"/>
    <mergeCell ref="B524:E524"/>
  </mergeCells>
  <pageMargins left="0.70866141732283472" right="0.47244094488188981" top="0.70866141732283472" bottom="0.47244094488188981" header="0.23622047244094491" footer="0.23622047244094491"/>
  <pageSetup orientation="portrait" horizontalDpi="4294967293" verticalDpi="300" r:id="rId1"/>
  <headerFooter>
    <oddHeader>&amp;L&amp;8GA.MAAMENDHOO SCHOOL&amp;R&amp;8     BILL OF QUANTITIES</oddHeader>
    <oddFooter>&amp;L&amp;8MAY, 2015&amp;C&amp;8&amp;P&amp;R&amp;8ArchEng Studio Pvt. Ltd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HUSSAIN</cp:lastModifiedBy>
  <cp:lastPrinted>2015-06-05T11:30:19Z</cp:lastPrinted>
  <dcterms:created xsi:type="dcterms:W3CDTF">2011-03-24T06:48:27Z</dcterms:created>
  <dcterms:modified xsi:type="dcterms:W3CDTF">2016-03-13T03:35:27Z</dcterms:modified>
</cp:coreProperties>
</file>