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V:\MoE Consultancy Project\2-Design\5. Projects\HDH Kumundhoo School 3 Storey 12 Classroom Building\4. BoQ\"/>
    </mc:Choice>
  </mc:AlternateContent>
  <xr:revisionPtr revIDLastSave="0" documentId="13_ncr:1_{568DE028-B69A-446F-93BB-B220FCDC28CE}" xr6:coauthVersionLast="46" xr6:coauthVersionMax="46" xr10:uidLastSave="{00000000-0000-0000-0000-000000000000}"/>
  <bookViews>
    <workbookView xWindow="3330" yWindow="3330" windowWidth="21600" windowHeight="11385" activeTab="2" xr2:uid="{00000000-000D-0000-FFFF-FFFF00000000}"/>
  </bookViews>
  <sheets>
    <sheet name="Cover" sheetId="3" r:id="rId1"/>
    <sheet name="Summary" sheetId="2" r:id="rId2"/>
    <sheet name="Boq" sheetId="1" r:id="rId3"/>
  </sheets>
  <definedNames>
    <definedName name="_xlnm.Print_Area" localSheetId="2">Boq!$A$1:$G$1127</definedName>
    <definedName name="_xlnm.Print_Area" localSheetId="0">Cover!$A$1:$A$34</definedName>
    <definedName name="_xlnm.Print_Area" localSheetId="1">Summary!$A$1:$C$22</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51" i="1" l="1"/>
  <c r="G850" i="1"/>
  <c r="G849" i="1"/>
  <c r="G848" i="1"/>
  <c r="G838" i="1"/>
  <c r="G837" i="1"/>
  <c r="G836" i="1"/>
  <c r="G835" i="1"/>
  <c r="G696" i="1"/>
  <c r="G694" i="1"/>
  <c r="G693" i="1"/>
  <c r="G691" i="1"/>
  <c r="G686" i="1"/>
  <c r="G681" i="1"/>
  <c r="G675" i="1"/>
  <c r="G655" i="1"/>
  <c r="G635" i="1"/>
  <c r="G624" i="1"/>
  <c r="G586" i="1"/>
  <c r="G581" i="1"/>
  <c r="G582" i="1"/>
  <c r="G574" i="1"/>
  <c r="G569" i="1"/>
  <c r="G570" i="1"/>
  <c r="G571" i="1"/>
  <c r="G562" i="1"/>
  <c r="G561" i="1"/>
  <c r="G557" i="1"/>
  <c r="G558" i="1"/>
  <c r="G550" i="1"/>
  <c r="G545" i="1"/>
  <c r="G546" i="1"/>
  <c r="G38" i="1"/>
  <c r="G34" i="1"/>
  <c r="G806" i="1" l="1"/>
  <c r="G1042" i="1" l="1"/>
  <c r="G1032" i="1"/>
  <c r="G1022" i="1"/>
  <c r="G1041" i="1" l="1"/>
  <c r="G1040" i="1"/>
  <c r="G1039" i="1"/>
  <c r="G1038" i="1"/>
  <c r="G1037" i="1"/>
  <c r="G1036" i="1"/>
  <c r="G1031" i="1"/>
  <c r="G1030" i="1"/>
  <c r="G1029" i="1"/>
  <c r="G1028" i="1"/>
  <c r="G1027" i="1"/>
  <c r="G1026" i="1"/>
  <c r="G1021" i="1" l="1"/>
  <c r="G1020" i="1"/>
  <c r="G1019" i="1"/>
  <c r="G1018" i="1"/>
  <c r="G1017" i="1"/>
  <c r="G1016" i="1"/>
  <c r="G1012" i="1"/>
  <c r="G1011" i="1"/>
  <c r="G1010" i="1"/>
  <c r="G1009" i="1"/>
  <c r="G1008" i="1"/>
  <c r="G1007" i="1"/>
  <c r="G1006" i="1"/>
  <c r="G1005" i="1"/>
  <c r="G1046" i="1" l="1"/>
  <c r="C16" i="2" s="1"/>
  <c r="G982" i="1"/>
  <c r="G988" i="1"/>
  <c r="G980" i="1"/>
  <c r="G979" i="1"/>
  <c r="G977" i="1"/>
  <c r="G976" i="1"/>
  <c r="G975" i="1"/>
  <c r="G974" i="1"/>
  <c r="G973" i="1"/>
  <c r="G972" i="1"/>
  <c r="G971" i="1"/>
  <c r="G970" i="1"/>
  <c r="G969" i="1"/>
  <c r="G968" i="1"/>
  <c r="G965" i="1"/>
  <c r="G964" i="1"/>
  <c r="G912" i="1"/>
  <c r="G916" i="1"/>
  <c r="G890" i="1"/>
  <c r="G854" i="1"/>
  <c r="G847" i="1"/>
  <c r="G845" i="1"/>
  <c r="G844" i="1"/>
  <c r="G825" i="1"/>
  <c r="G824" i="1"/>
  <c r="G823" i="1"/>
  <c r="G822" i="1"/>
  <c r="G821" i="1"/>
  <c r="G763" i="1"/>
  <c r="I766" i="1"/>
  <c r="G766" i="1"/>
  <c r="J730" i="1"/>
  <c r="I730" i="1"/>
  <c r="G695" i="1"/>
  <c r="G685" i="1"/>
  <c r="I659" i="1"/>
  <c r="G659" i="1"/>
  <c r="I658" i="1"/>
  <c r="G658" i="1"/>
  <c r="I657" i="1"/>
  <c r="J657" i="1" s="1"/>
  <c r="I656" i="1"/>
  <c r="G656" i="1"/>
  <c r="I654" i="1"/>
  <c r="G654" i="1"/>
  <c r="I653" i="1"/>
  <c r="G653" i="1"/>
  <c r="I652" i="1"/>
  <c r="G652" i="1"/>
  <c r="G583" i="1"/>
  <c r="G584" i="1"/>
  <c r="B582" i="1"/>
  <c r="B583" i="1"/>
  <c r="B584" i="1"/>
  <c r="B585" i="1"/>
  <c r="B586" i="1"/>
  <c r="B581" i="1"/>
  <c r="K589" i="1"/>
  <c r="I589" i="1"/>
  <c r="J589" i="1" s="1"/>
  <c r="G589" i="1"/>
  <c r="B570" i="1"/>
  <c r="B571" i="1"/>
  <c r="B572" i="1"/>
  <c r="B573" i="1"/>
  <c r="B574" i="1"/>
  <c r="B569" i="1"/>
  <c r="K565" i="1"/>
  <c r="I565" i="1"/>
  <c r="J565" i="1" s="1"/>
  <c r="G565" i="1"/>
  <c r="G559" i="1"/>
  <c r="B558" i="1"/>
  <c r="B559" i="1"/>
  <c r="B560" i="1"/>
  <c r="B561" i="1"/>
  <c r="B562" i="1"/>
  <c r="B557" i="1"/>
  <c r="B546" i="1"/>
  <c r="B547" i="1"/>
  <c r="B548" i="1"/>
  <c r="B549" i="1"/>
  <c r="B550" i="1"/>
  <c r="B545" i="1"/>
  <c r="K528" i="1"/>
  <c r="J528" i="1"/>
  <c r="I528" i="1"/>
  <c r="G528" i="1"/>
  <c r="I527" i="1"/>
  <c r="G527" i="1"/>
  <c r="I526" i="1"/>
  <c r="G526" i="1"/>
  <c r="I525" i="1"/>
  <c r="G525" i="1"/>
  <c r="I524" i="1"/>
  <c r="G524" i="1"/>
  <c r="L523" i="1"/>
  <c r="K523" i="1"/>
  <c r="J523" i="1"/>
  <c r="I523" i="1"/>
  <c r="G523" i="1"/>
  <c r="I520" i="1"/>
  <c r="G509" i="1"/>
  <c r="I509" i="1"/>
  <c r="G512" i="1"/>
  <c r="I512" i="1"/>
  <c r="G985" i="1" l="1"/>
  <c r="G967" i="1"/>
  <c r="G986" i="1"/>
  <c r="G981" i="1"/>
  <c r="G987" i="1"/>
  <c r="G978" i="1"/>
  <c r="G901" i="1"/>
  <c r="G692" i="1"/>
  <c r="G690" i="1"/>
  <c r="J653" i="1"/>
  <c r="J654" i="1"/>
  <c r="L655" i="1" s="1"/>
  <c r="J659" i="1"/>
  <c r="J658" i="1"/>
  <c r="J652" i="1"/>
  <c r="J656" i="1"/>
  <c r="L589" i="1"/>
  <c r="G585" i="1"/>
  <c r="L565" i="1"/>
  <c r="G520" i="1"/>
  <c r="L528" i="1"/>
  <c r="G560" i="1"/>
  <c r="M523" i="1"/>
  <c r="K490" i="1"/>
  <c r="I490" i="1"/>
  <c r="J490" i="1" s="1"/>
  <c r="L489" i="1"/>
  <c r="M489" i="1" s="1"/>
  <c r="N489" i="1" s="1"/>
  <c r="I489" i="1"/>
  <c r="J489" i="1" s="1"/>
  <c r="P487" i="1"/>
  <c r="M487" i="1"/>
  <c r="I487" i="1"/>
  <c r="P486" i="1"/>
  <c r="Q486" i="1" s="1"/>
  <c r="N486" i="1"/>
  <c r="I486" i="1"/>
  <c r="J486" i="1" s="1"/>
  <c r="L486" i="1" s="1"/>
  <c r="M486" i="1" s="1"/>
  <c r="I452" i="1"/>
  <c r="J452" i="1" s="1"/>
  <c r="G452" i="1"/>
  <c r="I449" i="1"/>
  <c r="J449" i="1" s="1"/>
  <c r="I447" i="1"/>
  <c r="J447" i="1" s="1"/>
  <c r="L447" i="1" s="1"/>
  <c r="M447" i="1" s="1"/>
  <c r="I443" i="1"/>
  <c r="J443" i="1" s="1"/>
  <c r="G443" i="1"/>
  <c r="I425" i="1"/>
  <c r="J425" i="1" s="1"/>
  <c r="G425" i="1"/>
  <c r="I434" i="1"/>
  <c r="J434" i="1" s="1"/>
  <c r="G434" i="1"/>
  <c r="J385" i="1"/>
  <c r="I385" i="1"/>
  <c r="G385" i="1"/>
  <c r="J383" i="1"/>
  <c r="I383" i="1"/>
  <c r="G383" i="1"/>
  <c r="J358" i="1"/>
  <c r="J357" i="1"/>
  <c r="I356" i="1"/>
  <c r="J355" i="1"/>
  <c r="J354" i="1"/>
  <c r="I353" i="1"/>
  <c r="J352" i="1"/>
  <c r="J351" i="1"/>
  <c r="Q350" i="1"/>
  <c r="R350" i="1" s="1"/>
  <c r="I350" i="1"/>
  <c r="J349" i="1"/>
  <c r="J348" i="1"/>
  <c r="Q347" i="1"/>
  <c r="R347" i="1" s="1"/>
  <c r="I347" i="1"/>
  <c r="K344" i="1"/>
  <c r="L344" i="1" s="1"/>
  <c r="M344" i="1" s="1"/>
  <c r="J343" i="1"/>
  <c r="J342" i="1"/>
  <c r="I341" i="1"/>
  <c r="J341" i="1" s="1"/>
  <c r="J340" i="1"/>
  <c r="J339" i="1"/>
  <c r="I338" i="1"/>
  <c r="J338" i="1" s="1"/>
  <c r="J337" i="1"/>
  <c r="J336" i="1"/>
  <c r="I335" i="1"/>
  <c r="J335" i="1" s="1"/>
  <c r="J257" i="1"/>
  <c r="B233" i="1"/>
  <c r="B364" i="1" s="1"/>
  <c r="B232" i="1"/>
  <c r="B361" i="1" s="1"/>
  <c r="I229" i="1"/>
  <c r="I228" i="1"/>
  <c r="Q227" i="1"/>
  <c r="R227" i="1" s="1"/>
  <c r="I227" i="1"/>
  <c r="Q226" i="1"/>
  <c r="R226" i="1" s="1"/>
  <c r="I226" i="1"/>
  <c r="J224" i="1"/>
  <c r="I224" i="1"/>
  <c r="J223" i="1"/>
  <c r="I223" i="1"/>
  <c r="I221" i="1"/>
  <c r="J221" i="1" s="1"/>
  <c r="I220" i="1"/>
  <c r="J220" i="1" s="1"/>
  <c r="N219" i="1"/>
  <c r="P219" i="1" s="1"/>
  <c r="I219" i="1"/>
  <c r="J219" i="1" s="1"/>
  <c r="J211" i="1"/>
  <c r="I211" i="1"/>
  <c r="B196" i="1"/>
  <c r="B195" i="1"/>
  <c r="G224" i="1"/>
  <c r="G223" i="1"/>
  <c r="B151" i="1"/>
  <c r="B224" i="1" s="1"/>
  <c r="B150" i="1"/>
  <c r="B223" i="1" s="1"/>
  <c r="B147" i="1"/>
  <c r="B220" i="1" s="1"/>
  <c r="B148" i="1"/>
  <c r="B221" i="1" s="1"/>
  <c r="B146" i="1"/>
  <c r="B219" i="1" s="1"/>
  <c r="I156" i="1"/>
  <c r="I155" i="1"/>
  <c r="Q154" i="1"/>
  <c r="R154" i="1" s="1"/>
  <c r="I154" i="1"/>
  <c r="Q153" i="1"/>
  <c r="R153" i="1" s="1"/>
  <c r="I153" i="1"/>
  <c r="J151" i="1"/>
  <c r="I151" i="1"/>
  <c r="J150" i="1"/>
  <c r="I150" i="1"/>
  <c r="I148" i="1"/>
  <c r="J148" i="1" s="1"/>
  <c r="I147" i="1"/>
  <c r="J147" i="1" s="1"/>
  <c r="N146" i="1"/>
  <c r="P146" i="1" s="1"/>
  <c r="I146" i="1"/>
  <c r="J146" i="1" s="1"/>
  <c r="G211" i="1"/>
  <c r="B138" i="1"/>
  <c r="B211" i="1" s="1"/>
  <c r="B137" i="1"/>
  <c r="B210" i="1" s="1"/>
  <c r="J138" i="1"/>
  <c r="I138" i="1"/>
  <c r="B134" i="1"/>
  <c r="B207" i="1" s="1"/>
  <c r="B135" i="1"/>
  <c r="B208" i="1" s="1"/>
  <c r="B133" i="1"/>
  <c r="B206" i="1" s="1"/>
  <c r="G75" i="1"/>
  <c r="K652" i="1" l="1"/>
  <c r="G449" i="1"/>
  <c r="K383" i="1"/>
  <c r="K385" i="1"/>
  <c r="O486" i="1"/>
  <c r="Q487" i="1" s="1"/>
  <c r="N487" i="1" s="1"/>
  <c r="L490" i="1"/>
  <c r="N490" i="1" s="1"/>
  <c r="O490" i="1" s="1"/>
  <c r="I354" i="1"/>
  <c r="R353" i="1"/>
  <c r="N344" i="1"/>
  <c r="O344" i="1" s="1"/>
  <c r="K223" i="1"/>
  <c r="L223" i="1" s="1"/>
  <c r="K224" i="1"/>
  <c r="L224" i="1" s="1"/>
  <c r="G221" i="1"/>
  <c r="K211" i="1"/>
  <c r="L211" i="1" s="1"/>
  <c r="R228" i="1"/>
  <c r="G219" i="1"/>
  <c r="G227" i="1"/>
  <c r="G228" i="1"/>
  <c r="G229" i="1"/>
  <c r="G226" i="1"/>
  <c r="K150" i="1"/>
  <c r="L150" i="1" s="1"/>
  <c r="K138" i="1"/>
  <c r="L138" i="1" s="1"/>
  <c r="G177" i="1"/>
  <c r="K151" i="1"/>
  <c r="L151" i="1" s="1"/>
  <c r="G146" i="1"/>
  <c r="R155" i="1"/>
  <c r="G151" i="1"/>
  <c r="G154" i="1"/>
  <c r="G155" i="1"/>
  <c r="G148" i="1"/>
  <c r="G153" i="1"/>
  <c r="G156" i="1"/>
  <c r="G150" i="1"/>
  <c r="G138" i="1"/>
  <c r="G104" i="1"/>
  <c r="G337" i="1" l="1"/>
  <c r="G355" i="1"/>
  <c r="G358" i="1"/>
  <c r="I348" i="1"/>
  <c r="G348" i="1"/>
  <c r="I351" i="1"/>
  <c r="G351" i="1"/>
  <c r="G349" i="1"/>
  <c r="G352" i="1"/>
  <c r="G354" i="1"/>
  <c r="I343" i="1"/>
  <c r="G343" i="1"/>
  <c r="I336" i="1"/>
  <c r="G336" i="1"/>
  <c r="G342" i="1"/>
  <c r="I342" i="1"/>
  <c r="I357" i="1"/>
  <c r="G357" i="1"/>
  <c r="I257" i="1"/>
  <c r="G257" i="1"/>
  <c r="G147" i="1"/>
  <c r="G959" i="1"/>
  <c r="G958" i="1"/>
  <c r="G957" i="1"/>
  <c r="G953" i="1"/>
  <c r="G952" i="1"/>
  <c r="G951" i="1"/>
  <c r="G950" i="1"/>
  <c r="G949" i="1"/>
  <c r="G948" i="1"/>
  <c r="G947" i="1"/>
  <c r="G946" i="1"/>
  <c r="G945" i="1"/>
  <c r="G944" i="1"/>
  <c r="G943" i="1"/>
  <c r="G942" i="1"/>
  <c r="G941" i="1"/>
  <c r="G940" i="1"/>
  <c r="G939" i="1"/>
  <c r="G938" i="1"/>
  <c r="G936" i="1"/>
  <c r="G935" i="1"/>
  <c r="G930" i="1"/>
  <c r="G841" i="1"/>
  <c r="G834" i="1"/>
  <c r="G832" i="1"/>
  <c r="G831" i="1"/>
  <c r="G827" i="1"/>
  <c r="G804" i="1"/>
  <c r="G805" i="1"/>
  <c r="G770" i="1"/>
  <c r="I761" i="1"/>
  <c r="G761" i="1"/>
  <c r="G758" i="1"/>
  <c r="J726" i="1"/>
  <c r="I726" i="1"/>
  <c r="G699" i="1"/>
  <c r="G680" i="1"/>
  <c r="G674" i="1"/>
  <c r="G577" i="1"/>
  <c r="K577" i="1"/>
  <c r="I577" i="1"/>
  <c r="J577" i="1" s="1"/>
  <c r="G572" i="1"/>
  <c r="G533" i="1"/>
  <c r="G530" i="1"/>
  <c r="K534" i="1"/>
  <c r="J534" i="1"/>
  <c r="I534" i="1"/>
  <c r="G534" i="1"/>
  <c r="I533" i="1"/>
  <c r="I532" i="1"/>
  <c r="G532" i="1"/>
  <c r="L531" i="1"/>
  <c r="K531" i="1"/>
  <c r="J531" i="1"/>
  <c r="I531" i="1"/>
  <c r="G531" i="1"/>
  <c r="I530" i="1"/>
  <c r="K521" i="1"/>
  <c r="J521" i="1"/>
  <c r="I521" i="1"/>
  <c r="I519" i="1"/>
  <c r="G519" i="1"/>
  <c r="I518" i="1"/>
  <c r="G518" i="1"/>
  <c r="I517" i="1"/>
  <c r="G517" i="1"/>
  <c r="L516" i="1"/>
  <c r="K516" i="1"/>
  <c r="J516" i="1"/>
  <c r="I516" i="1"/>
  <c r="G516" i="1"/>
  <c r="K484" i="1"/>
  <c r="I484" i="1"/>
  <c r="J484" i="1" s="1"/>
  <c r="L483" i="1"/>
  <c r="M483" i="1" s="1"/>
  <c r="N483" i="1" s="1"/>
  <c r="I483" i="1"/>
  <c r="J483" i="1" s="1"/>
  <c r="P481" i="1"/>
  <c r="M481" i="1"/>
  <c r="I481" i="1"/>
  <c r="P480" i="1"/>
  <c r="Q480" i="1" s="1"/>
  <c r="N480" i="1"/>
  <c r="I480" i="1"/>
  <c r="J480" i="1" s="1"/>
  <c r="L480" i="1" s="1"/>
  <c r="M480" i="1" s="1"/>
  <c r="I440" i="1"/>
  <c r="J440" i="1" s="1"/>
  <c r="I438" i="1"/>
  <c r="J438" i="1" s="1"/>
  <c r="L438" i="1" s="1"/>
  <c r="M438" i="1" s="1"/>
  <c r="I649" i="1"/>
  <c r="G649" i="1"/>
  <c r="I648" i="1"/>
  <c r="G648" i="1"/>
  <c r="I647" i="1"/>
  <c r="G647" i="1"/>
  <c r="I646" i="1"/>
  <c r="G646" i="1"/>
  <c r="I644" i="1"/>
  <c r="G644" i="1"/>
  <c r="I643" i="1"/>
  <c r="G643" i="1"/>
  <c r="I642" i="1"/>
  <c r="G642" i="1"/>
  <c r="G633" i="1"/>
  <c r="G634" i="1"/>
  <c r="G636" i="1"/>
  <c r="I637" i="1"/>
  <c r="I636" i="1"/>
  <c r="I634" i="1"/>
  <c r="I633" i="1"/>
  <c r="G628" i="1"/>
  <c r="I629" i="1"/>
  <c r="I628" i="1"/>
  <c r="J369" i="1"/>
  <c r="J368" i="1"/>
  <c r="J366" i="1"/>
  <c r="J365" i="1"/>
  <c r="J363" i="1"/>
  <c r="J362" i="1"/>
  <c r="J367" i="1"/>
  <c r="I364" i="1"/>
  <c r="J364" i="1" s="1"/>
  <c r="I361" i="1"/>
  <c r="J361" i="1" s="1"/>
  <c r="J311" i="1"/>
  <c r="J310" i="1"/>
  <c r="I309" i="1"/>
  <c r="J309" i="1" s="1"/>
  <c r="J314" i="1"/>
  <c r="J313" i="1"/>
  <c r="I312" i="1"/>
  <c r="J312" i="1" s="1"/>
  <c r="J332" i="1"/>
  <c r="J331" i="1"/>
  <c r="I330" i="1"/>
  <c r="J329" i="1"/>
  <c r="J328" i="1"/>
  <c r="I327" i="1"/>
  <c r="J326" i="1"/>
  <c r="J325" i="1"/>
  <c r="Q324" i="1"/>
  <c r="R324" i="1" s="1"/>
  <c r="I324" i="1"/>
  <c r="J323" i="1"/>
  <c r="J322" i="1"/>
  <c r="Q321" i="1"/>
  <c r="R321" i="1" s="1"/>
  <c r="I321" i="1"/>
  <c r="K318" i="1"/>
  <c r="L318" i="1" s="1"/>
  <c r="J317" i="1"/>
  <c r="J316" i="1"/>
  <c r="I315" i="1"/>
  <c r="J315" i="1" s="1"/>
  <c r="J304" i="1"/>
  <c r="J303" i="1"/>
  <c r="I302" i="1"/>
  <c r="J301" i="1"/>
  <c r="J300" i="1"/>
  <c r="I299" i="1"/>
  <c r="J298" i="1"/>
  <c r="J297" i="1"/>
  <c r="Q296" i="1"/>
  <c r="R296" i="1" s="1"/>
  <c r="I296" i="1"/>
  <c r="J295" i="1"/>
  <c r="J294" i="1"/>
  <c r="Q293" i="1"/>
  <c r="R293" i="1" s="1"/>
  <c r="I293" i="1"/>
  <c r="G293" i="1"/>
  <c r="J289" i="1"/>
  <c r="J288" i="1"/>
  <c r="J286" i="1"/>
  <c r="J285" i="1"/>
  <c r="J283" i="1"/>
  <c r="J282" i="1"/>
  <c r="J287" i="1"/>
  <c r="I284" i="1"/>
  <c r="J284" i="1" s="1"/>
  <c r="I281" i="1"/>
  <c r="J281" i="1" s="1"/>
  <c r="J274" i="1"/>
  <c r="J273" i="1"/>
  <c r="J271" i="1"/>
  <c r="J270" i="1"/>
  <c r="J268" i="1"/>
  <c r="J267" i="1"/>
  <c r="J265" i="1"/>
  <c r="J264" i="1"/>
  <c r="I272" i="1"/>
  <c r="I269" i="1"/>
  <c r="Q266" i="1"/>
  <c r="R266" i="1" s="1"/>
  <c r="I266" i="1"/>
  <c r="Q263" i="1"/>
  <c r="R263" i="1" s="1"/>
  <c r="I263" i="1"/>
  <c r="J260" i="1"/>
  <c r="J259" i="1"/>
  <c r="J255" i="1"/>
  <c r="J253" i="1"/>
  <c r="J251" i="1"/>
  <c r="J249" i="1"/>
  <c r="J247" i="1"/>
  <c r="I258" i="1"/>
  <c r="J258" i="1" s="1"/>
  <c r="J234" i="1"/>
  <c r="I233" i="1"/>
  <c r="J233" i="1" s="1"/>
  <c r="I232" i="1"/>
  <c r="J232" i="1" s="1"/>
  <c r="G203" i="1"/>
  <c r="G137" i="1"/>
  <c r="G214" i="1"/>
  <c r="G216" i="1"/>
  <c r="G213" i="1"/>
  <c r="I216" i="1"/>
  <c r="I215" i="1"/>
  <c r="Q214" i="1"/>
  <c r="R214" i="1" s="1"/>
  <c r="I214" i="1"/>
  <c r="Q213" i="1"/>
  <c r="R213" i="1" s="1"/>
  <c r="I213" i="1"/>
  <c r="J210" i="1"/>
  <c r="I210" i="1"/>
  <c r="G210" i="1"/>
  <c r="G209" i="1"/>
  <c r="I208" i="1"/>
  <c r="J208" i="1" s="1"/>
  <c r="G208" i="1"/>
  <c r="I207" i="1"/>
  <c r="J207" i="1" s="1"/>
  <c r="N206" i="1"/>
  <c r="P206" i="1" s="1"/>
  <c r="I206" i="1"/>
  <c r="J206" i="1" s="1"/>
  <c r="G206" i="1"/>
  <c r="I201" i="1"/>
  <c r="G201" i="1"/>
  <c r="I200" i="1"/>
  <c r="Q199" i="1"/>
  <c r="R199" i="1" s="1"/>
  <c r="I199" i="1"/>
  <c r="G199" i="1"/>
  <c r="Q198" i="1"/>
  <c r="R198" i="1" s="1"/>
  <c r="I198" i="1"/>
  <c r="G198" i="1"/>
  <c r="G123" i="1"/>
  <c r="J196" i="1"/>
  <c r="I196" i="1"/>
  <c r="G196" i="1"/>
  <c r="J195" i="1"/>
  <c r="I195" i="1"/>
  <c r="G195" i="1"/>
  <c r="J193" i="1"/>
  <c r="I192" i="1"/>
  <c r="J192" i="1" s="1"/>
  <c r="I191" i="1"/>
  <c r="J191" i="1" s="1"/>
  <c r="G182" i="1"/>
  <c r="G183" i="1"/>
  <c r="I184" i="1"/>
  <c r="I183" i="1"/>
  <c r="Q182" i="1"/>
  <c r="R182" i="1" s="1"/>
  <c r="I182" i="1"/>
  <c r="Q181" i="1"/>
  <c r="R181" i="1" s="1"/>
  <c r="I181" i="1"/>
  <c r="I178" i="1"/>
  <c r="J178" i="1" s="1"/>
  <c r="J161" i="1"/>
  <c r="I160" i="1"/>
  <c r="J160" i="1" s="1"/>
  <c r="G160" i="1"/>
  <c r="I159" i="1"/>
  <c r="J159" i="1" s="1"/>
  <c r="G159" i="1"/>
  <c r="I143" i="1"/>
  <c r="G143" i="1"/>
  <c r="I142" i="1"/>
  <c r="G142" i="1"/>
  <c r="Q141" i="1"/>
  <c r="R141" i="1" s="1"/>
  <c r="I141" i="1"/>
  <c r="G141" i="1"/>
  <c r="Q140" i="1"/>
  <c r="R140" i="1" s="1"/>
  <c r="I140" i="1"/>
  <c r="G140" i="1"/>
  <c r="J137" i="1"/>
  <c r="I137" i="1"/>
  <c r="I135" i="1"/>
  <c r="J135" i="1" s="1"/>
  <c r="G135" i="1"/>
  <c r="I134" i="1"/>
  <c r="J134" i="1" s="1"/>
  <c r="N133" i="1"/>
  <c r="P133" i="1" s="1"/>
  <c r="I133" i="1"/>
  <c r="J133" i="1" s="1"/>
  <c r="G133" i="1"/>
  <c r="G130" i="1"/>
  <c r="I128" i="1"/>
  <c r="G128" i="1"/>
  <c r="I127" i="1"/>
  <c r="G127" i="1"/>
  <c r="Q126" i="1"/>
  <c r="R126" i="1" s="1"/>
  <c r="I126" i="1"/>
  <c r="G126" i="1"/>
  <c r="Q125" i="1"/>
  <c r="R125" i="1" s="1"/>
  <c r="I125" i="1"/>
  <c r="G125" i="1"/>
  <c r="J123" i="1"/>
  <c r="I123" i="1"/>
  <c r="Q109" i="1"/>
  <c r="R109" i="1" s="1"/>
  <c r="Q108" i="1"/>
  <c r="R108" i="1" s="1"/>
  <c r="I355" i="1" l="1"/>
  <c r="I337" i="1"/>
  <c r="G726" i="1"/>
  <c r="G573" i="1"/>
  <c r="G730" i="1"/>
  <c r="G440" i="1"/>
  <c r="G521" i="1"/>
  <c r="G447" i="1"/>
  <c r="G728" i="1"/>
  <c r="I352" i="1"/>
  <c r="I358" i="1"/>
  <c r="I349" i="1"/>
  <c r="I251" i="1"/>
  <c r="I249" i="1"/>
  <c r="I255" i="1"/>
  <c r="G253" i="1"/>
  <c r="G247" i="1"/>
  <c r="G220" i="1"/>
  <c r="G706" i="1"/>
  <c r="C11" i="2" s="1"/>
  <c r="L577" i="1"/>
  <c r="L534" i="1"/>
  <c r="L521" i="1"/>
  <c r="M531" i="1"/>
  <c r="M516" i="1"/>
  <c r="O480" i="1"/>
  <c r="Q481" i="1" s="1"/>
  <c r="N481" i="1" s="1"/>
  <c r="L484" i="1"/>
  <c r="N484" i="1" s="1"/>
  <c r="O484" i="1" s="1"/>
  <c r="J643" i="1"/>
  <c r="R327" i="1"/>
  <c r="J649" i="1"/>
  <c r="J644" i="1"/>
  <c r="L645" i="1" s="1"/>
  <c r="J648" i="1"/>
  <c r="J642" i="1"/>
  <c r="J647" i="1"/>
  <c r="J646" i="1"/>
  <c r="J633" i="1"/>
  <c r="J628" i="1"/>
  <c r="J629" i="1"/>
  <c r="J634" i="1"/>
  <c r="L635" i="1" s="1"/>
  <c r="J636" i="1"/>
  <c r="J637" i="1"/>
  <c r="G629" i="1"/>
  <c r="G322" i="1"/>
  <c r="I368" i="1"/>
  <c r="G368" i="1"/>
  <c r="I365" i="1"/>
  <c r="G365" i="1"/>
  <c r="G362" i="1"/>
  <c r="I362" i="1"/>
  <c r="I310" i="1"/>
  <c r="G310" i="1"/>
  <c r="G325" i="1"/>
  <c r="I325" i="1"/>
  <c r="I328" i="1"/>
  <c r="G328" i="1"/>
  <c r="G316" i="1"/>
  <c r="I316" i="1"/>
  <c r="I331" i="1"/>
  <c r="G331" i="1"/>
  <c r="M318" i="1"/>
  <c r="N318" i="1" s="1"/>
  <c r="O318" i="1" s="1"/>
  <c r="R299" i="1"/>
  <c r="G303" i="1"/>
  <c r="G300" i="1"/>
  <c r="G294" i="1"/>
  <c r="I297" i="1"/>
  <c r="G297" i="1"/>
  <c r="I306" i="1"/>
  <c r="G306" i="1"/>
  <c r="I288" i="1"/>
  <c r="G288" i="1"/>
  <c r="I285" i="1"/>
  <c r="G285" i="1"/>
  <c r="I282" i="1"/>
  <c r="G282" i="1"/>
  <c r="I259" i="1"/>
  <c r="R269" i="1"/>
  <c r="I264" i="1"/>
  <c r="I273" i="1"/>
  <c r="G273" i="1"/>
  <c r="I270" i="1"/>
  <c r="G270" i="1"/>
  <c r="I267" i="1"/>
  <c r="G267" i="1"/>
  <c r="R127" i="1"/>
  <c r="R183" i="1"/>
  <c r="K195" i="1"/>
  <c r="L195" i="1" s="1"/>
  <c r="G233" i="1"/>
  <c r="G232" i="1"/>
  <c r="G234" i="1"/>
  <c r="G134" i="1"/>
  <c r="K210" i="1"/>
  <c r="L210" i="1" s="1"/>
  <c r="R215" i="1"/>
  <c r="G215" i="1"/>
  <c r="G207" i="1"/>
  <c r="K196" i="1"/>
  <c r="L196" i="1" s="1"/>
  <c r="R200" i="1"/>
  <c r="G200" i="1"/>
  <c r="G193" i="1"/>
  <c r="G192" i="1"/>
  <c r="G191" i="1"/>
  <c r="G161" i="1"/>
  <c r="G175" i="1"/>
  <c r="G184" i="1"/>
  <c r="G181" i="1"/>
  <c r="G174" i="1"/>
  <c r="G172" i="1"/>
  <c r="G176" i="1"/>
  <c r="G173" i="1"/>
  <c r="G178" i="1"/>
  <c r="K123" i="1"/>
  <c r="L123" i="1" s="1"/>
  <c r="K137" i="1"/>
  <c r="L137" i="1" s="1"/>
  <c r="R142" i="1"/>
  <c r="R110" i="1"/>
  <c r="G956" i="1"/>
  <c r="G110" i="1"/>
  <c r="I110" i="1"/>
  <c r="I76" i="1"/>
  <c r="J76" i="1" s="1"/>
  <c r="G76" i="1"/>
  <c r="G103" i="1"/>
  <c r="G102" i="1"/>
  <c r="G101" i="1"/>
  <c r="G100" i="1"/>
  <c r="G99" i="1"/>
  <c r="G71" i="1"/>
  <c r="G72" i="1"/>
  <c r="G73" i="1"/>
  <c r="G74" i="1"/>
  <c r="G490" i="1" l="1"/>
  <c r="G729" i="1"/>
  <c r="G488" i="1"/>
  <c r="G339" i="1"/>
  <c r="I339" i="1"/>
  <c r="I340" i="1"/>
  <c r="G340" i="1"/>
  <c r="G438" i="1"/>
  <c r="G264" i="1"/>
  <c r="I303" i="1"/>
  <c r="I313" i="1"/>
  <c r="G314" i="1"/>
  <c r="I322" i="1"/>
  <c r="K642" i="1"/>
  <c r="G363" i="1"/>
  <c r="I369" i="1"/>
  <c r="I253" i="1"/>
  <c r="G366" i="1"/>
  <c r="G255" i="1"/>
  <c r="I326" i="1"/>
  <c r="I332" i="1"/>
  <c r="I294" i="1"/>
  <c r="G311" i="1"/>
  <c r="I298" i="1"/>
  <c r="I323" i="1"/>
  <c r="G323" i="1"/>
  <c r="I289" i="1"/>
  <c r="I300" i="1"/>
  <c r="G295" i="1"/>
  <c r="I295" i="1"/>
  <c r="I304" i="1"/>
  <c r="G304" i="1"/>
  <c r="I301" i="1"/>
  <c r="G301" i="1"/>
  <c r="I286" i="1"/>
  <c r="G283" i="1"/>
  <c r="I268" i="1"/>
  <c r="I274" i="1"/>
  <c r="I247" i="1"/>
  <c r="I265" i="1"/>
  <c r="G265" i="1"/>
  <c r="G260" i="1"/>
  <c r="I260" i="1"/>
  <c r="G259" i="1"/>
  <c r="G251" i="1"/>
  <c r="G249" i="1"/>
  <c r="I468" i="1"/>
  <c r="G482" i="1" l="1"/>
  <c r="G724" i="1"/>
  <c r="G484" i="1"/>
  <c r="G725" i="1"/>
  <c r="G313" i="1"/>
  <c r="G326" i="1"/>
  <c r="I363" i="1"/>
  <c r="G369" i="1"/>
  <c r="G332" i="1"/>
  <c r="I366" i="1"/>
  <c r="I311" i="1"/>
  <c r="G274" i="1"/>
  <c r="G298" i="1"/>
  <c r="I314" i="1"/>
  <c r="G289" i="1"/>
  <c r="I329" i="1"/>
  <c r="G329" i="1"/>
  <c r="G286" i="1"/>
  <c r="I283" i="1"/>
  <c r="G268" i="1"/>
  <c r="I271" i="1"/>
  <c r="G271" i="1"/>
  <c r="G22" i="1"/>
  <c r="G25" i="1"/>
  <c r="G1093" i="1" l="1"/>
  <c r="G1127" i="1" s="1"/>
  <c r="G1056" i="1"/>
  <c r="G1083" i="1" s="1"/>
  <c r="G923" i="1"/>
  <c r="G922" i="1"/>
  <c r="G921" i="1"/>
  <c r="G920" i="1"/>
  <c r="G907" i="1"/>
  <c r="G906" i="1"/>
  <c r="G878" i="1"/>
  <c r="G877" i="1"/>
  <c r="G892" i="1"/>
  <c r="I81" i="1"/>
  <c r="J115" i="1"/>
  <c r="I777" i="1"/>
  <c r="I776" i="1"/>
  <c r="I772" i="1"/>
  <c r="I771" i="1"/>
  <c r="J771" i="1" s="1"/>
  <c r="I756" i="1"/>
  <c r="L477" i="1"/>
  <c r="M477" i="1" s="1"/>
  <c r="N477" i="1" s="1"/>
  <c r="M475" i="1"/>
  <c r="I722" i="1"/>
  <c r="I699" i="1"/>
  <c r="I554" i="1"/>
  <c r="J554" i="1" s="1"/>
  <c r="K553" i="1"/>
  <c r="I553" i="1"/>
  <c r="J553" i="1" s="1"/>
  <c r="I513" i="1"/>
  <c r="I511" i="1"/>
  <c r="L510" i="1"/>
  <c r="K510" i="1"/>
  <c r="J510" i="1"/>
  <c r="I510" i="1"/>
  <c r="K478" i="1"/>
  <c r="I478" i="1"/>
  <c r="J478" i="1" s="1"/>
  <c r="I456" i="1"/>
  <c r="I477" i="1"/>
  <c r="J477" i="1" s="1"/>
  <c r="I474" i="1"/>
  <c r="J474" i="1" s="1"/>
  <c r="L474" i="1" s="1"/>
  <c r="M474" i="1" s="1"/>
  <c r="P474" i="1"/>
  <c r="Q474" i="1" s="1"/>
  <c r="N474" i="1"/>
  <c r="P475" i="1"/>
  <c r="I475" i="1"/>
  <c r="P469" i="1"/>
  <c r="P468" i="1"/>
  <c r="Q468" i="1" s="1"/>
  <c r="L471" i="1"/>
  <c r="M471" i="1" s="1"/>
  <c r="N471" i="1" s="1"/>
  <c r="I472" i="1"/>
  <c r="J472" i="1" s="1"/>
  <c r="I471" i="1"/>
  <c r="J471" i="1" s="1"/>
  <c r="K472" i="1"/>
  <c r="I429" i="1"/>
  <c r="J429" i="1" s="1"/>
  <c r="L429" i="1" s="1"/>
  <c r="M429" i="1" s="1"/>
  <c r="I422" i="1"/>
  <c r="J422" i="1" s="1"/>
  <c r="J468" i="1"/>
  <c r="L468" i="1" s="1"/>
  <c r="M468" i="1" s="1"/>
  <c r="N468" i="1"/>
  <c r="I469" i="1"/>
  <c r="I431" i="1"/>
  <c r="J431" i="1" s="1"/>
  <c r="I420" i="1"/>
  <c r="J420" i="1" s="1"/>
  <c r="G431" i="1"/>
  <c r="G429" i="1"/>
  <c r="I627" i="1"/>
  <c r="I625" i="1"/>
  <c r="I623" i="1"/>
  <c r="I622" i="1"/>
  <c r="I621" i="1"/>
  <c r="J381" i="1"/>
  <c r="I381" i="1"/>
  <c r="K379" i="1"/>
  <c r="I379" i="1"/>
  <c r="J379" i="1"/>
  <c r="G381" i="1"/>
  <c r="G379" i="1"/>
  <c r="I319" i="1" l="1"/>
  <c r="G319" i="1"/>
  <c r="I345" i="1"/>
  <c r="G345" i="1"/>
  <c r="I317" i="1"/>
  <c r="G317" i="1"/>
  <c r="G549" i="1"/>
  <c r="C18" i="2"/>
  <c r="L553" i="1"/>
  <c r="O468" i="1"/>
  <c r="Q469" i="1" s="1"/>
  <c r="M510" i="1"/>
  <c r="L472" i="1"/>
  <c r="N472" i="1" s="1"/>
  <c r="O472" i="1" s="1"/>
  <c r="O474" i="1"/>
  <c r="Q475" i="1" s="1"/>
  <c r="N475" i="1" s="1"/>
  <c r="L478" i="1"/>
  <c r="N478" i="1" s="1"/>
  <c r="O478" i="1" s="1"/>
  <c r="M379" i="1"/>
  <c r="K381" i="1"/>
  <c r="I109" i="1" l="1"/>
  <c r="I108" i="1"/>
  <c r="J188" i="1" l="1"/>
  <c r="I188" i="1"/>
  <c r="J122" i="1"/>
  <c r="I122" i="1"/>
  <c r="G929" i="1"/>
  <c r="G928" i="1"/>
  <c r="G927" i="1"/>
  <c r="G919" i="1"/>
  <c r="G918" i="1"/>
  <c r="G917" i="1"/>
  <c r="G915" i="1"/>
  <c r="G914" i="1"/>
  <c r="G913" i="1"/>
  <c r="G911" i="1"/>
  <c r="G910" i="1"/>
  <c r="G909" i="1"/>
  <c r="G900" i="1"/>
  <c r="G899" i="1"/>
  <c r="G898" i="1"/>
  <c r="G895" i="1"/>
  <c r="G894" i="1"/>
  <c r="G893" i="1"/>
  <c r="G891" i="1"/>
  <c r="G889" i="1"/>
  <c r="G888" i="1"/>
  <c r="G887" i="1"/>
  <c r="G886" i="1"/>
  <c r="G885" i="1"/>
  <c r="G884" i="1"/>
  <c r="G883" i="1"/>
  <c r="G882" i="1"/>
  <c r="G881" i="1"/>
  <c r="G875" i="1"/>
  <c r="G857" i="1"/>
  <c r="G826" i="1"/>
  <c r="G819" i="1"/>
  <c r="G818" i="1"/>
  <c r="G810" i="1"/>
  <c r="G809" i="1"/>
  <c r="G808" i="1"/>
  <c r="G801" i="1"/>
  <c r="G800" i="1"/>
  <c r="G799" i="1"/>
  <c r="G797" i="1"/>
  <c r="G796" i="1"/>
  <c r="G795" i="1"/>
  <c r="G777" i="1"/>
  <c r="G776" i="1"/>
  <c r="G775" i="1"/>
  <c r="G772" i="1"/>
  <c r="G771" i="1"/>
  <c r="G769" i="1"/>
  <c r="G756" i="1"/>
  <c r="G753" i="1"/>
  <c r="G722" i="1"/>
  <c r="G717" i="1"/>
  <c r="J722" i="1"/>
  <c r="J627" i="1"/>
  <c r="G627" i="1"/>
  <c r="J625" i="1"/>
  <c r="G625" i="1"/>
  <c r="J623" i="1"/>
  <c r="G623" i="1"/>
  <c r="J622" i="1"/>
  <c r="G622" i="1"/>
  <c r="J621" i="1"/>
  <c r="G597" i="1"/>
  <c r="G553" i="1"/>
  <c r="G513" i="1"/>
  <c r="K514" i="1"/>
  <c r="J514" i="1"/>
  <c r="I514" i="1"/>
  <c r="G514" i="1"/>
  <c r="G511" i="1"/>
  <c r="G510" i="1"/>
  <c r="O496" i="1"/>
  <c r="N496" i="1"/>
  <c r="M496" i="1"/>
  <c r="L496" i="1"/>
  <c r="K496" i="1"/>
  <c r="G494" i="1"/>
  <c r="G478" i="1"/>
  <c r="G476" i="1"/>
  <c r="G472" i="1"/>
  <c r="G469" i="1"/>
  <c r="G456" i="1"/>
  <c r="G422" i="1"/>
  <c r="G420" i="1"/>
  <c r="G417" i="1"/>
  <c r="G389" i="1"/>
  <c r="G388" i="1"/>
  <c r="I291" i="1"/>
  <c r="G291" i="1"/>
  <c r="I278" i="1"/>
  <c r="G278" i="1"/>
  <c r="I276" i="1"/>
  <c r="G276" i="1"/>
  <c r="G188" i="1"/>
  <c r="G187" i="1"/>
  <c r="G186" i="1"/>
  <c r="M166" i="1"/>
  <c r="J120" i="1"/>
  <c r="I119" i="1"/>
  <c r="J119" i="1" s="1"/>
  <c r="I118" i="1"/>
  <c r="G774" i="1" l="1"/>
  <c r="G548" i="1"/>
  <c r="G734" i="1"/>
  <c r="G803" i="1"/>
  <c r="G802" i="1"/>
  <c r="G896" i="1"/>
  <c r="G720" i="1"/>
  <c r="G547" i="1"/>
  <c r="G716" i="1"/>
  <c r="G496" i="1"/>
  <c r="G715" i="1"/>
  <c r="G721" i="1"/>
  <c r="G773" i="1"/>
  <c r="G924" i="1"/>
  <c r="I717" i="1"/>
  <c r="G594" i="1"/>
  <c r="I417" i="1"/>
  <c r="J417" i="1" s="1"/>
  <c r="K290" i="1"/>
  <c r="L290" i="1" s="1"/>
  <c r="M290" i="1" s="1"/>
  <c r="N290" i="1" s="1"/>
  <c r="O290" i="1" s="1"/>
  <c r="K122" i="1"/>
  <c r="L122" i="1" s="1"/>
  <c r="P496" i="1"/>
  <c r="K188" i="1"/>
  <c r="K621" i="1"/>
  <c r="G466" i="1"/>
  <c r="G664" i="1"/>
  <c r="C10" i="2" s="1"/>
  <c r="L624" i="1"/>
  <c r="L514" i="1"/>
  <c r="G500" i="1" l="1"/>
  <c r="C8" i="2" s="1"/>
  <c r="G860" i="1"/>
  <c r="C14" i="2" s="1"/>
  <c r="G993" i="1"/>
  <c r="C15" i="2" s="1"/>
  <c r="G783" i="1"/>
  <c r="C13" i="2" s="1"/>
  <c r="G733" i="1"/>
  <c r="G732" i="1"/>
  <c r="G387" i="1"/>
  <c r="L420" i="1"/>
  <c r="M420" i="1" s="1"/>
  <c r="I593" i="1"/>
  <c r="J593" i="1" s="1"/>
  <c r="K593" i="1" s="1"/>
  <c r="G593" i="1"/>
  <c r="G745" i="1" l="1"/>
  <c r="C17" i="2"/>
  <c r="G608" i="1"/>
  <c r="I115" i="1"/>
  <c r="I111" i="1"/>
  <c r="I105" i="1"/>
  <c r="J105" i="1" s="1"/>
  <c r="J95" i="1"/>
  <c r="I96" i="1"/>
  <c r="J96" i="1" s="1"/>
  <c r="P95" i="1"/>
  <c r="O95" i="1"/>
  <c r="N95" i="1"/>
  <c r="M95" i="1"/>
  <c r="L95" i="1"/>
  <c r="K95" i="1"/>
  <c r="I95" i="1"/>
  <c r="I69" i="1"/>
  <c r="K68" i="1"/>
  <c r="P68" i="1"/>
  <c r="O68" i="1"/>
  <c r="N68" i="1"/>
  <c r="M68" i="1"/>
  <c r="L68" i="1"/>
  <c r="J68" i="1"/>
  <c r="I68" i="1"/>
  <c r="K115" i="1" l="1"/>
  <c r="J69" i="1"/>
  <c r="Q68" i="1"/>
  <c r="R68" i="1" s="1"/>
  <c r="Q95" i="1"/>
  <c r="R95" i="1" s="1"/>
  <c r="L96" i="1" s="1"/>
  <c r="L115" i="1" l="1"/>
  <c r="K278" i="1"/>
  <c r="L278" i="1" s="1"/>
  <c r="M278" i="1" s="1"/>
  <c r="L69" i="1"/>
  <c r="J118" i="1" l="1"/>
  <c r="G122" i="1"/>
  <c r="G120" i="1"/>
  <c r="G119" i="1"/>
  <c r="G118" i="1"/>
  <c r="G115" i="1"/>
  <c r="G114" i="1"/>
  <c r="I62" i="1"/>
  <c r="G105" i="1" l="1"/>
  <c r="I65" i="1" l="1"/>
  <c r="G111" i="1" l="1"/>
  <c r="G109" i="1"/>
  <c r="G108" i="1"/>
  <c r="G113" i="1" l="1"/>
  <c r="G112" i="1"/>
  <c r="G96" i="1"/>
  <c r="G85" i="1"/>
  <c r="G82" i="1"/>
  <c r="G81" i="1"/>
  <c r="G70" i="1"/>
  <c r="G65" i="1"/>
  <c r="G62" i="1"/>
  <c r="G406" i="1" l="1"/>
  <c r="G31" i="1" l="1"/>
  <c r="G28" i="1"/>
  <c r="G54" i="1" l="1"/>
  <c r="C5" i="2" s="1"/>
  <c r="G88" i="1" l="1"/>
  <c r="C6" i="2" l="1"/>
  <c r="C12" i="2" l="1"/>
  <c r="C9" i="2" l="1"/>
  <c r="C7" i="2" l="1"/>
  <c r="C20" i="2" s="1"/>
  <c r="C21" i="2" s="1"/>
  <c r="C22" i="2" s="1"/>
  <c r="F20" i="2" l="1"/>
  <c r="F19" i="2"/>
</calcChain>
</file>

<file path=xl/sharedStrings.xml><?xml version="1.0" encoding="utf-8"?>
<sst xmlns="http://schemas.openxmlformats.org/spreadsheetml/2006/main" count="1855" uniqueCount="510">
  <si>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</si>
  <si>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</si>
  <si>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</si>
  <si>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</si>
  <si>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</si>
  <si>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</si>
  <si>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</si>
  <si>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</si>
  <si>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</si>
  <si>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</si>
  <si>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</si>
  <si>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</si>
  <si>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</si>
  <si>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</si>
  <si>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</si>
  <si>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</si>
  <si>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</si>
  <si>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</si>
  <si>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</si>
  <si>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</si>
  <si>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</si>
  <si>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</si>
  <si>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</si>
  <si>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</si>
  <si>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</si>
  <si>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</si>
  <si>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</si>
  <si>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</si>
  <si>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</si>
  <si>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</si>
  <si>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</si>
  <si>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</si>
  <si>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</si>
  <si>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</si>
  <si>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</si>
  <si>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</si>
  <si>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</si>
  <si>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</si>
  <si>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</si>
  <si>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</si>
  <si>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</si>
  <si>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</si>
  <si>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</si>
  <si>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</si>
  <si>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</si>
  <si>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</si>
  <si>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</si>
  <si>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</si>
  <si>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</si>
  <si>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</si>
  <si>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</si>
  <si>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</si>
  <si>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</si>
  <si>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</si>
  <si>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</si>
  <si>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</si>
  <si>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</si>
  <si>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</si>
  <si>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</si>
  <si>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</si>
  <si>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</si>
  <si>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</si>
  <si>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</si>
  <si>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</si>
  <si>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</si>
  <si>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</si>
  <si>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</si>
  <si>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</si>
  <si>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</si>
  <si>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</si>
  <si>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</si>
  <si>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</si>
  <si>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</si>
  <si>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</si>
  <si>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</si>
  <si>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</si>
  <si>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</si>
  <si>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</si>
  <si>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</si>
  <si>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</si>
  <si>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</si>
  <si>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</si>
  <si>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</si>
  <si>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</si>
  <si>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</si>
  <si>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</si>
  <si>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</si>
  <si>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</si>
  <si>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</si>
  <si>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</si>
  <si>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</si>
  <si>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</si>
  <si>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</si>
  <si>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</si>
  <si>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</si>
  <si>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</si>
  <si>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</si>
  <si>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</si>
  <si>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</si>
  <si>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</si>
  <si>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</si>
  <si>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</si>
  <si>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</si>
  <si>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</si>
  <si>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</si>
  <si>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</si>
  <si>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</si>
  <si>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</si>
  <si>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</si>
  <si>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</si>
  <si>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</si>
  <si>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</si>
  <si>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</si>
  <si>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</si>
  <si>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</si>
  <si>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</si>
  <si>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</si>
  <si>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</si>
  <si>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</si>
  <si>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</si>
  <si>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</si>
  <si>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</si>
  <si>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</si>
  <si>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</si>
  <si>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</si>
  <si>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</si>
  <si>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</si>
  <si>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</si>
  <si>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</si>
  <si>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</si>
  <si>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</si>
  <si>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</si>
  <si>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</si>
  <si>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</si>
  <si>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</si>
  <si>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</si>
  <si>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</si>
  <si>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</si>
  <si>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</si>
  <si>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</si>
  <si>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</si>
  <si>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</si>
  <si>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</si>
  <si>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</si>
  <si>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</si>
  <si>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</si>
  <si>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</si>
  <si>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</si>
  <si>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</si>
  <si>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</si>
  <si>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</si>
  <si>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</si>
  <si>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</si>
  <si>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</si>
  <si>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</si>
  <si>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</si>
  <si>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</si>
  <si>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</si>
  <si>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</si>
  <si>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</si>
  <si>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</si>
  <si>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</si>
  <si>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</si>
  <si>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</si>
  <si>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</si>
  <si>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</si>
  <si>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</si>
  <si>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</si>
  <si>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</si>
  <si>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</si>
  <si>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</si>
  <si>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</si>
  <si>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</si>
  <si>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</si>
  <si>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</si>
  <si>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</si>
  <si>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</si>
  <si>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</si>
  <si>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</si>
  <si>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</si>
  <si>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</si>
  <si>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</si>
  <si>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</si>
  <si>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</si>
  <si>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</si>
  <si>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</si>
  <si>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</si>
  <si>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</si>
  <si>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</si>
  <si>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</si>
  <si>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</si>
  <si>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</si>
  <si>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</si>
  <si>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</si>
  <si>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</si>
  <si>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</si>
  <si>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</si>
  <si>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</si>
  <si>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</si>
  <si>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</si>
  <si>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</si>
  <si>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</si>
  <si>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</si>
  <si>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</si>
  <si>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</si>
  <si>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</si>
  <si>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</si>
  <si>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</si>
  <si>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</si>
  <si>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</si>
  <si>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</si>
  <si>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</si>
  <si>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</si>
  <si>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</si>
  <si>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</si>
  <si>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</si>
  <si>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</si>
  <si>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</si>
  <si>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</si>
  <si>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</si>
  <si>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</si>
  <si>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</si>
  <si>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</si>
  <si>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</si>
  <si>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</si>
  <si>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</si>
  <si>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</si>
  <si>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</si>
  <si>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</si>
  <si>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</si>
  <si>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</si>
  <si>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</si>
  <si>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</si>
  <si>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</si>
  <si>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</si>
  <si>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</si>
  <si>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</si>
  <si>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</si>
  <si>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</si>
  <si>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</si>
  <si>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</si>
  <si>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</si>
  <si>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</si>
  <si>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</si>
  <si>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</si>
  <si>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</si>
  <si>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</si>
  <si>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 xml:space="preserve">Supply and Installation of STELCO approved Main Panel board with 7nos KWH meters. </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</si>
  <si>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</si>
  <si>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</si>
  <si>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</si>
  <si>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</si>
  <si>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</si>
  <si>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</si>
  <si>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</si>
  <si>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</si>
  <si>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</si>
  <si>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</si>
  <si>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</si>
  <si>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</si>
  <si>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</si>
  <si>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</si>
  <si>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</si>
  <si>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</si>
  <si>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</si>
  <si>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</si>
  <si>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</si>
  <si>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</si>
  <si>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</si>
  <si>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SLAB BEAM</t>
  </si>
  <si>
    <t>20mm dia deformed bars - 6m</t>
  </si>
  <si>
    <t>4.5</t>
  </si>
  <si>
    <t>WINDOW SILL &amp; LINTELS</t>
  </si>
  <si>
    <t xml:space="preserve">Charges for construction of R.c.c. Sills and Lintels for the windows and doors as per details. Rate shall include for shuttering and Reinforcement works complete. </t>
  </si>
  <si>
    <t>300x150x150mm solid block wall</t>
  </si>
  <si>
    <t>Interior walls</t>
  </si>
  <si>
    <t>External walls</t>
  </si>
  <si>
    <t>ABOVE ROOF BEAM</t>
  </si>
  <si>
    <t>External walls 150mm thick</t>
  </si>
  <si>
    <t xml:space="preserve">Internal surface of external wall </t>
  </si>
  <si>
    <t>Corridor</t>
  </si>
  <si>
    <t>Store</t>
  </si>
  <si>
    <t>Staircase</t>
  </si>
  <si>
    <t>ROOFING</t>
  </si>
  <si>
    <t>3)</t>
  </si>
  <si>
    <t>4)</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</si>
  <si>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</si>
  <si>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</si>
  <si>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</si>
  <si>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</si>
  <si>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</si>
  <si>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</si>
  <si>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</si>
  <si>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</si>
  <si>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</si>
  <si>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</si>
  <si>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</si>
  <si>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</si>
  <si>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</si>
  <si>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</si>
  <si>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</si>
  <si>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</si>
  <si>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</si>
  <si>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</si>
  <si>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</si>
  <si>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</si>
  <si>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</si>
  <si>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</si>
  <si>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</si>
  <si>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</si>
  <si>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</si>
  <si>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</si>
  <si>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</si>
  <si>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</si>
  <si>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</si>
  <si>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</si>
  <si>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</si>
  <si>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</si>
  <si>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</si>
  <si>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</si>
  <si>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</si>
  <si>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</si>
  <si>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</si>
  <si>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</si>
  <si>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</si>
  <si>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</si>
  <si>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</si>
  <si>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Cabling - Data Network points (Cat 06)</t>
  </si>
  <si>
    <t>Provision to remove the excess quantity given in the bill quantities if any as per the drawing details</t>
  </si>
  <si>
    <t xml:space="preserve">Toilet </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</si>
  <si>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</si>
  <si>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</si>
  <si>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</si>
  <si>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</si>
  <si>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b.1</t>
  </si>
  <si>
    <t>b.2</t>
  </si>
  <si>
    <t>Distribution board for Power Points</t>
  </si>
  <si>
    <t>Distribution board for Light Points</t>
  </si>
  <si>
    <t>a.1</t>
  </si>
  <si>
    <t>a.2</t>
  </si>
  <si>
    <t xml:space="preserve"> TOTAL           Mvr</t>
  </si>
  <si>
    <t>6% GST           Mvr</t>
  </si>
  <si>
    <t>GRAND TOTAL          Mvr</t>
  </si>
  <si>
    <t>GI. Railing  - Staircase</t>
  </si>
  <si>
    <t>GI. Railing  - BALCONY</t>
  </si>
  <si>
    <t>(2)</t>
  </si>
  <si>
    <t>(3)</t>
  </si>
  <si>
    <t>Foundations F1</t>
  </si>
  <si>
    <t>Foundations F2</t>
  </si>
  <si>
    <t>Foundations F3</t>
  </si>
  <si>
    <t>(4)</t>
  </si>
  <si>
    <t>(5)</t>
  </si>
  <si>
    <t>Foundations F4</t>
  </si>
  <si>
    <t>Foundations F5</t>
  </si>
  <si>
    <t>300mm thick highly compacted hard core from Ground floor to below ground floor slab</t>
  </si>
  <si>
    <t>Tie Beam TB</t>
  </si>
  <si>
    <t>C1</t>
  </si>
  <si>
    <t>C2</t>
  </si>
  <si>
    <t>C3</t>
  </si>
  <si>
    <t>C4</t>
  </si>
  <si>
    <t>B1</t>
  </si>
  <si>
    <t>B2</t>
  </si>
  <si>
    <t>B3</t>
  </si>
  <si>
    <t>SECOND FLOOR</t>
  </si>
  <si>
    <t>WCB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</si>
  <si>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</si>
  <si>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</si>
  <si>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</si>
  <si>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</si>
  <si>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</si>
  <si>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</si>
  <si>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 xml:space="preserve">External surface of exeterior wall </t>
  </si>
  <si>
    <t xml:space="preserve">Corridor </t>
  </si>
  <si>
    <t>Toilet (F)</t>
  </si>
  <si>
    <t>Toilet (M)</t>
  </si>
  <si>
    <t>(c) Tiles rate shall be given as specified in the drawing.</t>
  </si>
  <si>
    <r>
      <t>Apply 2 coats of Water proofing Compound</t>
    </r>
    <r>
      <rPr>
        <b/>
        <sz val="9"/>
        <rFont val="Times New Roman"/>
        <family val="1"/>
      </rPr>
      <t xml:space="preserve">, </t>
    </r>
    <r>
      <rPr>
        <sz val="9"/>
        <rFont val="Times New Roman"/>
        <family val="1"/>
      </rPr>
      <t xml:space="preserve">on wet surfaces - Toilets, Balcony and Terrace Floors. </t>
    </r>
  </si>
  <si>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</si>
  <si>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</si>
  <si>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</si>
  <si>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</si>
  <si>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</si>
  <si>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Bidet Shower</t>
  </si>
  <si>
    <t>Water Closet</t>
  </si>
  <si>
    <t>Gate Valve</t>
  </si>
  <si>
    <t>Floor Drain</t>
  </si>
  <si>
    <t>Bottle Trap</t>
  </si>
  <si>
    <t>Clean Out Point</t>
  </si>
  <si>
    <t>Floor Gully</t>
  </si>
  <si>
    <t>Ceiling Light (12W)</t>
  </si>
  <si>
    <t>Recessed Ceiling Light (12W)</t>
  </si>
  <si>
    <t>Light Switch (1 Gang )</t>
  </si>
  <si>
    <t>Light Switch (2 Gang )</t>
  </si>
  <si>
    <t>Light Switch (4 Gang )</t>
  </si>
  <si>
    <t>Light Switch (5 Gang )</t>
  </si>
  <si>
    <t>13A Power Socket</t>
  </si>
  <si>
    <t>13A Twin Socket</t>
  </si>
  <si>
    <t>Distribution Board</t>
  </si>
  <si>
    <t>Emergency Light</t>
  </si>
  <si>
    <t>42 inch To 48 inch Ceiling Fan</t>
  </si>
  <si>
    <t>Computer Network Outlet</t>
  </si>
  <si>
    <t>Ceiling Down Light (18W) - Weather Proof</t>
  </si>
  <si>
    <t>3 Ft Led Tube Light</t>
  </si>
  <si>
    <t>2.4.2</t>
  </si>
  <si>
    <t xml:space="preserve">SH. FOAKAIDHOO SCHOOL
(12 CLASS ROOM BUILDING) </t>
  </si>
  <si>
    <t>PROJECT: SH.FOAKAIDHOO SCHOOL 12 CLASSROOM BUILDING</t>
  </si>
  <si>
    <t>Foundations F6</t>
  </si>
  <si>
    <t>175mm thick R.c.c. Floor Slab</t>
  </si>
  <si>
    <t>155mm thick R.c.c. Floor Slab</t>
  </si>
  <si>
    <t>THIRD FLOOR</t>
  </si>
  <si>
    <t>RB1 @ Roof Beam level 1</t>
  </si>
  <si>
    <t>RB1 @ Roof Beam level 2</t>
  </si>
  <si>
    <t>RC SHADING SLABS</t>
  </si>
  <si>
    <t xml:space="preserve">Charges for Construction and  Installation of 100mm thick R.c.c. Shading slab at 1st, 2nd, 3rd &amp; Roof Beam levels as per drawing details. Rate shall include for; form work, reinforcement etc complete. </t>
  </si>
  <si>
    <t>RC SHADING WALLS</t>
  </si>
  <si>
    <t xml:space="preserve">Charges for Construction and  Installation of 100mm thick R.c.c. Shading walls at Gr, 1st, 2nd &amp; 3rd Floor levels as per drawing details. Rate shall include for; form work, reinforcement etc complete. </t>
  </si>
  <si>
    <r>
      <t xml:space="preserve">300x150x100mm solid block </t>
    </r>
    <r>
      <rPr>
        <b/>
        <sz val="9"/>
        <color theme="1"/>
        <rFont val="Times New Roman"/>
        <family val="1"/>
      </rPr>
      <t>single</t>
    </r>
    <r>
      <rPr>
        <sz val="9"/>
        <color theme="1"/>
        <rFont val="Times New Roman"/>
        <family val="1"/>
      </rPr>
      <t xml:space="preserve"> wall - 150mm thick</t>
    </r>
  </si>
  <si>
    <t>20mm thick Plastering</t>
  </si>
  <si>
    <r>
      <t xml:space="preserve">300x150x100mm solid block </t>
    </r>
    <r>
      <rPr>
        <b/>
        <sz val="9"/>
        <color theme="1"/>
        <rFont val="Times New Roman"/>
        <family val="1"/>
      </rPr>
      <t>single</t>
    </r>
    <r>
      <rPr>
        <sz val="9"/>
        <color theme="1"/>
        <rFont val="Times New Roman"/>
        <family val="1"/>
      </rPr>
      <t xml:space="preserve"> wall - 200mm thick</t>
    </r>
  </si>
  <si>
    <r>
      <t xml:space="preserve">300x150x150mm solid block </t>
    </r>
    <r>
      <rPr>
        <b/>
        <sz val="9"/>
        <color theme="1"/>
        <rFont val="Times New Roman"/>
        <family val="1"/>
      </rPr>
      <t>single</t>
    </r>
    <r>
      <rPr>
        <sz val="9"/>
        <color theme="1"/>
        <rFont val="Times New Roman"/>
        <family val="1"/>
      </rPr>
      <t xml:space="preserve"> wall - 200mm thick</t>
    </r>
  </si>
  <si>
    <t>Cleaner closet</t>
  </si>
  <si>
    <t>Classroom</t>
  </si>
  <si>
    <t>D4</t>
  </si>
  <si>
    <t>W1</t>
  </si>
  <si>
    <t>W2</t>
  </si>
  <si>
    <t>W5</t>
  </si>
  <si>
    <t>D2</t>
  </si>
  <si>
    <t>D1</t>
  </si>
  <si>
    <t>D3</t>
  </si>
  <si>
    <t>External</t>
  </si>
  <si>
    <t>Internal</t>
  </si>
  <si>
    <t>Supply, Fabrication and Installation of GI.Railing - Staircase as per details (Refer drawing)</t>
  </si>
  <si>
    <t xml:space="preserve">TR1 </t>
  </si>
  <si>
    <t>Supply and Fixing C - Purlins 50x100x2.5mm C purlins @ 900 C/C (29m)</t>
  </si>
  <si>
    <t>60.3mmØ x 3.2mm bracing pipe (29m)</t>
  </si>
  <si>
    <t>50mm mineral wool insulation
between purlins</t>
  </si>
  <si>
    <t>Ceiling Exhaust Fan</t>
  </si>
  <si>
    <t>Ceiling Recessed Spot Light (3W)</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</si>
  <si>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</si>
  <si>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</si>
  <si>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</si>
  <si>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</si>
  <si>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</si>
  <si>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</si>
  <si>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</si>
  <si>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</si>
  <si>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CO2 Extinguisher (load 2kg) In Polycarbonate Enclosure</t>
  </si>
  <si>
    <t>H2O Extinguisher (load 9L) In Polycarbonate Enclosure</t>
  </si>
  <si>
    <t>Manual Call Point</t>
  </si>
  <si>
    <t>Smoke Detector</t>
  </si>
  <si>
    <t>Beacon</t>
  </si>
  <si>
    <t>Sounder Bell</t>
  </si>
  <si>
    <t>Exit Sign</t>
  </si>
  <si>
    <t>BILL No: 12 - FIRE FIGHTING SYSTEM</t>
  </si>
  <si>
    <t>BILL No: 14</t>
  </si>
  <si>
    <t>14</t>
  </si>
  <si>
    <t>BILL No: 13 - ADDITIONS</t>
  </si>
  <si>
    <t>BILL No: 14 - OMISSIONS</t>
  </si>
  <si>
    <t>TOTAL OF BILL No: 14 - Carried over to summary</t>
  </si>
  <si>
    <t>Heat Resistant Low Smoke cable shall be laid for connecting the detectors.</t>
  </si>
  <si>
    <t>Connection to Fire Alarm Control Panel</t>
  </si>
  <si>
    <t>11.1.1</t>
  </si>
  <si>
    <t>Disable grab rail as per manufacturer spec.</t>
  </si>
  <si>
    <t>Safety</t>
  </si>
  <si>
    <t>1.6</t>
  </si>
  <si>
    <t>Insurance, Bonds, Guarantees and Warranties</t>
  </si>
  <si>
    <t>Insurance as stated in the General Consditions.</t>
  </si>
  <si>
    <t>10.0</t>
  </si>
  <si>
    <t>10.1.0</t>
  </si>
  <si>
    <t>10.1.1</t>
  </si>
  <si>
    <t>10.1.2</t>
  </si>
  <si>
    <t>10.1.3</t>
  </si>
  <si>
    <t>10.2.0</t>
  </si>
  <si>
    <t>10.2.1</t>
  </si>
  <si>
    <t>10.2.2</t>
  </si>
  <si>
    <t>10.2.3</t>
  </si>
  <si>
    <t>10.3.0</t>
  </si>
  <si>
    <t>10.3.1</t>
  </si>
  <si>
    <t>10.3.2</t>
  </si>
  <si>
    <t>10.3.3</t>
  </si>
  <si>
    <t>10.4.0</t>
  </si>
  <si>
    <t>10.4.1</t>
  </si>
  <si>
    <t>10.4.2</t>
  </si>
  <si>
    <t>10.4.3</t>
  </si>
  <si>
    <t>10.5.0</t>
  </si>
  <si>
    <t>10.5.1</t>
  </si>
  <si>
    <t>1.7</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</si>
  <si>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</si>
  <si>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</si>
  <si>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</si>
  <si>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</si>
  <si>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</si>
  <si>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Supply and Installation of  STELCO approved brand Distribution board with cabling and connection to main panel board and cabling from panel board to individual DB</t>
  </si>
  <si>
    <t>11.0</t>
  </si>
  <si>
    <t>11.1.0</t>
  </si>
  <si>
    <t>11.1.2</t>
  </si>
  <si>
    <t>11.2.3</t>
  </si>
  <si>
    <t>11.1.3</t>
  </si>
  <si>
    <t>11.2.1</t>
  </si>
  <si>
    <t>11.2.0</t>
  </si>
  <si>
    <t>11.2.2</t>
  </si>
  <si>
    <t>11.3.0</t>
  </si>
  <si>
    <t>11.3.2</t>
  </si>
  <si>
    <t>11.3.1</t>
  </si>
  <si>
    <t>11.3.3</t>
  </si>
  <si>
    <t>11.4.0</t>
  </si>
  <si>
    <t>11.4.1</t>
  </si>
  <si>
    <t>11.4.2</t>
  </si>
  <si>
    <t>11.4.3</t>
  </si>
  <si>
    <t>PROJECT : HDH KUMUNDHOO SCHOOL -12 CLASS ROOM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</si>
</sst>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0_);_(* \(#,##0.0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5">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94">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49" fontId="16" fillId="6" borderId="3" xfId="0" applyNumberFormat="1" applyFont="1" applyFill="1" applyBorder="1"/>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49" fontId="16" fillId="0" borderId="3" xfId="0"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0" fillId="0" borderId="0" xfId="0" applyFont="1" applyBorder="1"/>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49" fontId="16" fillId="3" borderId="3" xfId="0"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6" fillId="0" borderId="3" xfId="0" applyNumberFormat="1" applyFont="1" applyBorder="1" applyAlignment="1">
      <alignment vertical="top"/>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49" fontId="13" fillId="2" borderId="3" xfId="2" applyNumberFormat="1" applyFont="1" applyFill="1" applyBorder="1" applyAlignment="1">
      <alignment horizontal="center" vertical="justify"/>
    </xf>
    <xf numFmtId="0" fontId="11" fillId="2" borderId="4" xfId="2" applyNumberFormat="1" applyFont="1" applyFill="1" applyBorder="1" applyAlignment="1"/>
    <xf numFmtId="0" fontId="11" fillId="2" borderId="4" xfId="2" applyNumberFormat="1" applyFont="1" applyFill="1" applyBorder="1" applyAlignment="1">
      <alignment horizontal="left"/>
    </xf>
    <xf numFmtId="49" fontId="13" fillId="6" borderId="3" xfId="2" applyNumberFormat="1" applyFont="1" applyFill="1" applyBorder="1" applyAlignment="1">
      <alignment horizontal="center" vertical="justify"/>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49" fontId="13" fillId="3" borderId="3" xfId="2" applyNumberFormat="1" applyFont="1" applyFill="1" applyBorder="1" applyAlignment="1">
      <alignment horizontal="center" vertical="justify"/>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1" fillId="8" borderId="4" xfId="2" applyFont="1" applyFill="1" applyBorder="1" applyAlignment="1">
      <alignment horizontal="center"/>
    </xf>
    <xf numFmtId="49" fontId="13" fillId="2" borderId="3" xfId="2" applyNumberFormat="1" applyFont="1" applyFill="1" applyBorder="1" applyAlignment="1">
      <alignment horizontal="center"/>
    </xf>
    <xf numFmtId="0" fontId="25" fillId="3" borderId="4" xfId="0" applyFont="1" applyFill="1" applyBorder="1" applyAlignment="1">
      <alignment vertical="center" wrapText="1"/>
    </xf>
    <xf numFmtId="49" fontId="13" fillId="3" borderId="3" xfId="2" applyNumberFormat="1" applyFont="1" applyFill="1" applyBorder="1" applyAlignment="1">
      <alignment horizontal="center"/>
    </xf>
    <xf numFmtId="0" fontId="11" fillId="3" borderId="4" xfId="2" applyNumberFormat="1" applyFont="1" applyFill="1" applyBorder="1" applyAlignment="1">
      <alignment horizontal="left" wrapText="1"/>
    </xf>
    <xf numFmtId="43" fontId="11" fillId="3" borderId="4" xfId="2" applyFont="1" applyFill="1" applyBorder="1" applyAlignment="1">
      <alignment horizontal="center"/>
    </xf>
    <xf numFmtId="49" fontId="11" fillId="3" borderId="3" xfId="2" applyNumberFormat="1" applyFont="1" applyFill="1" applyBorder="1" applyAlignment="1">
      <alignment horizontal="center" vertical="top"/>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49" fontId="13" fillId="2" borderId="19" xfId="2" applyNumberFormat="1" applyFont="1" applyFill="1" applyBorder="1" applyAlignment="1">
      <alignment horizontal="center" vertical="justify"/>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49" fontId="13" fillId="2" borderId="3" xfId="3"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49" fontId="13" fillId="6" borderId="3" xfId="1" applyNumberFormat="1" applyFont="1" applyFill="1" applyBorder="1" applyAlignment="1">
      <alignment horizontal="left" vertical="justify"/>
    </xf>
    <xf numFmtId="0" fontId="12" fillId="6" borderId="4" xfId="2" applyNumberFormat="1" applyFont="1" applyFill="1" applyBorder="1" applyAlignment="1">
      <alignment horizontal="justify"/>
    </xf>
    <xf numFmtId="43" fontId="13" fillId="6" borderId="4" xfId="2" applyFont="1" applyFill="1" applyBorder="1" applyAlignment="1">
      <alignment horizontal="center"/>
    </xf>
    <xf numFmtId="43" fontId="13" fillId="6" borderId="4" xfId="1" applyFont="1" applyFill="1" applyBorder="1" applyAlignment="1">
      <alignment horizontal="center"/>
    </xf>
    <xf numFmtId="49" fontId="13" fillId="8" borderId="3" xfId="1" applyNumberFormat="1" applyFont="1" applyFill="1" applyBorder="1" applyAlignment="1">
      <alignment horizontal="left" vertical="justify"/>
    </xf>
    <xf numFmtId="43" fontId="11" fillId="8" borderId="4" xfId="1" applyFont="1" applyFill="1" applyBorder="1" applyAlignment="1">
      <alignment horizontal="center"/>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0" fillId="0" borderId="0" xfId="0" applyNumberFormat="1" applyFont="1" applyBorder="1"/>
    <xf numFmtId="49" fontId="13"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49" fontId="13" fillId="7" borderId="3" xfId="1" applyNumberFormat="1" applyFont="1" applyFill="1" applyBorder="1" applyAlignment="1">
      <alignment horizontal="left" vertical="justify"/>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49" fontId="24" fillId="3" borderId="3" xfId="0" applyNumberFormat="1" applyFont="1" applyFill="1" applyBorder="1" applyAlignment="1">
      <alignment horizontal="center" vertical="top"/>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165" fontId="13" fillId="5"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3" fontId="11" fillId="3" borderId="24" xfId="1" applyFont="1" applyFill="1" applyBorder="1" applyAlignment="1">
      <alignment horizontal="center"/>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49" fontId="13" fillId="2" borderId="33" xfId="2" applyNumberFormat="1" applyFont="1" applyFill="1" applyBorder="1" applyAlignment="1">
      <alignment horizontal="center" vertical="justify"/>
    </xf>
    <xf numFmtId="0" fontId="13" fillId="2" borderId="28" xfId="2" quotePrefix="1" applyNumberFormat="1" applyFont="1" applyFill="1" applyBorder="1" applyAlignment="1">
      <alignment horizontal="left"/>
    </xf>
    <xf numFmtId="49" fontId="13" fillId="2" borderId="34" xfId="2" applyNumberFormat="1" applyFont="1" applyFill="1" applyBorder="1" applyAlignment="1">
      <alignment horizontal="center" vertical="justify"/>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3" fontId="11" fillId="0" borderId="4" xfId="1" applyNumberFormat="1" applyFont="1" applyFill="1" applyBorder="1" applyAlignment="1"/>
    <xf numFmtId="43" fontId="16" fillId="0" borderId="5" xfId="1" applyFont="1" applyFill="1" applyBorder="1" applyAlignment="1"/>
    <xf numFmtId="49" fontId="10" fillId="0" borderId="3" xfId="0" applyNumberFormat="1" applyFont="1" applyFill="1" applyBorder="1"/>
    <xf numFmtId="0" fontId="10" fillId="0" borderId="4" xfId="0" applyFont="1" applyFill="1" applyBorder="1" applyAlignment="1">
      <alignment wrapText="1"/>
    </xf>
    <xf numFmtId="0" fontId="10" fillId="0" borderId="4" xfId="0" applyFont="1" applyFill="1" applyBorder="1" applyAlignment="1">
      <alignment horizontal="center"/>
    </xf>
    <xf numFmtId="43" fontId="10" fillId="0" borderId="4" xfId="1" applyNumberFormat="1" applyFont="1" applyFill="1" applyBorder="1"/>
    <xf numFmtId="49" fontId="16" fillId="6" borderId="3" xfId="0" applyNumberFormat="1" applyFont="1" applyFill="1" applyBorder="1" applyAlignment="1"/>
    <xf numFmtId="43" fontId="10" fillId="6" borderId="4" xfId="1" applyNumberFormat="1" applyFont="1" applyFill="1" applyBorder="1" applyAlignment="1"/>
    <xf numFmtId="165" fontId="10" fillId="0" borderId="4" xfId="1" applyNumberFormat="1" applyFont="1" applyFill="1" applyBorder="1" applyAlignment="1"/>
    <xf numFmtId="49" fontId="16" fillId="0" borderId="3" xfId="0" applyNumberFormat="1" applyFont="1" applyFill="1" applyBorder="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49" fontId="13" fillId="0" borderId="3" xfId="2" applyNumberFormat="1" applyFont="1" applyFill="1" applyBorder="1" applyAlignment="1">
      <alignment horizontal="center"/>
    </xf>
    <xf numFmtId="0" fontId="32" fillId="0" borderId="0" xfId="0" applyFont="1"/>
    <xf numFmtId="49" fontId="13" fillId="0" borderId="3" xfId="2" applyNumberFormat="1" applyFont="1" applyFill="1" applyBorder="1" applyAlignment="1">
      <alignment horizontal="center" vertical="justify"/>
    </xf>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3" fillId="0" borderId="3" xfId="1" applyNumberFormat="1" applyFont="1" applyFill="1" applyBorder="1" applyAlignment="1">
      <alignment horizontal="left" vertical="justify"/>
    </xf>
    <xf numFmtId="0" fontId="12" fillId="0" borderId="4" xfId="2" applyNumberFormat="1" applyFont="1" applyFill="1" applyBorder="1" applyAlignment="1">
      <alignment horizontal="justify"/>
    </xf>
    <xf numFmtId="43" fontId="11" fillId="0" borderId="4" xfId="1" applyFont="1" applyFill="1" applyBorder="1" applyAlignment="1">
      <alignment horizontal="center"/>
    </xf>
    <xf numFmtId="0" fontId="13" fillId="0" borderId="4" xfId="3" applyFont="1" applyFill="1" applyBorder="1" applyAlignment="1">
      <alignment horizontal="center"/>
    </xf>
    <xf numFmtId="49" fontId="11" fillId="0" borderId="3" xfId="1" applyNumberFormat="1" applyFont="1" applyFill="1" applyBorder="1" applyAlignment="1">
      <alignment horizontal="left" vertical="justify"/>
    </xf>
    <xf numFmtId="0" fontId="11" fillId="0" borderId="4" xfId="3" applyFont="1" applyFill="1" applyBorder="1" applyAlignment="1">
      <alignment horizontal="left" wrapText="1"/>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43" fontId="10" fillId="0" borderId="30" xfId="1" applyNumberFormat="1" applyFont="1" applyBorder="1"/>
    <xf numFmtId="165" fontId="10" fillId="0" borderId="30" xfId="1" applyNumberFormat="1" applyFont="1" applyFill="1" applyBorder="1"/>
    <xf numFmtId="0" fontId="10" fillId="0" borderId="32" xfId="0" applyFont="1" applyBorder="1" applyAlignment="1">
      <alignment horizontal="center"/>
    </xf>
    <xf numFmtId="43" fontId="10" fillId="0" borderId="32" xfId="1" applyNumberFormat="1" applyFont="1" applyBorder="1"/>
    <xf numFmtId="165" fontId="10" fillId="0" borderId="32" xfId="1" applyNumberFormat="1" applyFont="1" applyFill="1" applyBorder="1"/>
    <xf numFmtId="43" fontId="10" fillId="0" borderId="30" xfId="1" applyFont="1" applyBorder="1"/>
    <xf numFmtId="43" fontId="10" fillId="0" borderId="32" xfId="1" applyFont="1" applyBorder="1"/>
    <xf numFmtId="0" fontId="31" fillId="0" borderId="4" xfId="3" applyFont="1" applyBorder="1" applyAlignment="1">
      <alignment horizontal="left" wrapText="1"/>
    </xf>
    <xf numFmtId="165" fontId="11" fillId="0" borderId="3" xfId="1" applyNumberFormat="1" applyFont="1" applyFill="1" applyBorder="1" applyAlignment="1">
      <alignment horizontal="left" vertical="justify"/>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165" fontId="11" fillId="9" borderId="3" xfId="1" applyNumberFormat="1" applyFont="1" applyFill="1" applyBorder="1" applyAlignment="1">
      <alignment horizontal="left" vertical="justify"/>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165" fontId="11" fillId="2" borderId="3" xfId="1" applyNumberFormat="1" applyFont="1" applyFill="1" applyBorder="1" applyAlignment="1">
      <alignment horizontal="left"/>
    </xf>
    <xf numFmtId="0" fontId="12" fillId="0" borderId="4" xfId="3" applyNumberFormat="1" applyFont="1" applyBorder="1" applyAlignment="1">
      <alignment horizontal="left"/>
    </xf>
    <xf numFmtId="0" fontId="13" fillId="3" borderId="4" xfId="3" applyFont="1" applyFill="1" applyBorder="1" applyAlignment="1">
      <alignment horizontal="left" wrapText="1"/>
    </xf>
    <xf numFmtId="0" fontId="13" fillId="3" borderId="4" xfId="3" applyFont="1" applyFill="1" applyBorder="1" applyAlignment="1">
      <alignment horizontal="center"/>
    </xf>
    <xf numFmtId="0" fontId="33" fillId="0" borderId="45" xfId="0" applyFont="1" applyBorder="1" applyAlignment="1">
      <alignment horizontal="center" vertical="center"/>
    </xf>
    <xf numFmtId="0" fontId="33"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1485900</xdr:colOff>
      <xdr:row>32</xdr:row>
      <xdr:rowOff>19050</xdr:rowOff>
    </xdr:from>
    <xdr:to>
      <xdr:col>0</xdr:col>
      <xdr:colOff>4883150</xdr:colOff>
      <xdr:row>33</xdr:row>
      <xdr:rowOff>776856</xdr:rowOff>
    </xdr:to>
    <xdr:pic>
      <xdr:nvPicPr>
        <xdr:cNvPr id="2" name="Picture 1" descr="http://www.epoch.associates/images/Epoch-logo-final-1.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5900" y="8096250"/>
          <a:ext cx="3397250" cy="995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E31" sqref="E31"/>
    </sheetView>
  </sheetViews>
  <sheetFormatPr defaultRowHeight="15" x14ac:dyDescent="0.25"/>
  <cols>
    <col min="1" max="1" width="100.85546875" customWidth="1"/>
  </cols>
  <sheetData>
    <row r="1" spans="1:1" x14ac:dyDescent="0.25">
      <c r="A1" s="264"/>
    </row>
    <row r="2" spans="1:1" x14ac:dyDescent="0.25">
      <c r="A2" s="265"/>
    </row>
    <row r="3" spans="1:1" x14ac:dyDescent="0.25">
      <c r="A3" s="265"/>
    </row>
    <row r="4" spans="1:1" x14ac:dyDescent="0.25">
      <c r="A4" s="265"/>
    </row>
    <row r="5" spans="1:1" x14ac:dyDescent="0.25">
      <c r="A5" s="265"/>
    </row>
    <row r="6" spans="1:1" x14ac:dyDescent="0.25">
      <c r="A6" s="265"/>
    </row>
    <row r="7" spans="1:1" ht="33.75" x14ac:dyDescent="0.65">
      <c r="A7" s="266" t="s">
        <v>158</v>
      </c>
    </row>
    <row r="8" spans="1:1" ht="18.75" x14ac:dyDescent="0.4">
      <c r="A8" s="267"/>
    </row>
    <row r="9" spans="1:1" ht="18.75" x14ac:dyDescent="0.4">
      <c r="A9" s="267"/>
    </row>
    <row r="10" spans="1:1" ht="18.75" x14ac:dyDescent="0.4">
      <c r="A10" s="267"/>
    </row>
    <row r="11" spans="1:1" ht="18.75" x14ac:dyDescent="0.4">
      <c r="A11" s="267"/>
    </row>
    <row r="12" spans="1:1" ht="18.75" x14ac:dyDescent="0.4">
      <c r="A12" s="267"/>
    </row>
    <row r="13" spans="1:1" s="38" customFormat="1" ht="90.75" customHeight="1" x14ac:dyDescent="0.25">
      <c r="A13" s="268" t="s">
        <v>404</v>
      </c>
    </row>
    <row r="14" spans="1:1" x14ac:dyDescent="0.25">
      <c r="A14" s="265"/>
    </row>
    <row r="15" spans="1:1" ht="16.5" customHeight="1" x14ac:dyDescent="0.25">
      <c r="A15" s="265"/>
    </row>
    <row r="16" spans="1:1" ht="16.5" customHeight="1" x14ac:dyDescent="0.25">
      <c r="A16" s="265"/>
    </row>
    <row r="17" spans="1:1" ht="16.5" customHeight="1" x14ac:dyDescent="0.25">
      <c r="A17" s="265"/>
    </row>
    <row r="18" spans="1:1" ht="16.5" customHeight="1" x14ac:dyDescent="0.25">
      <c r="A18" s="265"/>
    </row>
    <row r="19" spans="1:1" ht="16.5" customHeight="1" x14ac:dyDescent="0.25">
      <c r="A19" s="265"/>
    </row>
    <row r="20" spans="1:1" ht="16.5" customHeight="1" x14ac:dyDescent="0.25">
      <c r="A20" s="265"/>
    </row>
    <row r="21" spans="1:1" x14ac:dyDescent="0.25">
      <c r="A21" s="265"/>
    </row>
    <row r="22" spans="1:1" x14ac:dyDescent="0.25">
      <c r="A22" s="265"/>
    </row>
    <row r="23" spans="1:1" x14ac:dyDescent="0.25">
      <c r="A23" s="265"/>
    </row>
    <row r="24" spans="1:1" ht="18.75" x14ac:dyDescent="0.4">
      <c r="A24" s="269" t="s">
        <v>313</v>
      </c>
    </row>
    <row r="25" spans="1:1" ht="18.75" x14ac:dyDescent="0.4">
      <c r="A25" s="270" t="s">
        <v>311</v>
      </c>
    </row>
    <row r="26" spans="1:1" ht="18.75" x14ac:dyDescent="0.4">
      <c r="A26" s="270" t="s">
        <v>312</v>
      </c>
    </row>
    <row r="27" spans="1:1" ht="18.75" x14ac:dyDescent="0.4">
      <c r="A27" s="267"/>
    </row>
    <row r="28" spans="1:1" ht="18.75" x14ac:dyDescent="0.4">
      <c r="A28" s="267"/>
    </row>
    <row r="29" spans="1:1" ht="18.75" x14ac:dyDescent="0.4">
      <c r="A29" s="267"/>
    </row>
    <row r="30" spans="1:1" ht="18.75" x14ac:dyDescent="0.4">
      <c r="A30" s="267"/>
    </row>
    <row r="31" spans="1:1" ht="18.75" x14ac:dyDescent="0.4">
      <c r="A31" s="267"/>
    </row>
    <row r="32" spans="1:1" ht="18.75" x14ac:dyDescent="0.4">
      <c r="A32" s="269" t="s">
        <v>163</v>
      </c>
    </row>
    <row r="33" spans="1:1" ht="18.75" customHeight="1" x14ac:dyDescent="0.25">
      <c r="A33" s="388"/>
    </row>
    <row r="34" spans="1:1" ht="65.25" customHeight="1" thickBot="1" x14ac:dyDescent="0.3">
      <c r="A34" s="389"/>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topLeftCell="A7" workbookViewId="0">
      <selection activeCell="B11" sqref="B11"/>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3">
      <c r="A1" s="390" t="s">
        <v>405</v>
      </c>
      <c r="B1" s="390"/>
      <c r="C1" s="390"/>
    </row>
    <row r="2" spans="1:3" ht="15.75" x14ac:dyDescent="0.25">
      <c r="A2" s="391" t="s">
        <v>73</v>
      </c>
      <c r="B2" s="391"/>
      <c r="C2" s="391"/>
    </row>
    <row r="3" spans="1:3" ht="15.75" thickBot="1" x14ac:dyDescent="0.3">
      <c r="A3" s="1"/>
      <c r="B3" s="2"/>
      <c r="C3" s="3"/>
    </row>
    <row r="4" spans="1:3" ht="20.100000000000001" customHeight="1" thickTop="1" thickBot="1" x14ac:dyDescent="0.35">
      <c r="A4" s="4" t="s">
        <v>74</v>
      </c>
      <c r="B4" s="5" t="s">
        <v>75</v>
      </c>
      <c r="C4" s="6" t="s">
        <v>76</v>
      </c>
    </row>
    <row r="5" spans="1:3" ht="24.95" customHeight="1" thickTop="1" x14ac:dyDescent="0.25">
      <c r="A5" s="7" t="s">
        <v>77</v>
      </c>
      <c r="B5" s="8" t="s">
        <v>17</v>
      </c>
      <c r="C5" s="9">
        <f>Boq!G54</f>
        <v>0</v>
      </c>
    </row>
    <row r="6" spans="1:3" ht="24.95" customHeight="1" x14ac:dyDescent="0.25">
      <c r="A6" s="10" t="s">
        <v>78</v>
      </c>
      <c r="B6" s="11" t="s">
        <v>79</v>
      </c>
      <c r="C6" s="12">
        <f>Boq!G88</f>
        <v>0</v>
      </c>
    </row>
    <row r="7" spans="1:3" ht="24.95" customHeight="1" x14ac:dyDescent="0.25">
      <c r="A7" s="10" t="s">
        <v>80</v>
      </c>
      <c r="B7" s="11" t="s">
        <v>81</v>
      </c>
      <c r="C7" s="12">
        <f>Boq!G478</f>
        <v>0</v>
      </c>
    </row>
    <row r="8" spans="1:3" ht="24.95" customHeight="1" x14ac:dyDescent="0.25">
      <c r="A8" s="10" t="s">
        <v>82</v>
      </c>
      <c r="B8" s="11" t="s">
        <v>83</v>
      </c>
      <c r="C8" s="12">
        <f>Boq!G500</f>
        <v>0</v>
      </c>
    </row>
    <row r="9" spans="1:3" ht="24.95" customHeight="1" x14ac:dyDescent="0.25">
      <c r="A9" s="10" t="s">
        <v>84</v>
      </c>
      <c r="B9" s="11" t="s">
        <v>85</v>
      </c>
      <c r="C9" s="12">
        <f>Boq!G742</f>
        <v>0</v>
      </c>
    </row>
    <row r="10" spans="1:3" ht="24.95" customHeight="1" x14ac:dyDescent="0.25">
      <c r="A10" s="10" t="s">
        <v>86</v>
      </c>
      <c r="B10" s="11" t="s">
        <v>88</v>
      </c>
      <c r="C10" s="12">
        <f>Boq!G664</f>
        <v>0</v>
      </c>
    </row>
    <row r="11" spans="1:3" ht="24.95" customHeight="1" x14ac:dyDescent="0.25">
      <c r="A11" s="10" t="s">
        <v>87</v>
      </c>
      <c r="B11" s="11" t="s">
        <v>438</v>
      </c>
      <c r="C11" s="12">
        <f>Boq!G706</f>
        <v>0</v>
      </c>
    </row>
    <row r="12" spans="1:3" ht="24.95" customHeight="1" x14ac:dyDescent="0.25">
      <c r="A12" s="10" t="s">
        <v>89</v>
      </c>
      <c r="B12" s="11" t="s">
        <v>92</v>
      </c>
      <c r="C12" s="12">
        <f>Boq!G867</f>
        <v>0</v>
      </c>
    </row>
    <row r="13" spans="1:3" ht="24.95" customHeight="1" x14ac:dyDescent="0.25">
      <c r="A13" s="10" t="s">
        <v>91</v>
      </c>
      <c r="B13" s="11" t="s">
        <v>94</v>
      </c>
      <c r="C13" s="12">
        <f>Boq!G783</f>
        <v>0</v>
      </c>
    </row>
    <row r="14" spans="1:3" ht="24.95" customHeight="1" x14ac:dyDescent="0.25">
      <c r="A14" s="10" t="s">
        <v>93</v>
      </c>
      <c r="B14" s="11" t="s">
        <v>96</v>
      </c>
      <c r="C14" s="12">
        <f>Boq!G860</f>
        <v>0</v>
      </c>
    </row>
    <row r="15" spans="1:3" ht="24.95" customHeight="1" x14ac:dyDescent="0.25">
      <c r="A15" s="10" t="s">
        <v>95</v>
      </c>
      <c r="B15" s="11" t="s">
        <v>97</v>
      </c>
      <c r="C15" s="12">
        <f>Boq!G993</f>
        <v>0</v>
      </c>
    </row>
    <row r="16" spans="1:3" ht="24.95" customHeight="1" x14ac:dyDescent="0.25">
      <c r="A16" s="10" t="s">
        <v>298</v>
      </c>
      <c r="B16" s="11" t="s">
        <v>439</v>
      </c>
      <c r="C16" s="12">
        <f>Boq!G1046</f>
        <v>0</v>
      </c>
    </row>
    <row r="17" spans="1:6" ht="24.95" customHeight="1" x14ac:dyDescent="0.25">
      <c r="A17" s="10" t="s">
        <v>305</v>
      </c>
      <c r="B17" s="11" t="s">
        <v>306</v>
      </c>
      <c r="C17" s="12">
        <f>Boq!G1083</f>
        <v>0</v>
      </c>
      <c r="F17" s="44"/>
    </row>
    <row r="18" spans="1:6" ht="24.95" customHeight="1" x14ac:dyDescent="0.25">
      <c r="A18" s="10" t="s">
        <v>455</v>
      </c>
      <c r="B18" s="11" t="s">
        <v>307</v>
      </c>
      <c r="C18" s="12">
        <f>-Boq!G1127</f>
        <v>0</v>
      </c>
    </row>
    <row r="19" spans="1:6" ht="24.95" customHeight="1" thickBot="1" x14ac:dyDescent="0.3">
      <c r="A19" s="13"/>
      <c r="B19" s="14"/>
      <c r="C19" s="15"/>
      <c r="F19" s="44">
        <f>C20*3%</f>
        <v>0</v>
      </c>
    </row>
    <row r="20" spans="1:6" ht="24.95" customHeight="1" thickTop="1" x14ac:dyDescent="0.25">
      <c r="A20" s="255"/>
      <c r="B20" s="256" t="s">
        <v>340</v>
      </c>
      <c r="C20" s="257">
        <f>SUM(C5:C18)</f>
        <v>0</v>
      </c>
      <c r="F20" s="44">
        <f>C20*0.05</f>
        <v>0</v>
      </c>
    </row>
    <row r="21" spans="1:6" ht="24.95" customHeight="1" x14ac:dyDescent="0.25">
      <c r="A21" s="258"/>
      <c r="B21" s="259" t="s">
        <v>341</v>
      </c>
      <c r="C21" s="260">
        <f>C20*6%</f>
        <v>0</v>
      </c>
    </row>
    <row r="22" spans="1:6" ht="31.5" customHeight="1" thickBot="1" x14ac:dyDescent="0.3">
      <c r="A22" s="261"/>
      <c r="B22" s="262" t="s">
        <v>342</v>
      </c>
      <c r="C22" s="263">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27"/>
  <sheetViews>
    <sheetView showGridLines="0" tabSelected="1" showWhiteSpace="0" view="pageBreakPreview" zoomScaleNormal="100" zoomScaleSheetLayoutView="100" workbookViewId="0">
      <selection activeCell="K14" sqref="K14"/>
    </sheetView>
  </sheetViews>
  <sheetFormatPr defaultRowHeight="12" x14ac:dyDescent="0.2"/>
  <cols>
    <col min="1" max="1" width="5.5703125" style="31" customWidth="1"/>
    <col min="2" max="2" width="37.28515625" style="16" customWidth="1"/>
    <col min="3" max="3" width="4.7109375" style="17" customWidth="1"/>
    <col min="4" max="4" width="8.85546875" style="18" customWidth="1"/>
    <col min="5" max="5" width="11.85546875" style="308" customWidth="1"/>
    <col min="6" max="6" width="11.5703125" style="304" customWidth="1"/>
    <col min="7" max="7" width="12.42578125" style="304"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392" t="s">
        <v>509</v>
      </c>
      <c r="B1" s="392"/>
      <c r="C1" s="392"/>
      <c r="D1" s="392"/>
      <c r="E1" s="392"/>
      <c r="F1" s="392"/>
      <c r="G1" s="392"/>
    </row>
    <row r="2" spans="1:10" ht="12.75" thickBot="1" x14ac:dyDescent="0.25">
      <c r="E2" s="393"/>
      <c r="F2" s="393"/>
      <c r="G2" s="393"/>
    </row>
    <row r="3" spans="1:10" s="19" customFormat="1" ht="12.75" thickBot="1" x14ac:dyDescent="0.3">
      <c r="A3" s="214" t="s">
        <v>0</v>
      </c>
      <c r="B3" s="215" t="s">
        <v>1</v>
      </c>
      <c r="C3" s="215" t="s">
        <v>2</v>
      </c>
      <c r="D3" s="216" t="s">
        <v>3</v>
      </c>
      <c r="E3" s="216" t="s">
        <v>4</v>
      </c>
      <c r="F3" s="216" t="s">
        <v>5</v>
      </c>
      <c r="G3" s="216" t="s">
        <v>6</v>
      </c>
    </row>
    <row r="4" spans="1:10" s="19" customFormat="1" x14ac:dyDescent="0.2">
      <c r="A4" s="217"/>
      <c r="B4" s="218" t="s">
        <v>16</v>
      </c>
      <c r="C4" s="219"/>
      <c r="D4" s="220"/>
      <c r="E4" s="271"/>
      <c r="F4" s="272"/>
      <c r="G4" s="273"/>
      <c r="I4" s="41"/>
      <c r="J4" s="40"/>
    </row>
    <row r="5" spans="1:10" s="19" customFormat="1" x14ac:dyDescent="0.2">
      <c r="A5" s="56"/>
      <c r="B5" s="82" t="s">
        <v>17</v>
      </c>
      <c r="C5" s="83"/>
      <c r="D5" s="84"/>
      <c r="E5" s="271"/>
      <c r="F5" s="272"/>
      <c r="G5" s="273"/>
    </row>
    <row r="6" spans="1:10" s="19" customFormat="1" x14ac:dyDescent="0.2">
      <c r="A6" s="56"/>
      <c r="B6" s="221"/>
      <c r="C6" s="83"/>
      <c r="D6" s="84"/>
      <c r="E6" s="271"/>
      <c r="F6" s="272"/>
      <c r="G6" s="273"/>
    </row>
    <row r="7" spans="1:10" s="19" customFormat="1" x14ac:dyDescent="0.2">
      <c r="A7" s="56">
        <v>1.1000000000000001</v>
      </c>
      <c r="B7" s="85" t="s">
        <v>18</v>
      </c>
      <c r="C7" s="83"/>
      <c r="D7" s="84"/>
      <c r="E7" s="271"/>
      <c r="F7" s="272"/>
      <c r="G7" s="273"/>
    </row>
    <row r="8" spans="1:10" s="19" customFormat="1" x14ac:dyDescent="0.2">
      <c r="A8" s="222" t="s">
        <v>7</v>
      </c>
      <c r="B8" s="223" t="s">
        <v>19</v>
      </c>
      <c r="C8" s="83"/>
      <c r="D8" s="84"/>
      <c r="E8" s="271"/>
      <c r="F8" s="272"/>
      <c r="G8" s="273"/>
    </row>
    <row r="9" spans="1:10" s="19" customFormat="1" x14ac:dyDescent="0.2">
      <c r="A9" s="56"/>
      <c r="B9" s="123" t="s">
        <v>20</v>
      </c>
      <c r="C9" s="83"/>
      <c r="D9" s="84"/>
      <c r="E9" s="271"/>
      <c r="F9" s="272"/>
      <c r="G9" s="273"/>
    </row>
    <row r="10" spans="1:10" s="19" customFormat="1" x14ac:dyDescent="0.2">
      <c r="A10" s="56"/>
      <c r="B10" s="123" t="s">
        <v>21</v>
      </c>
      <c r="C10" s="83"/>
      <c r="D10" s="84"/>
      <c r="E10" s="271"/>
      <c r="F10" s="272"/>
      <c r="G10" s="273"/>
    </row>
    <row r="11" spans="1:10" s="19" customFormat="1" x14ac:dyDescent="0.2">
      <c r="A11" s="56"/>
      <c r="B11" s="123" t="s">
        <v>22</v>
      </c>
      <c r="C11" s="83"/>
      <c r="D11" s="84"/>
      <c r="E11" s="271"/>
      <c r="F11" s="272"/>
      <c r="G11" s="273"/>
    </row>
    <row r="12" spans="1:10" s="19" customFormat="1" x14ac:dyDescent="0.2">
      <c r="A12" s="56"/>
      <c r="B12" s="123" t="s">
        <v>23</v>
      </c>
      <c r="C12" s="83"/>
      <c r="D12" s="84"/>
      <c r="E12" s="271"/>
      <c r="F12" s="272"/>
      <c r="G12" s="273"/>
    </row>
    <row r="13" spans="1:10" s="19" customFormat="1" x14ac:dyDescent="0.2">
      <c r="A13" s="56"/>
      <c r="B13" s="123" t="s">
        <v>20</v>
      </c>
      <c r="C13" s="83"/>
      <c r="D13" s="84"/>
      <c r="E13" s="271"/>
      <c r="F13" s="272"/>
      <c r="G13" s="273"/>
    </row>
    <row r="14" spans="1:10" s="19" customFormat="1" x14ac:dyDescent="0.2">
      <c r="A14" s="56"/>
      <c r="B14" s="123" t="s">
        <v>24</v>
      </c>
      <c r="C14" s="83"/>
      <c r="D14" s="84"/>
      <c r="E14" s="271"/>
      <c r="F14" s="272"/>
      <c r="G14" s="273"/>
    </row>
    <row r="15" spans="1:10" s="19" customFormat="1" x14ac:dyDescent="0.2">
      <c r="A15" s="56"/>
      <c r="B15" s="123" t="s">
        <v>25</v>
      </c>
      <c r="C15" s="83"/>
      <c r="D15" s="84"/>
      <c r="E15" s="271"/>
      <c r="F15" s="272"/>
      <c r="G15" s="273"/>
    </row>
    <row r="16" spans="1:10" s="19" customFormat="1" x14ac:dyDescent="0.2">
      <c r="A16" s="56"/>
      <c r="B16" s="123" t="s">
        <v>26</v>
      </c>
      <c r="C16" s="83"/>
      <c r="D16" s="84"/>
      <c r="E16" s="271"/>
      <c r="F16" s="272"/>
      <c r="G16" s="273"/>
    </row>
    <row r="17" spans="1:7" s="19" customFormat="1" x14ac:dyDescent="0.2">
      <c r="A17" s="56"/>
      <c r="B17" s="123" t="s">
        <v>27</v>
      </c>
      <c r="C17" s="83"/>
      <c r="D17" s="84"/>
      <c r="E17" s="271"/>
      <c r="F17" s="272"/>
      <c r="G17" s="273"/>
    </row>
    <row r="18" spans="1:7" s="19" customFormat="1" x14ac:dyDescent="0.2">
      <c r="A18" s="56"/>
      <c r="B18" s="123" t="s">
        <v>28</v>
      </c>
      <c r="C18" s="83"/>
      <c r="D18" s="84"/>
      <c r="E18" s="271"/>
      <c r="F18" s="272"/>
      <c r="G18" s="273"/>
    </row>
    <row r="19" spans="1:7" s="19" customFormat="1" x14ac:dyDescent="0.2">
      <c r="A19" s="56"/>
      <c r="B19" s="123" t="s">
        <v>29</v>
      </c>
      <c r="C19" s="83"/>
      <c r="D19" s="84"/>
      <c r="E19" s="271"/>
      <c r="F19" s="272"/>
      <c r="G19" s="273"/>
    </row>
    <row r="20" spans="1:7" s="19" customFormat="1" x14ac:dyDescent="0.2">
      <c r="A20" s="56"/>
      <c r="B20" s="123"/>
      <c r="C20" s="83"/>
      <c r="D20" s="84"/>
      <c r="E20" s="271"/>
      <c r="F20" s="272"/>
      <c r="G20" s="273"/>
    </row>
    <row r="21" spans="1:7" s="19" customFormat="1" x14ac:dyDescent="0.2">
      <c r="A21" s="222">
        <v>1.2</v>
      </c>
      <c r="B21" s="150" t="s">
        <v>30</v>
      </c>
      <c r="C21" s="58"/>
      <c r="D21" s="59"/>
      <c r="E21" s="271"/>
      <c r="F21" s="272"/>
      <c r="G21" s="273"/>
    </row>
    <row r="22" spans="1:7" s="19" customFormat="1" ht="60.75" customHeight="1" x14ac:dyDescent="0.2">
      <c r="A22" s="56" t="s">
        <v>7</v>
      </c>
      <c r="B22" s="89" t="s">
        <v>217</v>
      </c>
      <c r="C22" s="58" t="s">
        <v>0</v>
      </c>
      <c r="D22" s="59">
        <v>1</v>
      </c>
      <c r="E22" s="271"/>
      <c r="F22" s="274"/>
      <c r="G22" s="275">
        <f t="shared" ref="G22:G31" si="0">(D22*E22)+(D22*F22)</f>
        <v>0</v>
      </c>
    </row>
    <row r="23" spans="1:7" s="19" customFormat="1" x14ac:dyDescent="0.2">
      <c r="A23" s="222"/>
      <c r="B23" s="89"/>
      <c r="C23" s="58"/>
      <c r="D23" s="59"/>
      <c r="E23" s="271"/>
      <c r="F23" s="274"/>
      <c r="G23" s="275"/>
    </row>
    <row r="24" spans="1:7" s="19" customFormat="1" x14ac:dyDescent="0.2">
      <c r="A24" s="56">
        <v>1.3</v>
      </c>
      <c r="B24" s="150" t="s">
        <v>31</v>
      </c>
      <c r="C24" s="58"/>
      <c r="D24" s="59"/>
      <c r="E24" s="271"/>
      <c r="F24" s="274"/>
      <c r="G24" s="275"/>
    </row>
    <row r="25" spans="1:7" s="19" customFormat="1" x14ac:dyDescent="0.2">
      <c r="A25" s="56" t="s">
        <v>7</v>
      </c>
      <c r="B25" s="224" t="s">
        <v>32</v>
      </c>
      <c r="C25" s="58" t="s">
        <v>33</v>
      </c>
      <c r="D25" s="59">
        <v>1</v>
      </c>
      <c r="E25" s="271"/>
      <c r="F25" s="274"/>
      <c r="G25" s="275">
        <f t="shared" si="0"/>
        <v>0</v>
      </c>
    </row>
    <row r="26" spans="1:7" s="19" customFormat="1" x14ac:dyDescent="0.2">
      <c r="A26" s="56"/>
      <c r="B26" s="224"/>
      <c r="C26" s="58"/>
      <c r="D26" s="59"/>
      <c r="E26" s="271"/>
      <c r="F26" s="274"/>
      <c r="G26" s="275"/>
    </row>
    <row r="27" spans="1:7" s="19" customFormat="1" x14ac:dyDescent="0.2">
      <c r="A27" s="56" t="s">
        <v>159</v>
      </c>
      <c r="B27" s="150" t="s">
        <v>463</v>
      </c>
      <c r="C27" s="58"/>
      <c r="D27" s="59"/>
      <c r="E27" s="271"/>
      <c r="F27" s="274"/>
      <c r="G27" s="275"/>
    </row>
    <row r="28" spans="1:7" s="19" customFormat="1" ht="39.75" customHeight="1" x14ac:dyDescent="0.2">
      <c r="A28" s="56" t="s">
        <v>7</v>
      </c>
      <c r="B28" s="104" t="s">
        <v>243</v>
      </c>
      <c r="C28" s="58" t="s">
        <v>0</v>
      </c>
      <c r="D28" s="59">
        <v>1</v>
      </c>
      <c r="E28" s="271"/>
      <c r="F28" s="274"/>
      <c r="G28" s="275">
        <f t="shared" si="0"/>
        <v>0</v>
      </c>
    </row>
    <row r="29" spans="1:7" s="19" customFormat="1" x14ac:dyDescent="0.2">
      <c r="A29" s="56"/>
      <c r="B29" s="224"/>
      <c r="C29" s="58"/>
      <c r="D29" s="59"/>
      <c r="E29" s="271"/>
      <c r="F29" s="274"/>
      <c r="G29" s="275"/>
    </row>
    <row r="30" spans="1:7" s="19" customFormat="1" x14ac:dyDescent="0.2">
      <c r="A30" s="63" t="s">
        <v>171</v>
      </c>
      <c r="B30" s="225" t="s">
        <v>34</v>
      </c>
      <c r="C30" s="65"/>
      <c r="D30" s="66"/>
      <c r="E30" s="271"/>
      <c r="F30" s="274"/>
      <c r="G30" s="275"/>
    </row>
    <row r="31" spans="1:7" s="19" customFormat="1" ht="27.75" customHeight="1" x14ac:dyDescent="0.2">
      <c r="A31" s="56" t="s">
        <v>7</v>
      </c>
      <c r="B31" s="80" t="s">
        <v>35</v>
      </c>
      <c r="C31" s="58" t="s">
        <v>0</v>
      </c>
      <c r="D31" s="59">
        <v>1</v>
      </c>
      <c r="E31" s="271"/>
      <c r="F31" s="274"/>
      <c r="G31" s="275">
        <f t="shared" si="0"/>
        <v>0</v>
      </c>
    </row>
    <row r="32" spans="1:7" s="19" customFormat="1" x14ac:dyDescent="0.2">
      <c r="A32" s="222"/>
      <c r="B32" s="80"/>
      <c r="C32" s="58"/>
      <c r="D32" s="59"/>
      <c r="E32" s="271"/>
      <c r="F32" s="272"/>
      <c r="G32" s="275"/>
    </row>
    <row r="33" spans="1:7" s="19" customFormat="1" x14ac:dyDescent="0.2">
      <c r="A33" s="63" t="s">
        <v>464</v>
      </c>
      <c r="B33" s="225" t="s">
        <v>465</v>
      </c>
      <c r="C33" s="65"/>
      <c r="D33" s="66"/>
      <c r="E33" s="271"/>
      <c r="F33" s="274"/>
      <c r="G33" s="275"/>
    </row>
    <row r="34" spans="1:7" s="19" customFormat="1" x14ac:dyDescent="0.2">
      <c r="A34" s="56" t="s">
        <v>7</v>
      </c>
      <c r="B34" s="80" t="s">
        <v>466</v>
      </c>
      <c r="C34" s="58" t="s">
        <v>0</v>
      </c>
      <c r="D34" s="59">
        <v>1</v>
      </c>
      <c r="E34" s="271"/>
      <c r="F34" s="274"/>
      <c r="G34" s="275">
        <f t="shared" ref="G34" si="1">(D34*E34)+(D34*F34)</f>
        <v>0</v>
      </c>
    </row>
    <row r="35" spans="1:7" s="19" customFormat="1" x14ac:dyDescent="0.2">
      <c r="A35" s="222"/>
      <c r="B35" s="80"/>
      <c r="C35" s="58"/>
      <c r="D35" s="59"/>
      <c r="E35" s="271"/>
      <c r="F35" s="272"/>
      <c r="G35" s="273"/>
    </row>
    <row r="36" spans="1:7" s="19" customFormat="1" x14ac:dyDescent="0.2">
      <c r="A36" s="222"/>
      <c r="B36" s="80"/>
      <c r="C36" s="58"/>
      <c r="D36" s="59"/>
      <c r="E36" s="271"/>
      <c r="F36" s="272"/>
      <c r="G36" s="273"/>
    </row>
    <row r="37" spans="1:7" s="19" customFormat="1" x14ac:dyDescent="0.2">
      <c r="A37" s="63" t="s">
        <v>486</v>
      </c>
      <c r="B37" s="225" t="s">
        <v>487</v>
      </c>
      <c r="C37" s="65"/>
      <c r="D37" s="66"/>
      <c r="E37" s="271"/>
      <c r="F37" s="274"/>
      <c r="G37" s="275"/>
    </row>
    <row r="38" spans="1:7" s="19" customFormat="1" x14ac:dyDescent="0.2">
      <c r="A38" s="56" t="s">
        <v>7</v>
      </c>
      <c r="B38" s="80" t="s">
        <v>488</v>
      </c>
      <c r="C38" s="58" t="s">
        <v>0</v>
      </c>
      <c r="D38" s="59">
        <v>1</v>
      </c>
      <c r="E38" s="271"/>
      <c r="F38" s="274"/>
      <c r="G38" s="275">
        <f t="shared" ref="G38" si="2">(D38*E38)+(D38*F38)</f>
        <v>0</v>
      </c>
    </row>
    <row r="39" spans="1:7" s="19" customFormat="1" x14ac:dyDescent="0.2">
      <c r="A39" s="222"/>
      <c r="B39" s="80"/>
      <c r="C39" s="58"/>
      <c r="D39" s="59"/>
      <c r="E39" s="271"/>
      <c r="F39" s="272"/>
      <c r="G39" s="273"/>
    </row>
    <row r="40" spans="1:7" s="19" customFormat="1" x14ac:dyDescent="0.2">
      <c r="A40" s="222"/>
      <c r="B40" s="80"/>
      <c r="C40" s="58"/>
      <c r="D40" s="59"/>
      <c r="E40" s="271"/>
      <c r="F40" s="272"/>
      <c r="G40" s="273"/>
    </row>
    <row r="41" spans="1:7" s="19" customFormat="1" x14ac:dyDescent="0.2">
      <c r="A41" s="222"/>
      <c r="B41" s="80"/>
      <c r="C41" s="58"/>
      <c r="D41" s="59"/>
      <c r="E41" s="271"/>
      <c r="F41" s="272"/>
      <c r="G41" s="273"/>
    </row>
    <row r="42" spans="1:7" s="19" customFormat="1" x14ac:dyDescent="0.2">
      <c r="A42" s="222"/>
      <c r="B42" s="80"/>
      <c r="C42" s="58"/>
      <c r="D42" s="59"/>
      <c r="E42" s="271"/>
      <c r="F42" s="272"/>
      <c r="G42" s="273"/>
    </row>
    <row r="43" spans="1:7" s="19" customFormat="1" x14ac:dyDescent="0.2">
      <c r="A43" s="222"/>
      <c r="B43" s="80"/>
      <c r="C43" s="58"/>
      <c r="D43" s="59"/>
      <c r="E43" s="271"/>
      <c r="F43" s="272"/>
      <c r="G43" s="273"/>
    </row>
    <row r="44" spans="1:7" s="19" customFormat="1" x14ac:dyDescent="0.2">
      <c r="A44" s="222"/>
      <c r="B44" s="80"/>
      <c r="C44" s="58"/>
      <c r="D44" s="59"/>
      <c r="E44" s="271"/>
      <c r="F44" s="272"/>
      <c r="G44" s="273"/>
    </row>
    <row r="45" spans="1:7" s="19" customFormat="1" x14ac:dyDescent="0.2">
      <c r="A45" s="222"/>
      <c r="B45" s="80"/>
      <c r="C45" s="58"/>
      <c r="D45" s="59"/>
      <c r="E45" s="271"/>
      <c r="F45" s="272"/>
      <c r="G45" s="273"/>
    </row>
    <row r="46" spans="1:7" s="19" customFormat="1" x14ac:dyDescent="0.2">
      <c r="A46" s="222"/>
      <c r="B46" s="80"/>
      <c r="C46" s="58"/>
      <c r="D46" s="59"/>
      <c r="E46" s="271"/>
      <c r="F46" s="272"/>
      <c r="G46" s="273"/>
    </row>
    <row r="47" spans="1:7" s="19" customFormat="1" x14ac:dyDescent="0.2">
      <c r="A47" s="222"/>
      <c r="B47" s="80"/>
      <c r="C47" s="58"/>
      <c r="D47" s="59"/>
      <c r="E47" s="271"/>
      <c r="F47" s="272"/>
      <c r="G47" s="273"/>
    </row>
    <row r="48" spans="1:7" s="19" customFormat="1" x14ac:dyDescent="0.2">
      <c r="A48" s="222"/>
      <c r="B48" s="80"/>
      <c r="C48" s="58"/>
      <c r="D48" s="59"/>
      <c r="E48" s="271"/>
      <c r="F48" s="272"/>
      <c r="G48" s="273"/>
    </row>
    <row r="49" spans="1:9" s="19" customFormat="1" x14ac:dyDescent="0.2">
      <c r="A49" s="222"/>
      <c r="B49" s="80"/>
      <c r="C49" s="58"/>
      <c r="D49" s="59"/>
      <c r="E49" s="271"/>
      <c r="F49" s="272"/>
      <c r="G49" s="273"/>
    </row>
    <row r="50" spans="1:9" s="19" customFormat="1" x14ac:dyDescent="0.2">
      <c r="A50" s="222"/>
      <c r="B50" s="80"/>
      <c r="C50" s="58"/>
      <c r="D50" s="59"/>
      <c r="E50" s="271"/>
      <c r="F50" s="272"/>
      <c r="G50" s="273"/>
    </row>
    <row r="51" spans="1:9" s="19" customFormat="1" x14ac:dyDescent="0.2">
      <c r="A51" s="222"/>
      <c r="B51" s="80"/>
      <c r="C51" s="58"/>
      <c r="D51" s="59"/>
      <c r="E51" s="271"/>
      <c r="F51" s="272"/>
      <c r="G51" s="273"/>
    </row>
    <row r="52" spans="1:9" s="19" customFormat="1" ht="12.75" thickBot="1" x14ac:dyDescent="0.25">
      <c r="A52" s="222"/>
      <c r="B52" s="80"/>
      <c r="C52" s="58"/>
      <c r="D52" s="59"/>
      <c r="E52" s="271"/>
      <c r="F52" s="272"/>
      <c r="G52" s="273"/>
    </row>
    <row r="53" spans="1:9" s="19" customFormat="1" x14ac:dyDescent="0.2">
      <c r="A53" s="226"/>
      <c r="B53" s="227" t="s">
        <v>36</v>
      </c>
      <c r="C53" s="228"/>
      <c r="D53" s="229"/>
      <c r="E53" s="229"/>
      <c r="F53" s="229"/>
      <c r="G53" s="229"/>
    </row>
    <row r="54" spans="1:9" s="19" customFormat="1" ht="12.75" thickBot="1" x14ac:dyDescent="0.25">
      <c r="A54" s="230"/>
      <c r="B54" s="231" t="s">
        <v>37</v>
      </c>
      <c r="C54" s="232"/>
      <c r="D54" s="233"/>
      <c r="E54" s="349"/>
      <c r="F54" s="350"/>
      <c r="G54" s="351">
        <f>SUM(G22:G53)</f>
        <v>0</v>
      </c>
    </row>
    <row r="55" spans="1:9" s="19" customFormat="1" x14ac:dyDescent="0.2">
      <c r="A55" s="56"/>
      <c r="B55" s="155"/>
      <c r="C55" s="163"/>
      <c r="D55" s="59"/>
      <c r="E55" s="271"/>
      <c r="F55" s="272"/>
      <c r="G55" s="273"/>
    </row>
    <row r="56" spans="1:9" s="19" customFormat="1" x14ac:dyDescent="0.2">
      <c r="A56" s="56"/>
      <c r="B56" s="82" t="s">
        <v>38</v>
      </c>
      <c r="C56" s="83"/>
      <c r="D56" s="84"/>
      <c r="E56" s="271"/>
      <c r="F56" s="272"/>
      <c r="G56" s="273"/>
    </row>
    <row r="57" spans="1:9" s="19" customFormat="1" x14ac:dyDescent="0.2">
      <c r="A57" s="56"/>
      <c r="B57" s="82" t="s">
        <v>39</v>
      </c>
      <c r="C57" s="83"/>
      <c r="D57" s="84"/>
      <c r="E57" s="271"/>
      <c r="F57" s="272"/>
      <c r="G57" s="273"/>
    </row>
    <row r="58" spans="1:9" s="19" customFormat="1" x14ac:dyDescent="0.2">
      <c r="A58" s="56">
        <v>2.1</v>
      </c>
      <c r="B58" s="85" t="s">
        <v>40</v>
      </c>
      <c r="C58" s="83"/>
      <c r="D58" s="84"/>
      <c r="E58" s="271"/>
      <c r="F58" s="272"/>
      <c r="G58" s="273"/>
    </row>
    <row r="59" spans="1:9" s="19" customFormat="1" ht="48" x14ac:dyDescent="0.2">
      <c r="A59" s="56"/>
      <c r="B59" s="86" t="s">
        <v>218</v>
      </c>
      <c r="C59" s="87"/>
      <c r="D59" s="87"/>
      <c r="E59" s="276"/>
      <c r="F59" s="276"/>
      <c r="G59" s="277"/>
    </row>
    <row r="60" spans="1:9" s="19" customFormat="1" ht="7.5" customHeight="1" x14ac:dyDescent="0.25">
      <c r="A60" s="46"/>
      <c r="B60" s="34"/>
      <c r="C60" s="34"/>
      <c r="D60" s="35"/>
      <c r="E60" s="278"/>
      <c r="F60" s="279"/>
      <c r="G60" s="280"/>
    </row>
    <row r="61" spans="1:9" s="19" customFormat="1" x14ac:dyDescent="0.2">
      <c r="A61" s="56" t="s">
        <v>10</v>
      </c>
      <c r="B61" s="88" t="s">
        <v>58</v>
      </c>
      <c r="C61" s="58"/>
      <c r="D61" s="75"/>
      <c r="E61" s="281"/>
      <c r="F61" s="274"/>
      <c r="G61" s="275"/>
    </row>
    <row r="62" spans="1:9" s="19" customFormat="1" ht="48.75" customHeight="1" x14ac:dyDescent="0.2">
      <c r="A62" s="56"/>
      <c r="B62" s="89" t="s">
        <v>59</v>
      </c>
      <c r="C62" s="58" t="s">
        <v>43</v>
      </c>
      <c r="D62" s="90">
        <v>311</v>
      </c>
      <c r="E62" s="271"/>
      <c r="F62" s="274"/>
      <c r="G62" s="275">
        <f t="shared" ref="G62:G70" si="3">(D62*E62)+(D62*F62)</f>
        <v>0</v>
      </c>
      <c r="I62" s="19">
        <f>20.4*13.675</f>
        <v>278.96999999999997</v>
      </c>
    </row>
    <row r="63" spans="1:9" s="19" customFormat="1" ht="8.25" customHeight="1" x14ac:dyDescent="0.2">
      <c r="A63" s="56"/>
      <c r="B63" s="89"/>
      <c r="C63" s="58"/>
      <c r="D63" s="90"/>
      <c r="E63" s="271"/>
      <c r="F63" s="274"/>
      <c r="G63" s="275"/>
    </row>
    <row r="64" spans="1:9" s="19" customFormat="1" x14ac:dyDescent="0.2">
      <c r="A64" s="56" t="s">
        <v>15</v>
      </c>
      <c r="B64" s="91" t="s">
        <v>41</v>
      </c>
      <c r="C64" s="58"/>
      <c r="D64" s="92"/>
      <c r="E64" s="271"/>
      <c r="F64" s="274"/>
      <c r="G64" s="275"/>
    </row>
    <row r="65" spans="1:18" s="19" customFormat="1" ht="51" customHeight="1" x14ac:dyDescent="0.2">
      <c r="A65" s="56"/>
      <c r="B65" s="93" t="s">
        <v>42</v>
      </c>
      <c r="C65" s="58" t="s">
        <v>43</v>
      </c>
      <c r="D65" s="90">
        <v>50</v>
      </c>
      <c r="E65" s="271"/>
      <c r="F65" s="274"/>
      <c r="G65" s="275">
        <f t="shared" si="3"/>
        <v>0</v>
      </c>
      <c r="I65" s="19">
        <f>16.336*8.75</f>
        <v>142.94</v>
      </c>
    </row>
    <row r="66" spans="1:18" s="19" customFormat="1" ht="8.25" customHeight="1" x14ac:dyDescent="0.2">
      <c r="A66" s="56"/>
      <c r="B66" s="94"/>
      <c r="C66" s="58"/>
      <c r="D66" s="59"/>
      <c r="E66" s="271"/>
      <c r="F66" s="274"/>
      <c r="G66" s="275"/>
    </row>
    <row r="67" spans="1:18" s="19" customFormat="1" x14ac:dyDescent="0.2">
      <c r="A67" s="56" t="s">
        <v>46</v>
      </c>
      <c r="B67" s="64" t="s">
        <v>44</v>
      </c>
      <c r="C67" s="58"/>
      <c r="D67" s="59"/>
      <c r="E67" s="271"/>
      <c r="F67" s="274"/>
      <c r="G67" s="275"/>
    </row>
    <row r="68" spans="1:18" s="19" customFormat="1" ht="50.25" customHeight="1" x14ac:dyDescent="0.2">
      <c r="A68" s="47"/>
      <c r="B68" s="95" t="s">
        <v>331</v>
      </c>
      <c r="C68" s="96"/>
      <c r="D68" s="96"/>
      <c r="E68" s="282"/>
      <c r="F68" s="274"/>
      <c r="G68" s="275"/>
      <c r="I68" s="19">
        <f>1.1*1.1*6</f>
        <v>7.2600000000000016</v>
      </c>
      <c r="J68" s="19">
        <f>1.45*1.45*8</f>
        <v>16.82</v>
      </c>
      <c r="K68" s="19">
        <f>1.35*1.35*11</f>
        <v>20.047500000000003</v>
      </c>
      <c r="L68" s="19">
        <f>1.2*1.2*4</f>
        <v>5.76</v>
      </c>
      <c r="M68" s="19">
        <f>0.9*0.9*2</f>
        <v>1.62</v>
      </c>
      <c r="N68" s="19">
        <f>1.25*1.25*4</f>
        <v>6.25</v>
      </c>
      <c r="O68" s="19">
        <f>1.95*1.95*4</f>
        <v>15.209999999999999</v>
      </c>
      <c r="P68" s="19">
        <f>2.05*2.05*4</f>
        <v>16.809999999999999</v>
      </c>
      <c r="Q68" s="19">
        <f>SUM(I67:P68)</f>
        <v>89.777500000000003</v>
      </c>
      <c r="R68" s="19">
        <f>Q68*1.25</f>
        <v>112.22187500000001</v>
      </c>
    </row>
    <row r="69" spans="1:18" s="19" customFormat="1" ht="12.75" customHeight="1" x14ac:dyDescent="0.25">
      <c r="A69" s="56" t="s">
        <v>48</v>
      </c>
      <c r="B69" s="97" t="s">
        <v>44</v>
      </c>
      <c r="C69" s="58"/>
      <c r="D69" s="59"/>
      <c r="E69" s="271"/>
      <c r="F69" s="274"/>
      <c r="G69" s="275"/>
      <c r="I69" s="19">
        <f>3.195+3.255+1.25+2.87+2.93+2.72+2.93+2.98*3+2.92*3+3.195+3.255+1.25+2.175+2.15+2.2*7+2.225+2.175+2.1*3+2.15*5+2.225+2.5+2.4*3+2.225*5+2.325+1.85*2+4.75*2+4.85*2</f>
        <v>133.99999999999997</v>
      </c>
      <c r="J69" s="45">
        <f>I69*0.55*0.95</f>
        <v>70.014999999999986</v>
      </c>
      <c r="K69" s="17"/>
      <c r="L69" s="17">
        <f>J69+R68</f>
        <v>182.236875</v>
      </c>
      <c r="M69" s="17"/>
    </row>
    <row r="70" spans="1:18" s="17" customFormat="1" ht="15" x14ac:dyDescent="0.25">
      <c r="A70" s="81" t="s">
        <v>7</v>
      </c>
      <c r="B70" s="98" t="s">
        <v>347</v>
      </c>
      <c r="C70" s="58" t="s">
        <v>45</v>
      </c>
      <c r="D70" s="59">
        <v>19.494</v>
      </c>
      <c r="E70" s="271"/>
      <c r="F70" s="283"/>
      <c r="G70" s="284">
        <f t="shared" si="3"/>
        <v>0</v>
      </c>
      <c r="J70" s="45"/>
    </row>
    <row r="71" spans="1:18" s="17" customFormat="1" ht="15" x14ac:dyDescent="0.25">
      <c r="A71" s="81" t="s">
        <v>345</v>
      </c>
      <c r="B71" s="98" t="s">
        <v>348</v>
      </c>
      <c r="C71" s="58" t="s">
        <v>45</v>
      </c>
      <c r="D71" s="59">
        <v>13.824</v>
      </c>
      <c r="E71" s="271"/>
      <c r="F71" s="283"/>
      <c r="G71" s="284">
        <f t="shared" ref="G71" si="4">(D71*E71)+(D71*F71)</f>
        <v>0</v>
      </c>
      <c r="J71" s="45"/>
    </row>
    <row r="72" spans="1:18" s="17" customFormat="1" ht="15" x14ac:dyDescent="0.25">
      <c r="A72" s="81" t="s">
        <v>346</v>
      </c>
      <c r="B72" s="98" t="s">
        <v>349</v>
      </c>
      <c r="C72" s="58" t="s">
        <v>45</v>
      </c>
      <c r="D72" s="59">
        <v>11.616000000000001</v>
      </c>
      <c r="E72" s="271"/>
      <c r="F72" s="283"/>
      <c r="G72" s="284">
        <f t="shared" ref="G72" si="5">(D72*E72)+(D72*F72)</f>
        <v>0</v>
      </c>
      <c r="J72" s="45"/>
    </row>
    <row r="73" spans="1:18" s="17" customFormat="1" ht="15" x14ac:dyDescent="0.25">
      <c r="A73" s="81" t="s">
        <v>350</v>
      </c>
      <c r="B73" s="98" t="s">
        <v>352</v>
      </c>
      <c r="C73" s="58" t="s">
        <v>45</v>
      </c>
      <c r="D73" s="59">
        <v>34.655999999999999</v>
      </c>
      <c r="E73" s="271"/>
      <c r="F73" s="283"/>
      <c r="G73" s="284">
        <f t="shared" ref="G73" si="6">(D73*E73)+(D73*F73)</f>
        <v>0</v>
      </c>
      <c r="J73" s="45"/>
    </row>
    <row r="74" spans="1:18" s="17" customFormat="1" ht="15" x14ac:dyDescent="0.25">
      <c r="A74" s="81" t="s">
        <v>351</v>
      </c>
      <c r="B74" s="98" t="s">
        <v>353</v>
      </c>
      <c r="C74" s="58" t="s">
        <v>45</v>
      </c>
      <c r="D74" s="59">
        <v>36.75</v>
      </c>
      <c r="E74" s="271"/>
      <c r="F74" s="283"/>
      <c r="G74" s="284">
        <f t="shared" ref="G74:G76" si="7">(D74*E74)+(D74*F74)</f>
        <v>0</v>
      </c>
      <c r="J74" s="45"/>
    </row>
    <row r="75" spans="1:18" s="17" customFormat="1" ht="15" x14ac:dyDescent="0.25">
      <c r="A75" s="81" t="s">
        <v>365</v>
      </c>
      <c r="B75" s="98" t="s">
        <v>406</v>
      </c>
      <c r="C75" s="58" t="s">
        <v>45</v>
      </c>
      <c r="D75" s="59">
        <v>24.335999999999999</v>
      </c>
      <c r="E75" s="271"/>
      <c r="F75" s="283"/>
      <c r="G75" s="284">
        <f t="shared" ref="G75" si="8">(D75*E75)+(D75*F75)</f>
        <v>0</v>
      </c>
      <c r="J75" s="45"/>
    </row>
    <row r="76" spans="1:18" x14ac:dyDescent="0.2">
      <c r="A76" s="56"/>
      <c r="B76" s="67" t="s">
        <v>355</v>
      </c>
      <c r="C76" s="58" t="s">
        <v>45</v>
      </c>
      <c r="D76" s="59">
        <v>53.280000000000008</v>
      </c>
      <c r="E76" s="271"/>
      <c r="F76" s="274"/>
      <c r="G76" s="275">
        <f t="shared" si="7"/>
        <v>0</v>
      </c>
      <c r="I76" s="26">
        <f>32.2*4+4.02*2+4.08*2+1.8*2</f>
        <v>148.6</v>
      </c>
      <c r="J76" s="21">
        <f>I76*0.25*0.45</f>
        <v>16.717500000000001</v>
      </c>
      <c r="K76" s="21"/>
      <c r="L76" s="49"/>
      <c r="M76" s="19"/>
      <c r="N76" s="49"/>
    </row>
    <row r="77" spans="1:18" s="19" customFormat="1" x14ac:dyDescent="0.2">
      <c r="A77" s="56"/>
      <c r="B77" s="67"/>
      <c r="C77" s="58"/>
      <c r="D77" s="59"/>
      <c r="E77" s="271"/>
      <c r="F77" s="272"/>
      <c r="G77" s="275"/>
    </row>
    <row r="78" spans="1:18" s="19" customFormat="1" x14ac:dyDescent="0.2">
      <c r="A78" s="56" t="s">
        <v>403</v>
      </c>
      <c r="B78" s="99" t="s">
        <v>47</v>
      </c>
      <c r="C78" s="58"/>
      <c r="D78" s="59"/>
      <c r="E78" s="271"/>
      <c r="F78" s="272"/>
      <c r="G78" s="273"/>
    </row>
    <row r="79" spans="1:18" s="19" customFormat="1" ht="25.5" customHeight="1" x14ac:dyDescent="0.25">
      <c r="A79" s="56"/>
      <c r="B79" s="60" t="s">
        <v>236</v>
      </c>
      <c r="C79" s="61"/>
      <c r="D79" s="61"/>
      <c r="E79" s="285"/>
      <c r="F79" s="272"/>
      <c r="G79" s="273"/>
    </row>
    <row r="80" spans="1:18" s="19" customFormat="1" ht="25.5" customHeight="1" x14ac:dyDescent="0.25">
      <c r="A80" s="56"/>
      <c r="B80" s="80" t="s">
        <v>237</v>
      </c>
      <c r="C80" s="100"/>
      <c r="D80" s="100"/>
      <c r="E80" s="286"/>
      <c r="F80" s="272"/>
      <c r="G80" s="273"/>
    </row>
    <row r="81" spans="1:18" s="19" customFormat="1" ht="24" x14ac:dyDescent="0.2">
      <c r="A81" s="56" t="s">
        <v>161</v>
      </c>
      <c r="B81" s="101" t="s">
        <v>354</v>
      </c>
      <c r="C81" s="58" t="s">
        <v>43</v>
      </c>
      <c r="D81" s="90">
        <v>311</v>
      </c>
      <c r="E81" s="271"/>
      <c r="F81" s="274"/>
      <c r="G81" s="275">
        <f t="shared" ref="G81:G85" si="9">(D81*E81)+(D81*F81)</f>
        <v>0</v>
      </c>
      <c r="I81" s="19">
        <f>32.2*10.725</f>
        <v>345.34500000000003</v>
      </c>
    </row>
    <row r="82" spans="1:18" s="19" customFormat="1" ht="38.25" customHeight="1" x14ac:dyDescent="0.2">
      <c r="A82" s="56" t="s">
        <v>162</v>
      </c>
      <c r="B82" s="101" t="s">
        <v>264</v>
      </c>
      <c r="C82" s="58" t="s">
        <v>43</v>
      </c>
      <c r="D82" s="90">
        <v>311</v>
      </c>
      <c r="E82" s="271"/>
      <c r="F82" s="274"/>
      <c r="G82" s="275">
        <f t="shared" si="9"/>
        <v>0</v>
      </c>
    </row>
    <row r="83" spans="1:18" s="19" customFormat="1" x14ac:dyDescent="0.2">
      <c r="A83" s="56" t="s">
        <v>314</v>
      </c>
      <c r="B83" s="64" t="s">
        <v>49</v>
      </c>
      <c r="C83" s="58"/>
      <c r="D83" s="59"/>
      <c r="E83" s="271"/>
      <c r="F83" s="274"/>
      <c r="G83" s="275"/>
    </row>
    <row r="84" spans="1:18" s="19" customFormat="1" ht="27" customHeight="1" x14ac:dyDescent="0.2">
      <c r="A84" s="56"/>
      <c r="B84" s="102" t="s">
        <v>50</v>
      </c>
      <c r="C84" s="58"/>
      <c r="D84" s="59"/>
      <c r="E84" s="271"/>
      <c r="F84" s="274"/>
      <c r="G84" s="275"/>
    </row>
    <row r="85" spans="1:18" s="19" customFormat="1" ht="24" x14ac:dyDescent="0.2">
      <c r="A85" s="56" t="s">
        <v>161</v>
      </c>
      <c r="B85" s="102" t="s">
        <v>51</v>
      </c>
      <c r="C85" s="58" t="s">
        <v>43</v>
      </c>
      <c r="D85" s="59">
        <v>161.63000000000002</v>
      </c>
      <c r="E85" s="271"/>
      <c r="F85" s="274"/>
      <c r="G85" s="275">
        <f t="shared" si="9"/>
        <v>0</v>
      </c>
      <c r="I85" s="21"/>
      <c r="J85" s="21"/>
    </row>
    <row r="86" spans="1:18" s="19" customFormat="1" ht="12.75" thickBot="1" x14ac:dyDescent="0.25">
      <c r="A86" s="56"/>
      <c r="B86" s="102"/>
      <c r="C86" s="58"/>
      <c r="D86" s="59"/>
      <c r="E86" s="59"/>
      <c r="F86" s="59"/>
      <c r="G86" s="59"/>
    </row>
    <row r="87" spans="1:18" s="19" customFormat="1" x14ac:dyDescent="0.2">
      <c r="A87" s="226"/>
      <c r="B87" s="227" t="s">
        <v>52</v>
      </c>
      <c r="C87" s="234"/>
      <c r="D87" s="229"/>
      <c r="E87" s="229"/>
      <c r="F87" s="229"/>
      <c r="G87" s="229"/>
    </row>
    <row r="88" spans="1:18" s="19" customFormat="1" ht="12.75" thickBot="1" x14ac:dyDescent="0.25">
      <c r="A88" s="230"/>
      <c r="B88" s="231" t="s">
        <v>53</v>
      </c>
      <c r="C88" s="235"/>
      <c r="D88" s="233"/>
      <c r="E88" s="349"/>
      <c r="F88" s="350"/>
      <c r="G88" s="351">
        <f>SUM(G62:G87)</f>
        <v>0</v>
      </c>
    </row>
    <row r="89" spans="1:18" s="19" customFormat="1" x14ac:dyDescent="0.2">
      <c r="A89" s="56"/>
      <c r="B89" s="82" t="s">
        <v>54</v>
      </c>
      <c r="C89" s="58"/>
      <c r="D89" s="59"/>
      <c r="E89" s="271"/>
      <c r="F89" s="272"/>
      <c r="G89" s="273"/>
    </row>
    <row r="90" spans="1:18" s="19" customFormat="1" x14ac:dyDescent="0.2">
      <c r="A90" s="56" t="s">
        <v>55</v>
      </c>
      <c r="B90" s="57" t="s">
        <v>56</v>
      </c>
      <c r="C90" s="58"/>
      <c r="D90" s="59"/>
      <c r="E90" s="271"/>
      <c r="F90" s="272"/>
      <c r="G90" s="273"/>
    </row>
    <row r="91" spans="1:18" s="19" customFormat="1" ht="58.5" customHeight="1" x14ac:dyDescent="0.25">
      <c r="A91" s="56"/>
      <c r="B91" s="60" t="s">
        <v>220</v>
      </c>
      <c r="C91" s="61"/>
      <c r="D91" s="61"/>
      <c r="E91" s="285"/>
      <c r="F91" s="285"/>
      <c r="G91" s="287"/>
    </row>
    <row r="92" spans="1:18" s="19" customFormat="1" ht="35.25" customHeight="1" x14ac:dyDescent="0.25">
      <c r="A92" s="56"/>
      <c r="B92" s="62" t="s">
        <v>219</v>
      </c>
      <c r="C92" s="61"/>
      <c r="D92" s="61"/>
      <c r="E92" s="285"/>
      <c r="F92" s="285"/>
      <c r="G92" s="287"/>
    </row>
    <row r="93" spans="1:18" s="19" customFormat="1" ht="36" customHeight="1" x14ac:dyDescent="0.25">
      <c r="A93" s="56"/>
      <c r="B93" s="60" t="s">
        <v>153</v>
      </c>
      <c r="C93" s="61"/>
      <c r="D93" s="61"/>
      <c r="E93" s="285"/>
      <c r="F93" s="285"/>
      <c r="G93" s="287"/>
    </row>
    <row r="94" spans="1:18" s="19" customFormat="1" ht="15" customHeight="1" x14ac:dyDescent="0.2">
      <c r="A94" s="326" t="s">
        <v>60</v>
      </c>
      <c r="B94" s="327" t="s">
        <v>61</v>
      </c>
      <c r="C94" s="328"/>
      <c r="D94" s="294"/>
      <c r="E94" s="271"/>
      <c r="F94" s="272"/>
      <c r="G94" s="273"/>
    </row>
    <row r="95" spans="1:18" s="48" customFormat="1" ht="14.25" customHeight="1" x14ac:dyDescent="0.25">
      <c r="A95" s="63"/>
      <c r="B95" s="64" t="s">
        <v>248</v>
      </c>
      <c r="C95" s="65"/>
      <c r="D95" s="66"/>
      <c r="E95" s="288"/>
      <c r="F95" s="289"/>
      <c r="G95" s="290"/>
      <c r="I95" s="19">
        <f>1.1*1.1*6</f>
        <v>7.2600000000000016</v>
      </c>
      <c r="J95" s="19">
        <f>1.45*1.45*8</f>
        <v>16.82</v>
      </c>
      <c r="K95" s="19">
        <f>1.35*1.35*11</f>
        <v>20.047500000000003</v>
      </c>
      <c r="L95" s="19">
        <f>1.2*1.2*4</f>
        <v>5.76</v>
      </c>
      <c r="M95" s="19">
        <f>0.9*0.9*2</f>
        <v>1.62</v>
      </c>
      <c r="N95" s="19">
        <f>1.25*1.25*4</f>
        <v>6.25</v>
      </c>
      <c r="O95" s="19">
        <f>1.95*1.95*4</f>
        <v>15.209999999999999</v>
      </c>
      <c r="P95" s="19">
        <f>2.05*2.05*4</f>
        <v>16.809999999999999</v>
      </c>
      <c r="Q95" s="19">
        <f>SUM(I94:P95)</f>
        <v>89.777500000000003</v>
      </c>
      <c r="R95" s="19">
        <f>Q95</f>
        <v>89.777500000000003</v>
      </c>
    </row>
    <row r="96" spans="1:18" s="19" customFormat="1" ht="12" customHeight="1" x14ac:dyDescent="0.25">
      <c r="A96" s="56"/>
      <c r="B96" s="67" t="s">
        <v>261</v>
      </c>
      <c r="C96" s="58" t="s">
        <v>43</v>
      </c>
      <c r="D96" s="59">
        <v>163.47999999999999</v>
      </c>
      <c r="E96" s="271"/>
      <c r="F96" s="274"/>
      <c r="G96" s="275">
        <f t="shared" ref="G96" si="10">(D96*E96)+(D96*F96)</f>
        <v>0</v>
      </c>
      <c r="I96" s="19">
        <f>3.195+3.255+1.25+2.87+2.93+2.72+2.93+2.98*3+2.92*3+3.195+3.255+1.25+2.175+2.15+2.2*7+2.225+2.175+2.1*3+2.15*5+2.225+2.5+2.4*3+2.225*5+2.325+1.85*2+4.75*2+4.85*2</f>
        <v>133.99999999999997</v>
      </c>
      <c r="J96" s="45">
        <f>I96*0.55</f>
        <v>73.699999999999989</v>
      </c>
      <c r="K96" s="17"/>
      <c r="L96" s="17">
        <f>J96+R95</f>
        <v>163.47749999999999</v>
      </c>
      <c r="M96" s="17"/>
    </row>
    <row r="97" spans="1:18" s="19" customFormat="1" ht="15" customHeight="1" x14ac:dyDescent="0.2">
      <c r="A97" s="329" t="s">
        <v>66</v>
      </c>
      <c r="B97" s="330" t="s">
        <v>13</v>
      </c>
      <c r="C97" s="331"/>
      <c r="D97" s="294"/>
      <c r="E97" s="271"/>
      <c r="F97" s="272"/>
      <c r="G97" s="273"/>
    </row>
    <row r="98" spans="1:18" x14ac:dyDescent="0.2">
      <c r="A98" s="68" t="s">
        <v>146</v>
      </c>
      <c r="B98" s="69" t="s">
        <v>62</v>
      </c>
      <c r="C98" s="70"/>
      <c r="D98" s="71"/>
      <c r="E98" s="291"/>
      <c r="F98" s="292"/>
      <c r="G98" s="293"/>
    </row>
    <row r="99" spans="1:18" s="17" customFormat="1" ht="15" x14ac:dyDescent="0.25">
      <c r="A99" s="81" t="s">
        <v>7</v>
      </c>
      <c r="B99" s="98" t="s">
        <v>347</v>
      </c>
      <c r="C99" s="58" t="s">
        <v>45</v>
      </c>
      <c r="D99" s="59">
        <v>8.9347500000000011</v>
      </c>
      <c r="E99" s="271"/>
      <c r="F99" s="283"/>
      <c r="G99" s="284">
        <f t="shared" ref="G99:G103" si="11">(D99*E99)+(D99*F99)</f>
        <v>0</v>
      </c>
      <c r="J99" s="45"/>
    </row>
    <row r="100" spans="1:18" s="17" customFormat="1" ht="15" x14ac:dyDescent="0.25">
      <c r="A100" s="81" t="s">
        <v>345</v>
      </c>
      <c r="B100" s="98" t="s">
        <v>348</v>
      </c>
      <c r="C100" s="58" t="s">
        <v>45</v>
      </c>
      <c r="D100" s="59">
        <v>5.76</v>
      </c>
      <c r="E100" s="271"/>
      <c r="F100" s="283"/>
      <c r="G100" s="284">
        <f t="shared" si="11"/>
        <v>0</v>
      </c>
      <c r="J100" s="45"/>
    </row>
    <row r="101" spans="1:18" s="17" customFormat="1" ht="15" x14ac:dyDescent="0.25">
      <c r="A101" s="81" t="s">
        <v>346</v>
      </c>
      <c r="B101" s="98" t="s">
        <v>349</v>
      </c>
      <c r="C101" s="58" t="s">
        <v>45</v>
      </c>
      <c r="D101" s="59">
        <v>4.3560000000000008</v>
      </c>
      <c r="E101" s="271"/>
      <c r="F101" s="283"/>
      <c r="G101" s="284">
        <f t="shared" si="11"/>
        <v>0</v>
      </c>
      <c r="J101" s="45"/>
    </row>
    <row r="102" spans="1:18" s="17" customFormat="1" ht="15" x14ac:dyDescent="0.25">
      <c r="A102" s="81" t="s">
        <v>350</v>
      </c>
      <c r="B102" s="98" t="s">
        <v>352</v>
      </c>
      <c r="C102" s="58" t="s">
        <v>45</v>
      </c>
      <c r="D102" s="59">
        <v>11.552</v>
      </c>
      <c r="E102" s="271"/>
      <c r="F102" s="283"/>
      <c r="G102" s="284">
        <f t="shared" si="11"/>
        <v>0</v>
      </c>
      <c r="J102" s="45"/>
    </row>
    <row r="103" spans="1:18" s="17" customFormat="1" ht="15" x14ac:dyDescent="0.25">
      <c r="A103" s="81" t="s">
        <v>351</v>
      </c>
      <c r="B103" s="98" t="s">
        <v>353</v>
      </c>
      <c r="C103" s="58" t="s">
        <v>45</v>
      </c>
      <c r="D103" s="59">
        <v>12.25</v>
      </c>
      <c r="E103" s="271"/>
      <c r="F103" s="283"/>
      <c r="G103" s="284">
        <f t="shared" si="11"/>
        <v>0</v>
      </c>
      <c r="J103" s="45"/>
    </row>
    <row r="104" spans="1:18" s="17" customFormat="1" ht="15" x14ac:dyDescent="0.25">
      <c r="A104" s="81" t="s">
        <v>365</v>
      </c>
      <c r="B104" s="98" t="s">
        <v>406</v>
      </c>
      <c r="C104" s="58" t="s">
        <v>45</v>
      </c>
      <c r="D104" s="59">
        <v>8.1120000000000001</v>
      </c>
      <c r="E104" s="271"/>
      <c r="F104" s="283"/>
      <c r="G104" s="284">
        <f t="shared" ref="G104" si="12">(D104*E104)+(D104*F104)</f>
        <v>0</v>
      </c>
      <c r="J104" s="45"/>
    </row>
    <row r="105" spans="1:18" x14ac:dyDescent="0.2">
      <c r="A105" s="56"/>
      <c r="B105" s="67" t="s">
        <v>355</v>
      </c>
      <c r="C105" s="58" t="s">
        <v>45</v>
      </c>
      <c r="D105" s="59">
        <v>17.760000000000002</v>
      </c>
      <c r="E105" s="271"/>
      <c r="F105" s="274"/>
      <c r="G105" s="275">
        <f t="shared" ref="G105" si="13">(D105*E105)+(D105*F105)</f>
        <v>0</v>
      </c>
      <c r="I105" s="26">
        <f>32.2*4+4.02*2+4.08*2+1.8*2</f>
        <v>148.6</v>
      </c>
      <c r="J105" s="21">
        <f>I105*0.25*0.45</f>
        <v>16.717500000000001</v>
      </c>
      <c r="K105" s="21"/>
      <c r="L105" s="49"/>
      <c r="M105" s="19"/>
      <c r="N105" s="49"/>
    </row>
    <row r="106" spans="1:18" x14ac:dyDescent="0.2">
      <c r="A106" s="68" t="s">
        <v>147</v>
      </c>
      <c r="B106" s="69" t="s">
        <v>65</v>
      </c>
      <c r="C106" s="70"/>
      <c r="D106" s="71"/>
      <c r="E106" s="291"/>
      <c r="F106" s="292"/>
      <c r="G106" s="293"/>
    </row>
    <row r="107" spans="1:18" x14ac:dyDescent="0.2">
      <c r="A107" s="76" t="s">
        <v>151</v>
      </c>
      <c r="B107" s="77" t="s">
        <v>169</v>
      </c>
      <c r="C107" s="78"/>
      <c r="D107" s="79"/>
      <c r="E107" s="291"/>
      <c r="F107" s="292"/>
      <c r="G107" s="293"/>
    </row>
    <row r="108" spans="1:18" ht="13.5" x14ac:dyDescent="0.2">
      <c r="A108" s="72"/>
      <c r="B108" s="73" t="s">
        <v>356</v>
      </c>
      <c r="C108" s="74" t="s">
        <v>136</v>
      </c>
      <c r="D108" s="75">
        <v>0.73149999999999993</v>
      </c>
      <c r="E108" s="271"/>
      <c r="F108" s="274"/>
      <c r="G108" s="275">
        <f t="shared" ref="G108:G111" si="14">(D108*E108)+(D108*F108)</f>
        <v>0</v>
      </c>
      <c r="I108" s="16">
        <f>0.2*0.2*4.275*35</f>
        <v>5.9850000000000012</v>
      </c>
      <c r="N108" s="16">
        <v>10</v>
      </c>
      <c r="O108" s="16">
        <v>1</v>
      </c>
      <c r="P108" s="16">
        <v>10</v>
      </c>
      <c r="Q108" s="16">
        <f>P108*O108</f>
        <v>10</v>
      </c>
      <c r="R108" s="16">
        <f>Q108*N108</f>
        <v>100</v>
      </c>
    </row>
    <row r="109" spans="1:18" ht="13.5" x14ac:dyDescent="0.2">
      <c r="A109" s="72"/>
      <c r="B109" s="73" t="s">
        <v>357</v>
      </c>
      <c r="C109" s="74" t="s">
        <v>136</v>
      </c>
      <c r="D109" s="75">
        <v>1.2320000000000002</v>
      </c>
      <c r="E109" s="271"/>
      <c r="F109" s="274"/>
      <c r="G109" s="275">
        <f t="shared" si="14"/>
        <v>0</v>
      </c>
      <c r="I109" s="16">
        <f>0.4*0.2*4.275*5</f>
        <v>1.7100000000000004</v>
      </c>
      <c r="N109" s="16">
        <v>-10</v>
      </c>
      <c r="O109" s="16">
        <v>1</v>
      </c>
      <c r="P109" s="16">
        <v>30</v>
      </c>
      <c r="Q109" s="16">
        <f>P109*O109</f>
        <v>30</v>
      </c>
      <c r="R109" s="16">
        <f>Q109*N109</f>
        <v>-300</v>
      </c>
    </row>
    <row r="110" spans="1:18" ht="13.5" x14ac:dyDescent="0.2">
      <c r="A110" s="72"/>
      <c r="B110" s="73" t="s">
        <v>358</v>
      </c>
      <c r="C110" s="74" t="s">
        <v>136</v>
      </c>
      <c r="D110" s="75">
        <v>3.36</v>
      </c>
      <c r="E110" s="271"/>
      <c r="F110" s="274"/>
      <c r="G110" s="275">
        <f t="shared" ref="G110" si="15">(D110*E110)+(D110*F110)</f>
        <v>0</v>
      </c>
      <c r="I110" s="16">
        <f>0.15*0.15*3.825*6</f>
        <v>0.51637500000000003</v>
      </c>
      <c r="R110" s="16">
        <f>SUM(R108:R109)</f>
        <v>-200</v>
      </c>
    </row>
    <row r="111" spans="1:18" ht="13.5" x14ac:dyDescent="0.2">
      <c r="A111" s="72"/>
      <c r="B111" s="73" t="s">
        <v>359</v>
      </c>
      <c r="C111" s="74" t="s">
        <v>136</v>
      </c>
      <c r="D111" s="75">
        <v>1.9600000000000002</v>
      </c>
      <c r="E111" s="271"/>
      <c r="F111" s="274"/>
      <c r="G111" s="275">
        <f t="shared" si="14"/>
        <v>0</v>
      </c>
      <c r="I111" s="16">
        <f>0.15*0.15*3.825*6</f>
        <v>0.51637500000000003</v>
      </c>
    </row>
    <row r="112" spans="1:18" x14ac:dyDescent="0.2">
      <c r="A112" s="76" t="s">
        <v>10</v>
      </c>
      <c r="B112" s="77" t="s">
        <v>194</v>
      </c>
      <c r="C112" s="78"/>
      <c r="D112" s="79"/>
      <c r="E112" s="291"/>
      <c r="F112" s="274"/>
      <c r="G112" s="275">
        <f t="shared" ref="G112:G113" si="16">(D112*E112)+(D112*F112)</f>
        <v>0</v>
      </c>
    </row>
    <row r="113" spans="1:18" ht="13.5" x14ac:dyDescent="0.2">
      <c r="A113" s="72"/>
      <c r="B113" s="73" t="s">
        <v>266</v>
      </c>
      <c r="C113" s="74" t="s">
        <v>136</v>
      </c>
      <c r="D113" s="75">
        <v>3.1</v>
      </c>
      <c r="E113" s="271"/>
      <c r="F113" s="274"/>
      <c r="G113" s="275">
        <f t="shared" si="16"/>
        <v>0</v>
      </c>
    </row>
    <row r="114" spans="1:18" x14ac:dyDescent="0.2">
      <c r="A114" s="76" t="s">
        <v>15</v>
      </c>
      <c r="B114" s="77" t="s">
        <v>197</v>
      </c>
      <c r="C114" s="78"/>
      <c r="D114" s="79"/>
      <c r="E114" s="291"/>
      <c r="F114" s="274"/>
      <c r="G114" s="275">
        <f t="shared" ref="G114:G115" si="17">(D114*E114)+(D114*F114)</f>
        <v>0</v>
      </c>
    </row>
    <row r="115" spans="1:18" ht="13.5" x14ac:dyDescent="0.2">
      <c r="A115" s="72"/>
      <c r="B115" s="73" t="s">
        <v>265</v>
      </c>
      <c r="C115" s="74" t="s">
        <v>136</v>
      </c>
      <c r="D115" s="75">
        <v>29.3475</v>
      </c>
      <c r="E115" s="271"/>
      <c r="F115" s="274"/>
      <c r="G115" s="275">
        <f t="shared" si="17"/>
        <v>0</v>
      </c>
      <c r="I115" s="16">
        <f>32.2*11.075</f>
        <v>356.61500000000001</v>
      </c>
      <c r="J115" s="16">
        <f>32.2*0.15*2</f>
        <v>9.66</v>
      </c>
      <c r="K115" s="16">
        <f>SUM(I115:J115)</f>
        <v>366.27500000000003</v>
      </c>
      <c r="L115" s="16">
        <f>K115*0.1</f>
        <v>36.627500000000005</v>
      </c>
    </row>
    <row r="116" spans="1:18" x14ac:dyDescent="0.2">
      <c r="A116" s="68" t="s">
        <v>55</v>
      </c>
      <c r="B116" s="69" t="s">
        <v>67</v>
      </c>
      <c r="C116" s="70"/>
      <c r="D116" s="71"/>
      <c r="E116" s="291"/>
      <c r="F116" s="292"/>
      <c r="G116" s="293"/>
    </row>
    <row r="117" spans="1:18" x14ac:dyDescent="0.2">
      <c r="A117" s="76" t="s">
        <v>152</v>
      </c>
      <c r="B117" s="77" t="s">
        <v>267</v>
      </c>
      <c r="C117" s="78"/>
      <c r="D117" s="79"/>
      <c r="E117" s="291"/>
      <c r="F117" s="292"/>
      <c r="G117" s="293"/>
    </row>
    <row r="118" spans="1:18" ht="13.5" x14ac:dyDescent="0.2">
      <c r="A118" s="72"/>
      <c r="B118" s="73" t="s">
        <v>360</v>
      </c>
      <c r="C118" s="74" t="s">
        <v>136</v>
      </c>
      <c r="D118" s="75">
        <v>3.24</v>
      </c>
      <c r="E118" s="271"/>
      <c r="F118" s="274"/>
      <c r="G118" s="275">
        <f t="shared" ref="G118" si="18">(D118*E118)+(D118*F118)</f>
        <v>0</v>
      </c>
      <c r="I118" s="16">
        <f>3.82*5+4.08*5</f>
        <v>39.5</v>
      </c>
      <c r="J118" s="16">
        <f t="shared" ref="J118" si="19">I118*0.2*0.3</f>
        <v>2.37</v>
      </c>
    </row>
    <row r="119" spans="1:18" ht="13.5" x14ac:dyDescent="0.2">
      <c r="A119" s="72"/>
      <c r="B119" s="73" t="s">
        <v>361</v>
      </c>
      <c r="C119" s="74" t="s">
        <v>136</v>
      </c>
      <c r="D119" s="75">
        <v>7.2270000000000003</v>
      </c>
      <c r="E119" s="271"/>
      <c r="F119" s="274"/>
      <c r="G119" s="275">
        <f t="shared" ref="G119:G122" si="20">(D119*E119)+(D119*F119)</f>
        <v>0</v>
      </c>
      <c r="I119" s="16">
        <f>3*10</f>
        <v>30</v>
      </c>
      <c r="J119" s="16">
        <f>I119*0.2*0.3</f>
        <v>1.7999999999999998</v>
      </c>
    </row>
    <row r="120" spans="1:18" ht="13.5" x14ac:dyDescent="0.2">
      <c r="A120" s="72"/>
      <c r="B120" s="73" t="s">
        <v>362</v>
      </c>
      <c r="C120" s="74" t="s">
        <v>136</v>
      </c>
      <c r="D120" s="75">
        <v>2.4570000000000003</v>
      </c>
      <c r="E120" s="271"/>
      <c r="F120" s="274"/>
      <c r="G120" s="275">
        <f t="shared" si="20"/>
        <v>0</v>
      </c>
      <c r="I120" s="16">
        <v>3</v>
      </c>
      <c r="J120" s="16">
        <f>I120*0.2*0.4</f>
        <v>0.24000000000000005</v>
      </c>
    </row>
    <row r="121" spans="1:18" x14ac:dyDescent="0.2">
      <c r="A121" s="76" t="s">
        <v>66</v>
      </c>
      <c r="B121" s="77" t="s">
        <v>268</v>
      </c>
      <c r="C121" s="78"/>
      <c r="D121" s="79"/>
      <c r="E121" s="291"/>
      <c r="F121" s="274"/>
      <c r="G121" s="275"/>
    </row>
    <row r="122" spans="1:18" ht="13.5" x14ac:dyDescent="0.2">
      <c r="A122" s="72"/>
      <c r="B122" s="73" t="s">
        <v>408</v>
      </c>
      <c r="C122" s="74" t="s">
        <v>136</v>
      </c>
      <c r="D122" s="75">
        <v>11.625</v>
      </c>
      <c r="E122" s="271"/>
      <c r="F122" s="274"/>
      <c r="G122" s="275">
        <f t="shared" si="20"/>
        <v>0</v>
      </c>
      <c r="I122" s="16">
        <f>29*8.5</f>
        <v>246.5</v>
      </c>
      <c r="J122" s="16">
        <f>32.2*2.2</f>
        <v>70.840000000000018</v>
      </c>
      <c r="K122" s="16">
        <f>SUM(I122:J122)</f>
        <v>317.34000000000003</v>
      </c>
      <c r="L122" s="16">
        <f>K122*0.15</f>
        <v>47.601000000000006</v>
      </c>
    </row>
    <row r="123" spans="1:18" ht="13.5" x14ac:dyDescent="0.2">
      <c r="A123" s="72"/>
      <c r="B123" s="73" t="s">
        <v>407</v>
      </c>
      <c r="C123" s="74" t="s">
        <v>136</v>
      </c>
      <c r="D123" s="75">
        <v>40.774999999999999</v>
      </c>
      <c r="E123" s="271"/>
      <c r="F123" s="274"/>
      <c r="G123" s="275">
        <f t="shared" ref="G123" si="21">(D123*E123)+(D123*F123)</f>
        <v>0</v>
      </c>
      <c r="I123" s="16">
        <f>29*8.5</f>
        <v>246.5</v>
      </c>
      <c r="J123" s="16">
        <f>32.2*2.2</f>
        <v>70.840000000000018</v>
      </c>
      <c r="K123" s="16">
        <f>SUM(I123:J123)</f>
        <v>317.34000000000003</v>
      </c>
      <c r="L123" s="16">
        <f>K123*0.15</f>
        <v>47.601000000000006</v>
      </c>
    </row>
    <row r="124" spans="1:18" x14ac:dyDescent="0.2">
      <c r="A124" s="76" t="s">
        <v>69</v>
      </c>
      <c r="B124" s="77" t="s">
        <v>169</v>
      </c>
      <c r="C124" s="78"/>
      <c r="D124" s="79"/>
      <c r="E124" s="291"/>
      <c r="F124" s="292"/>
      <c r="G124" s="293"/>
    </row>
    <row r="125" spans="1:18" ht="13.5" x14ac:dyDescent="0.2">
      <c r="A125" s="72"/>
      <c r="B125" s="73" t="s">
        <v>356</v>
      </c>
      <c r="C125" s="74" t="s">
        <v>136</v>
      </c>
      <c r="D125" s="75">
        <v>0.57474999999999998</v>
      </c>
      <c r="E125" s="271"/>
      <c r="F125" s="274"/>
      <c r="G125" s="275">
        <f t="shared" ref="G125:G130" si="22">(D125*E125)+(D125*F125)</f>
        <v>0</v>
      </c>
      <c r="I125" s="16">
        <f>0.2*0.2*4.275*35</f>
        <v>5.9850000000000012</v>
      </c>
      <c r="N125" s="16">
        <v>10</v>
      </c>
      <c r="O125" s="16">
        <v>1</v>
      </c>
      <c r="P125" s="16">
        <v>10</v>
      </c>
      <c r="Q125" s="16">
        <f>P125*O125</f>
        <v>10</v>
      </c>
      <c r="R125" s="16">
        <f>Q125*N125</f>
        <v>100</v>
      </c>
    </row>
    <row r="126" spans="1:18" ht="13.5" x14ac:dyDescent="0.2">
      <c r="A126" s="72"/>
      <c r="B126" s="73" t="s">
        <v>357</v>
      </c>
      <c r="C126" s="74" t="s">
        <v>136</v>
      </c>
      <c r="D126" s="75">
        <v>0.96800000000000008</v>
      </c>
      <c r="E126" s="271"/>
      <c r="F126" s="274"/>
      <c r="G126" s="275">
        <f t="shared" si="22"/>
        <v>0</v>
      </c>
      <c r="I126" s="16">
        <f>0.4*0.2*4.275*5</f>
        <v>1.7100000000000004</v>
      </c>
      <c r="N126" s="16">
        <v>-10</v>
      </c>
      <c r="O126" s="16">
        <v>1</v>
      </c>
      <c r="P126" s="16">
        <v>30</v>
      </c>
      <c r="Q126" s="16">
        <f>P126*O126</f>
        <v>30</v>
      </c>
      <c r="R126" s="16">
        <f>Q126*N126</f>
        <v>-300</v>
      </c>
    </row>
    <row r="127" spans="1:18" ht="13.5" x14ac:dyDescent="0.2">
      <c r="A127" s="72"/>
      <c r="B127" s="73" t="s">
        <v>358</v>
      </c>
      <c r="C127" s="74" t="s">
        <v>136</v>
      </c>
      <c r="D127" s="75">
        <v>2.6399999999999997</v>
      </c>
      <c r="E127" s="271"/>
      <c r="F127" s="274"/>
      <c r="G127" s="275">
        <f t="shared" si="22"/>
        <v>0</v>
      </c>
      <c r="I127" s="16">
        <f>0.15*0.15*3.825*6</f>
        <v>0.51637500000000003</v>
      </c>
      <c r="R127" s="16">
        <f>SUM(R125:R126)</f>
        <v>-200</v>
      </c>
    </row>
    <row r="128" spans="1:18" ht="13.5" x14ac:dyDescent="0.2">
      <c r="A128" s="72"/>
      <c r="B128" s="73" t="s">
        <v>359</v>
      </c>
      <c r="C128" s="74" t="s">
        <v>136</v>
      </c>
      <c r="D128" s="75">
        <v>1.5400000000000003</v>
      </c>
      <c r="E128" s="271"/>
      <c r="F128" s="274"/>
      <c r="G128" s="275">
        <f t="shared" si="22"/>
        <v>0</v>
      </c>
      <c r="I128" s="16">
        <f>0.15*0.15*3.825*6</f>
        <v>0.51637500000000003</v>
      </c>
    </row>
    <row r="129" spans="1:18" x14ac:dyDescent="0.2">
      <c r="A129" s="76" t="s">
        <v>98</v>
      </c>
      <c r="B129" s="77" t="s">
        <v>194</v>
      </c>
      <c r="C129" s="78"/>
      <c r="D129" s="79"/>
      <c r="E129" s="291"/>
      <c r="F129" s="274"/>
      <c r="G129" s="275"/>
    </row>
    <row r="130" spans="1:18" ht="13.5" x14ac:dyDescent="0.2">
      <c r="A130" s="72"/>
      <c r="B130" s="73" t="s">
        <v>266</v>
      </c>
      <c r="C130" s="74" t="s">
        <v>136</v>
      </c>
      <c r="D130" s="75">
        <v>3.1</v>
      </c>
      <c r="E130" s="271"/>
      <c r="F130" s="274"/>
      <c r="G130" s="275">
        <f t="shared" si="22"/>
        <v>0</v>
      </c>
    </row>
    <row r="131" spans="1:18" x14ac:dyDescent="0.2">
      <c r="A131" s="68" t="s">
        <v>148</v>
      </c>
      <c r="B131" s="69" t="s">
        <v>363</v>
      </c>
      <c r="C131" s="70"/>
      <c r="D131" s="71"/>
      <c r="E131" s="291"/>
      <c r="F131" s="292"/>
      <c r="G131" s="293"/>
    </row>
    <row r="132" spans="1:18" x14ac:dyDescent="0.2">
      <c r="A132" s="76" t="s">
        <v>101</v>
      </c>
      <c r="B132" s="77" t="s">
        <v>267</v>
      </c>
      <c r="C132" s="78"/>
      <c r="D132" s="79"/>
      <c r="E132" s="291"/>
      <c r="F132" s="292"/>
      <c r="G132" s="293"/>
    </row>
    <row r="133" spans="1:18" ht="13.5" x14ac:dyDescent="0.2">
      <c r="A133" s="311"/>
      <c r="B133" s="312" t="str">
        <f>B118</f>
        <v>B1</v>
      </c>
      <c r="C133" s="313" t="s">
        <v>136</v>
      </c>
      <c r="D133" s="314">
        <v>3.24</v>
      </c>
      <c r="E133" s="271"/>
      <c r="F133" s="274"/>
      <c r="G133" s="275">
        <f t="shared" ref="G133:G138" si="23">(D133*E133)+(D133*F133)</f>
        <v>0</v>
      </c>
      <c r="I133" s="16">
        <f>3*9*2+1.8*2</f>
        <v>57.6</v>
      </c>
      <c r="J133" s="16">
        <f>I133*0.2*0.3</f>
        <v>3.4560000000000004</v>
      </c>
      <c r="N133" s="16">
        <f>400*2.5</f>
        <v>1000</v>
      </c>
      <c r="O133" s="16">
        <v>60</v>
      </c>
      <c r="P133" s="16">
        <f>O133*N133</f>
        <v>60000</v>
      </c>
    </row>
    <row r="134" spans="1:18" ht="13.5" x14ac:dyDescent="0.2">
      <c r="A134" s="311"/>
      <c r="B134" s="312" t="str">
        <f t="shared" ref="B134:B135" si="24">B119</f>
        <v>B2</v>
      </c>
      <c r="C134" s="313" t="s">
        <v>136</v>
      </c>
      <c r="D134" s="314">
        <v>7.2270000000000003</v>
      </c>
      <c r="E134" s="271"/>
      <c r="F134" s="274"/>
      <c r="G134" s="275">
        <f t="shared" si="23"/>
        <v>0</v>
      </c>
      <c r="I134" s="16">
        <f>4.02+4.08</f>
        <v>8.1</v>
      </c>
      <c r="J134" s="16">
        <f t="shared" ref="J134:J135" si="25">I134*0.2*0.3</f>
        <v>0.48599999999999999</v>
      </c>
    </row>
    <row r="135" spans="1:18" ht="13.5" x14ac:dyDescent="0.2">
      <c r="A135" s="72"/>
      <c r="B135" s="312" t="str">
        <f t="shared" si="24"/>
        <v>B3</v>
      </c>
      <c r="C135" s="74" t="s">
        <v>136</v>
      </c>
      <c r="D135" s="75">
        <v>2.4570000000000003</v>
      </c>
      <c r="E135" s="271"/>
      <c r="F135" s="274"/>
      <c r="G135" s="275">
        <f t="shared" si="23"/>
        <v>0</v>
      </c>
      <c r="I135" s="16">
        <f>3.82*5+4.08*5</f>
        <v>39.5</v>
      </c>
      <c r="J135" s="16">
        <f t="shared" si="25"/>
        <v>2.37</v>
      </c>
    </row>
    <row r="136" spans="1:18" x14ac:dyDescent="0.2">
      <c r="A136" s="76" t="s">
        <v>129</v>
      </c>
      <c r="B136" s="77" t="s">
        <v>268</v>
      </c>
      <c r="C136" s="78"/>
      <c r="D136" s="79"/>
      <c r="E136" s="291"/>
      <c r="F136" s="274"/>
      <c r="G136" s="275"/>
    </row>
    <row r="137" spans="1:18" ht="13.5" x14ac:dyDescent="0.2">
      <c r="A137" s="72"/>
      <c r="B137" s="73" t="str">
        <f>B122</f>
        <v>155mm thick R.c.c. Floor Slab</v>
      </c>
      <c r="C137" s="74" t="s">
        <v>136</v>
      </c>
      <c r="D137" s="75">
        <v>11.625</v>
      </c>
      <c r="E137" s="271"/>
      <c r="F137" s="274"/>
      <c r="G137" s="275">
        <f t="shared" si="23"/>
        <v>0</v>
      </c>
      <c r="I137" s="16">
        <f>29*8.5</f>
        <v>246.5</v>
      </c>
      <c r="J137" s="16">
        <f>32.2*2.2</f>
        <v>70.840000000000018</v>
      </c>
      <c r="K137" s="16">
        <f>SUM(I137:J137)</f>
        <v>317.34000000000003</v>
      </c>
      <c r="L137" s="16">
        <f>K137*0.15</f>
        <v>47.601000000000006</v>
      </c>
    </row>
    <row r="138" spans="1:18" ht="13.5" x14ac:dyDescent="0.2">
      <c r="A138" s="72"/>
      <c r="B138" s="73" t="str">
        <f>B123</f>
        <v>175mm thick R.c.c. Floor Slab</v>
      </c>
      <c r="C138" s="74" t="s">
        <v>136</v>
      </c>
      <c r="D138" s="75">
        <v>40.774999999999999</v>
      </c>
      <c r="E138" s="271"/>
      <c r="F138" s="274"/>
      <c r="G138" s="275">
        <f t="shared" si="23"/>
        <v>0</v>
      </c>
      <c r="I138" s="16">
        <f>29*8.5</f>
        <v>246.5</v>
      </c>
      <c r="J138" s="16">
        <f>32.2*2.2</f>
        <v>70.840000000000018</v>
      </c>
      <c r="K138" s="16">
        <f>SUM(I138:J138)</f>
        <v>317.34000000000003</v>
      </c>
      <c r="L138" s="16">
        <f>K138*0.15</f>
        <v>47.601000000000006</v>
      </c>
    </row>
    <row r="139" spans="1:18" x14ac:dyDescent="0.2">
      <c r="A139" s="76" t="s">
        <v>130</v>
      </c>
      <c r="B139" s="77" t="s">
        <v>169</v>
      </c>
      <c r="C139" s="78"/>
      <c r="D139" s="79"/>
      <c r="E139" s="291"/>
      <c r="F139" s="292"/>
      <c r="G139" s="293"/>
    </row>
    <row r="140" spans="1:18" ht="13.5" x14ac:dyDescent="0.2">
      <c r="A140" s="72"/>
      <c r="B140" s="73" t="s">
        <v>356</v>
      </c>
      <c r="C140" s="74" t="s">
        <v>136</v>
      </c>
      <c r="D140" s="75">
        <v>0.54449999999999998</v>
      </c>
      <c r="E140" s="271"/>
      <c r="F140" s="274"/>
      <c r="G140" s="275">
        <f t="shared" ref="G140:G143" si="26">(D140*E140)+(D140*F140)</f>
        <v>0</v>
      </c>
      <c r="I140" s="16">
        <f>0.2*0.2*4.275*35</f>
        <v>5.9850000000000012</v>
      </c>
      <c r="N140" s="16">
        <v>10</v>
      </c>
      <c r="O140" s="16">
        <v>1</v>
      </c>
      <c r="P140" s="16">
        <v>10</v>
      </c>
      <c r="Q140" s="16">
        <f>P140*O140</f>
        <v>10</v>
      </c>
      <c r="R140" s="16">
        <f>Q140*N140</f>
        <v>100</v>
      </c>
    </row>
    <row r="141" spans="1:18" ht="13.5" x14ac:dyDescent="0.2">
      <c r="A141" s="72"/>
      <c r="B141" s="73" t="s">
        <v>357</v>
      </c>
      <c r="C141" s="74" t="s">
        <v>136</v>
      </c>
      <c r="D141" s="75">
        <v>0.96800000000000008</v>
      </c>
      <c r="E141" s="271"/>
      <c r="F141" s="274"/>
      <c r="G141" s="275">
        <f t="shared" si="26"/>
        <v>0</v>
      </c>
      <c r="I141" s="16">
        <f>0.4*0.2*4.275*5</f>
        <v>1.7100000000000004</v>
      </c>
      <c r="N141" s="16">
        <v>-10</v>
      </c>
      <c r="O141" s="16">
        <v>1</v>
      </c>
      <c r="P141" s="16">
        <v>30</v>
      </c>
      <c r="Q141" s="16">
        <f>P141*O141</f>
        <v>30</v>
      </c>
      <c r="R141" s="16">
        <f>Q141*N141</f>
        <v>-300</v>
      </c>
    </row>
    <row r="142" spans="1:18" ht="13.5" x14ac:dyDescent="0.2">
      <c r="A142" s="72"/>
      <c r="B142" s="73" t="s">
        <v>358</v>
      </c>
      <c r="C142" s="74" t="s">
        <v>136</v>
      </c>
      <c r="D142" s="75">
        <v>2.6399999999999997</v>
      </c>
      <c r="E142" s="271"/>
      <c r="F142" s="274"/>
      <c r="G142" s="275">
        <f t="shared" si="26"/>
        <v>0</v>
      </c>
      <c r="I142" s="16">
        <f>0.15*0.15*3.825*6</f>
        <v>0.51637500000000003</v>
      </c>
      <c r="R142" s="16">
        <f>SUM(R140:R141)</f>
        <v>-200</v>
      </c>
    </row>
    <row r="143" spans="1:18" ht="13.5" x14ac:dyDescent="0.2">
      <c r="A143" s="72"/>
      <c r="B143" s="73" t="s">
        <v>359</v>
      </c>
      <c r="C143" s="74" t="s">
        <v>136</v>
      </c>
      <c r="D143" s="75">
        <v>1.5400000000000003</v>
      </c>
      <c r="E143" s="271"/>
      <c r="F143" s="274"/>
      <c r="G143" s="275">
        <f t="shared" si="26"/>
        <v>0</v>
      </c>
      <c r="I143" s="16">
        <f>0.15*0.15*3.825*6</f>
        <v>0.51637500000000003</v>
      </c>
    </row>
    <row r="144" spans="1:18" x14ac:dyDescent="0.2">
      <c r="A144" s="68" t="s">
        <v>148</v>
      </c>
      <c r="B144" s="69" t="s">
        <v>409</v>
      </c>
      <c r="C144" s="70"/>
      <c r="D144" s="71"/>
      <c r="E144" s="291"/>
      <c r="F144" s="292"/>
      <c r="G144" s="293"/>
    </row>
    <row r="145" spans="1:18" x14ac:dyDescent="0.2">
      <c r="A145" s="76" t="s">
        <v>101</v>
      </c>
      <c r="B145" s="77" t="s">
        <v>267</v>
      </c>
      <c r="C145" s="78"/>
      <c r="D145" s="79"/>
      <c r="E145" s="291"/>
      <c r="F145" s="292"/>
      <c r="G145" s="293"/>
    </row>
    <row r="146" spans="1:18" ht="13.5" x14ac:dyDescent="0.2">
      <c r="A146" s="311"/>
      <c r="B146" s="312" t="str">
        <f>B118</f>
        <v>B1</v>
      </c>
      <c r="C146" s="313" t="s">
        <v>136</v>
      </c>
      <c r="D146" s="314">
        <v>3.24</v>
      </c>
      <c r="E146" s="271"/>
      <c r="F146" s="274"/>
      <c r="G146" s="275">
        <f t="shared" ref="G146:G151" si="27">(D146*E146)+(D146*F146)</f>
        <v>0</v>
      </c>
      <c r="I146" s="16">
        <f>3*9*2+1.8*2</f>
        <v>57.6</v>
      </c>
      <c r="J146" s="16">
        <f>I146*0.2*0.3</f>
        <v>3.4560000000000004</v>
      </c>
      <c r="N146" s="16">
        <f>400*2.5</f>
        <v>1000</v>
      </c>
      <c r="O146" s="16">
        <v>60</v>
      </c>
      <c r="P146" s="16">
        <f>O146*N146</f>
        <v>60000</v>
      </c>
    </row>
    <row r="147" spans="1:18" ht="13.5" x14ac:dyDescent="0.2">
      <c r="A147" s="311"/>
      <c r="B147" s="312" t="str">
        <f t="shared" ref="B147:B148" si="28">B119</f>
        <v>B2</v>
      </c>
      <c r="C147" s="313" t="s">
        <v>136</v>
      </c>
      <c r="D147" s="314">
        <v>7.2270000000000003</v>
      </c>
      <c r="E147" s="271"/>
      <c r="F147" s="274"/>
      <c r="G147" s="275">
        <f t="shared" si="27"/>
        <v>0</v>
      </c>
      <c r="I147" s="16">
        <f>4.02+4.08</f>
        <v>8.1</v>
      </c>
      <c r="J147" s="16">
        <f t="shared" ref="J147:J148" si="29">I147*0.2*0.3</f>
        <v>0.48599999999999999</v>
      </c>
    </row>
    <row r="148" spans="1:18" ht="13.5" x14ac:dyDescent="0.2">
      <c r="A148" s="72"/>
      <c r="B148" s="312" t="str">
        <f t="shared" si="28"/>
        <v>B3</v>
      </c>
      <c r="C148" s="74" t="s">
        <v>136</v>
      </c>
      <c r="D148" s="75">
        <v>2.4570000000000003</v>
      </c>
      <c r="E148" s="271"/>
      <c r="F148" s="274"/>
      <c r="G148" s="275">
        <f t="shared" si="27"/>
        <v>0</v>
      </c>
      <c r="I148" s="16">
        <f>3.82*5+4.08*5</f>
        <v>39.5</v>
      </c>
      <c r="J148" s="16">
        <f t="shared" si="29"/>
        <v>2.37</v>
      </c>
    </row>
    <row r="149" spans="1:18" x14ac:dyDescent="0.2">
      <c r="A149" s="76" t="s">
        <v>129</v>
      </c>
      <c r="B149" s="77" t="s">
        <v>268</v>
      </c>
      <c r="C149" s="78"/>
      <c r="D149" s="79"/>
      <c r="E149" s="291"/>
      <c r="F149" s="274"/>
      <c r="G149" s="275"/>
    </row>
    <row r="150" spans="1:18" ht="13.5" x14ac:dyDescent="0.2">
      <c r="A150" s="72"/>
      <c r="B150" s="73" t="str">
        <f>B122</f>
        <v>155mm thick R.c.c. Floor Slab</v>
      </c>
      <c r="C150" s="74" t="s">
        <v>136</v>
      </c>
      <c r="D150" s="75">
        <v>11.625</v>
      </c>
      <c r="E150" s="271"/>
      <c r="F150" s="274"/>
      <c r="G150" s="275">
        <f t="shared" si="27"/>
        <v>0</v>
      </c>
      <c r="I150" s="16">
        <f>29*8.5</f>
        <v>246.5</v>
      </c>
      <c r="J150" s="16">
        <f>32.2*2.2</f>
        <v>70.840000000000018</v>
      </c>
      <c r="K150" s="16">
        <f>SUM(I150:J150)</f>
        <v>317.34000000000003</v>
      </c>
      <c r="L150" s="16">
        <f>K150*0.15</f>
        <v>47.601000000000006</v>
      </c>
    </row>
    <row r="151" spans="1:18" ht="13.5" x14ac:dyDescent="0.2">
      <c r="A151" s="72"/>
      <c r="B151" s="73" t="str">
        <f>B123</f>
        <v>175mm thick R.c.c. Floor Slab</v>
      </c>
      <c r="C151" s="74" t="s">
        <v>136</v>
      </c>
      <c r="D151" s="75">
        <v>40.774999999999999</v>
      </c>
      <c r="E151" s="271"/>
      <c r="F151" s="274"/>
      <c r="G151" s="275">
        <f t="shared" si="27"/>
        <v>0</v>
      </c>
      <c r="I151" s="16">
        <f>29*8.5</f>
        <v>246.5</v>
      </c>
      <c r="J151" s="16">
        <f>32.2*2.2</f>
        <v>70.840000000000018</v>
      </c>
      <c r="K151" s="16">
        <f>SUM(I151:J151)</f>
        <v>317.34000000000003</v>
      </c>
      <c r="L151" s="16">
        <f>K151*0.15</f>
        <v>47.601000000000006</v>
      </c>
    </row>
    <row r="152" spans="1:18" x14ac:dyDescent="0.2">
      <c r="A152" s="76" t="s">
        <v>130</v>
      </c>
      <c r="B152" s="77" t="s">
        <v>169</v>
      </c>
      <c r="C152" s="78"/>
      <c r="D152" s="79"/>
      <c r="E152" s="291"/>
      <c r="F152" s="292"/>
      <c r="G152" s="293"/>
    </row>
    <row r="153" spans="1:18" ht="13.5" x14ac:dyDescent="0.2">
      <c r="A153" s="72"/>
      <c r="B153" s="73" t="s">
        <v>356</v>
      </c>
      <c r="C153" s="74" t="s">
        <v>136</v>
      </c>
      <c r="D153" s="75">
        <v>0.54449999999999998</v>
      </c>
      <c r="E153" s="271"/>
      <c r="F153" s="274"/>
      <c r="G153" s="275">
        <f t="shared" ref="G153:G156" si="30">(D153*E153)+(D153*F153)</f>
        <v>0</v>
      </c>
      <c r="I153" s="16">
        <f>0.2*0.2*4.275*35</f>
        <v>5.9850000000000012</v>
      </c>
      <c r="N153" s="16">
        <v>10</v>
      </c>
      <c r="O153" s="16">
        <v>1</v>
      </c>
      <c r="P153" s="16">
        <v>10</v>
      </c>
      <c r="Q153" s="16">
        <f>P153*O153</f>
        <v>10</v>
      </c>
      <c r="R153" s="16">
        <f>Q153*N153</f>
        <v>100</v>
      </c>
    </row>
    <row r="154" spans="1:18" ht="13.5" x14ac:dyDescent="0.2">
      <c r="A154" s="72"/>
      <c r="B154" s="73" t="s">
        <v>357</v>
      </c>
      <c r="C154" s="74" t="s">
        <v>136</v>
      </c>
      <c r="D154" s="75">
        <v>0.96800000000000008</v>
      </c>
      <c r="E154" s="271"/>
      <c r="F154" s="274"/>
      <c r="G154" s="275">
        <f t="shared" si="30"/>
        <v>0</v>
      </c>
      <c r="I154" s="16">
        <f>0.4*0.2*4.275*5</f>
        <v>1.7100000000000004</v>
      </c>
      <c r="N154" s="16">
        <v>-10</v>
      </c>
      <c r="O154" s="16">
        <v>1</v>
      </c>
      <c r="P154" s="16">
        <v>30</v>
      </c>
      <c r="Q154" s="16">
        <f>P154*O154</f>
        <v>30</v>
      </c>
      <c r="R154" s="16">
        <f>Q154*N154</f>
        <v>-300</v>
      </c>
    </row>
    <row r="155" spans="1:18" ht="13.5" x14ac:dyDescent="0.2">
      <c r="A155" s="72"/>
      <c r="B155" s="73" t="s">
        <v>358</v>
      </c>
      <c r="C155" s="74" t="s">
        <v>136</v>
      </c>
      <c r="D155" s="75">
        <v>2.6399999999999997</v>
      </c>
      <c r="E155" s="271"/>
      <c r="F155" s="274"/>
      <c r="G155" s="275">
        <f t="shared" si="30"/>
        <v>0</v>
      </c>
      <c r="I155" s="16">
        <f>0.15*0.15*3.825*6</f>
        <v>0.51637500000000003</v>
      </c>
      <c r="R155" s="16">
        <f>SUM(R153:R154)</f>
        <v>-200</v>
      </c>
    </row>
    <row r="156" spans="1:18" ht="13.5" x14ac:dyDescent="0.2">
      <c r="A156" s="72"/>
      <c r="B156" s="73" t="s">
        <v>359</v>
      </c>
      <c r="C156" s="74" t="s">
        <v>136</v>
      </c>
      <c r="D156" s="75">
        <v>1.5400000000000003</v>
      </c>
      <c r="E156" s="271"/>
      <c r="F156" s="274"/>
      <c r="G156" s="275">
        <f t="shared" si="30"/>
        <v>0</v>
      </c>
      <c r="I156" s="16">
        <f>0.15*0.15*3.825*6</f>
        <v>0.51637500000000003</v>
      </c>
    </row>
    <row r="157" spans="1:18" x14ac:dyDescent="0.2">
      <c r="A157" s="68" t="s">
        <v>149</v>
      </c>
      <c r="B157" s="69" t="s">
        <v>251</v>
      </c>
      <c r="C157" s="70"/>
      <c r="D157" s="71"/>
      <c r="E157" s="291"/>
      <c r="F157" s="292"/>
      <c r="G157" s="293"/>
    </row>
    <row r="158" spans="1:18" x14ac:dyDescent="0.2">
      <c r="A158" s="76" t="s">
        <v>107</v>
      </c>
      <c r="B158" s="77" t="s">
        <v>262</v>
      </c>
      <c r="C158" s="78"/>
      <c r="D158" s="79"/>
      <c r="E158" s="291"/>
      <c r="F158" s="292"/>
      <c r="G158" s="293"/>
    </row>
    <row r="159" spans="1:18" ht="13.5" x14ac:dyDescent="0.2">
      <c r="A159" s="72"/>
      <c r="B159" s="73" t="s">
        <v>410</v>
      </c>
      <c r="C159" s="74" t="s">
        <v>136</v>
      </c>
      <c r="D159" s="75">
        <v>2.3880000000000003</v>
      </c>
      <c r="E159" s="271"/>
      <c r="F159" s="274"/>
      <c r="G159" s="275">
        <f t="shared" ref="G159:G160" si="31">(D159*E159)+(D159*F159)</f>
        <v>0</v>
      </c>
      <c r="I159" s="16">
        <f>3.82*5+4.08*5</f>
        <v>39.5</v>
      </c>
      <c r="J159" s="16">
        <f t="shared" ref="J159" si="32">I159*0.2*0.3</f>
        <v>2.37</v>
      </c>
    </row>
    <row r="160" spans="1:18" ht="13.5" x14ac:dyDescent="0.2">
      <c r="A160" s="72"/>
      <c r="B160" s="73" t="s">
        <v>411</v>
      </c>
      <c r="C160" s="74" t="s">
        <v>136</v>
      </c>
      <c r="D160" s="75">
        <v>6.6840000000000002</v>
      </c>
      <c r="E160" s="271"/>
      <c r="F160" s="274"/>
      <c r="G160" s="275">
        <f t="shared" si="31"/>
        <v>0</v>
      </c>
      <c r="I160" s="16">
        <f>3*10</f>
        <v>30</v>
      </c>
      <c r="J160" s="16">
        <f>I160*0.2*0.3</f>
        <v>1.7999999999999998</v>
      </c>
    </row>
    <row r="161" spans="1:13" ht="13.5" x14ac:dyDescent="0.2">
      <c r="A161" s="72"/>
      <c r="B161" s="73" t="s">
        <v>364</v>
      </c>
      <c r="C161" s="74" t="s">
        <v>136</v>
      </c>
      <c r="D161" s="75">
        <v>0.82499999999999996</v>
      </c>
      <c r="E161" s="271"/>
      <c r="F161" s="274"/>
      <c r="G161" s="275">
        <f t="shared" ref="G161" si="33">(D161*E161)+(D161*F161)</f>
        <v>0</v>
      </c>
      <c r="I161" s="16">
        <v>3</v>
      </c>
      <c r="J161" s="16">
        <f>I161*0.2*0.4</f>
        <v>0.24000000000000005</v>
      </c>
    </row>
    <row r="162" spans="1:13" x14ac:dyDescent="0.2">
      <c r="A162" s="72"/>
      <c r="B162" s="73"/>
      <c r="C162" s="74"/>
      <c r="D162" s="75"/>
      <c r="E162" s="271"/>
      <c r="F162" s="274"/>
      <c r="G162" s="275"/>
    </row>
    <row r="163" spans="1:13" ht="12.75" thickBot="1" x14ac:dyDescent="0.25">
      <c r="A163" s="72"/>
      <c r="B163" s="73"/>
      <c r="C163" s="74"/>
      <c r="D163" s="75"/>
      <c r="E163" s="271"/>
      <c r="F163" s="274"/>
      <c r="G163" s="275"/>
    </row>
    <row r="164" spans="1:13" x14ac:dyDescent="0.2">
      <c r="A164" s="345"/>
      <c r="B164" s="346"/>
      <c r="C164" s="347"/>
      <c r="D164" s="348"/>
      <c r="E164" s="271"/>
      <c r="F164" s="274"/>
      <c r="G164" s="275"/>
    </row>
    <row r="165" spans="1:13" x14ac:dyDescent="0.2">
      <c r="A165" s="72"/>
      <c r="B165" s="73"/>
      <c r="C165" s="74"/>
      <c r="D165" s="75"/>
      <c r="E165" s="271"/>
      <c r="F165" s="274"/>
      <c r="G165" s="275"/>
    </row>
    <row r="166" spans="1:13" x14ac:dyDescent="0.2">
      <c r="A166" s="326" t="s">
        <v>69</v>
      </c>
      <c r="B166" s="332" t="s">
        <v>12</v>
      </c>
      <c r="C166" s="331"/>
      <c r="D166" s="294"/>
      <c r="E166" s="271"/>
      <c r="F166" s="294"/>
      <c r="G166" s="295"/>
      <c r="M166" s="16" t="e">
        <f>#REF!-#REF!</f>
        <v>#REF!</v>
      </c>
    </row>
    <row r="167" spans="1:13" ht="24" x14ac:dyDescent="0.2">
      <c r="A167" s="56"/>
      <c r="B167" s="80" t="s">
        <v>128</v>
      </c>
      <c r="C167" s="80"/>
      <c r="D167" s="80"/>
      <c r="E167" s="296"/>
      <c r="F167" s="296"/>
      <c r="G167" s="297"/>
    </row>
    <row r="168" spans="1:13" ht="25.5" customHeight="1" x14ac:dyDescent="0.2">
      <c r="A168" s="56"/>
      <c r="B168" s="80" t="s">
        <v>70</v>
      </c>
      <c r="C168" s="80"/>
      <c r="D168" s="80"/>
      <c r="E168" s="296"/>
      <c r="F168" s="296"/>
      <c r="G168" s="297"/>
    </row>
    <row r="169" spans="1:13" ht="48.75" customHeight="1" x14ac:dyDescent="0.2">
      <c r="A169" s="56"/>
      <c r="B169" s="80" t="s">
        <v>71</v>
      </c>
      <c r="C169" s="80"/>
      <c r="D169" s="80"/>
      <c r="E169" s="296"/>
      <c r="F169" s="296"/>
      <c r="G169" s="297"/>
    </row>
    <row r="170" spans="1:13" ht="63.75" customHeight="1" x14ac:dyDescent="0.2">
      <c r="A170" s="56"/>
      <c r="B170" s="104" t="s">
        <v>72</v>
      </c>
      <c r="C170" s="104"/>
      <c r="D170" s="104"/>
      <c r="E170" s="298"/>
      <c r="F170" s="298"/>
      <c r="G170" s="299"/>
    </row>
    <row r="171" spans="1:13" ht="13.5" customHeight="1" x14ac:dyDescent="0.2">
      <c r="A171" s="68" t="s">
        <v>146</v>
      </c>
      <c r="B171" s="69" t="s">
        <v>62</v>
      </c>
      <c r="C171" s="70"/>
      <c r="D171" s="71"/>
      <c r="E171" s="291"/>
      <c r="F171" s="292"/>
      <c r="G171" s="293"/>
    </row>
    <row r="172" spans="1:13" s="17" customFormat="1" ht="15" x14ac:dyDescent="0.25">
      <c r="A172" s="81" t="s">
        <v>7</v>
      </c>
      <c r="B172" s="98" t="s">
        <v>347</v>
      </c>
      <c r="C172" s="105" t="s">
        <v>138</v>
      </c>
      <c r="D172" s="59">
        <v>6.2700000000000005</v>
      </c>
      <c r="E172" s="271"/>
      <c r="F172" s="283"/>
      <c r="G172" s="284">
        <f t="shared" ref="G172:G178" si="34">(D172*E172)+(D172*F172)</f>
        <v>0</v>
      </c>
      <c r="J172" s="45"/>
    </row>
    <row r="173" spans="1:13" s="17" customFormat="1" ht="15" x14ac:dyDescent="0.25">
      <c r="A173" s="81" t="s">
        <v>345</v>
      </c>
      <c r="B173" s="98" t="s">
        <v>348</v>
      </c>
      <c r="C173" s="105" t="s">
        <v>138</v>
      </c>
      <c r="D173" s="59">
        <v>4.8</v>
      </c>
      <c r="E173" s="271"/>
      <c r="F173" s="283"/>
      <c r="G173" s="284">
        <f t="shared" si="34"/>
        <v>0</v>
      </c>
      <c r="J173" s="45"/>
    </row>
    <row r="174" spans="1:13" s="17" customFormat="1" ht="15" x14ac:dyDescent="0.25">
      <c r="A174" s="81" t="s">
        <v>346</v>
      </c>
      <c r="B174" s="98" t="s">
        <v>349</v>
      </c>
      <c r="C174" s="105" t="s">
        <v>138</v>
      </c>
      <c r="D174" s="59">
        <v>3.9600000000000004</v>
      </c>
      <c r="E174" s="271"/>
      <c r="F174" s="283"/>
      <c r="G174" s="284">
        <f t="shared" si="34"/>
        <v>0</v>
      </c>
      <c r="J174" s="45"/>
    </row>
    <row r="175" spans="1:13" s="17" customFormat="1" ht="15" x14ac:dyDescent="0.25">
      <c r="A175" s="81" t="s">
        <v>350</v>
      </c>
      <c r="B175" s="98" t="s">
        <v>352</v>
      </c>
      <c r="C175" s="105" t="s">
        <v>138</v>
      </c>
      <c r="D175" s="59">
        <v>3.04</v>
      </c>
      <c r="E175" s="271"/>
      <c r="F175" s="283"/>
      <c r="G175" s="284">
        <f t="shared" si="34"/>
        <v>0</v>
      </c>
      <c r="J175" s="45"/>
    </row>
    <row r="176" spans="1:13" s="17" customFormat="1" ht="15" x14ac:dyDescent="0.25">
      <c r="A176" s="81" t="s">
        <v>351</v>
      </c>
      <c r="B176" s="98" t="s">
        <v>353</v>
      </c>
      <c r="C176" s="105" t="s">
        <v>138</v>
      </c>
      <c r="D176" s="59">
        <v>2.8000000000000003</v>
      </c>
      <c r="E176" s="271"/>
      <c r="F176" s="283"/>
      <c r="G176" s="284">
        <f t="shared" si="34"/>
        <v>0</v>
      </c>
      <c r="J176" s="45"/>
    </row>
    <row r="177" spans="1:18" s="17" customFormat="1" ht="15" x14ac:dyDescent="0.25">
      <c r="A177" s="81" t="s">
        <v>365</v>
      </c>
      <c r="B177" s="98" t="s">
        <v>406</v>
      </c>
      <c r="C177" s="105" t="s">
        <v>138</v>
      </c>
      <c r="D177" s="59">
        <v>2.08</v>
      </c>
      <c r="E177" s="271"/>
      <c r="F177" s="283"/>
      <c r="G177" s="284">
        <f t="shared" ref="G177" si="35">(D177*E177)+(D177*F177)</f>
        <v>0</v>
      </c>
      <c r="J177" s="45"/>
    </row>
    <row r="178" spans="1:18" ht="13.5" x14ac:dyDescent="0.2">
      <c r="A178" s="56"/>
      <c r="B178" s="67" t="s">
        <v>355</v>
      </c>
      <c r="C178" s="105" t="s">
        <v>138</v>
      </c>
      <c r="D178" s="59">
        <v>142.08000000000001</v>
      </c>
      <c r="E178" s="271"/>
      <c r="F178" s="274"/>
      <c r="G178" s="275">
        <f t="shared" si="34"/>
        <v>0</v>
      </c>
      <c r="I178" s="26">
        <f>32.2*4+4.02*2+4.08*2+1.8*2</f>
        <v>148.6</v>
      </c>
      <c r="J178" s="21">
        <f>I178*0.25*0.45</f>
        <v>16.717500000000001</v>
      </c>
      <c r="K178" s="21"/>
      <c r="L178" s="49"/>
      <c r="M178" s="19"/>
      <c r="N178" s="49"/>
    </row>
    <row r="179" spans="1:18" x14ac:dyDescent="0.2">
      <c r="A179" s="68" t="s">
        <v>147</v>
      </c>
      <c r="B179" s="69" t="s">
        <v>65</v>
      </c>
      <c r="C179" s="70"/>
      <c r="D179" s="71"/>
      <c r="E179" s="291"/>
      <c r="F179" s="292"/>
      <c r="G179" s="293"/>
    </row>
    <row r="180" spans="1:18" x14ac:dyDescent="0.2">
      <c r="A180" s="76" t="s">
        <v>151</v>
      </c>
      <c r="B180" s="77" t="s">
        <v>169</v>
      </c>
      <c r="C180" s="78"/>
      <c r="D180" s="79"/>
      <c r="E180" s="291"/>
      <c r="F180" s="292"/>
      <c r="G180" s="293"/>
    </row>
    <row r="181" spans="1:18" ht="13.5" x14ac:dyDescent="0.2">
      <c r="A181" s="72"/>
      <c r="B181" s="73" t="s">
        <v>356</v>
      </c>
      <c r="C181" s="105" t="s">
        <v>138</v>
      </c>
      <c r="D181" s="75">
        <v>9.73</v>
      </c>
      <c r="E181" s="271"/>
      <c r="F181" s="274"/>
      <c r="G181" s="275">
        <f t="shared" ref="G181:G184" si="36">(D181*E181)+(D181*F181)</f>
        <v>0</v>
      </c>
      <c r="I181" s="16">
        <f>0.2*0.2*4.275*35</f>
        <v>5.9850000000000012</v>
      </c>
      <c r="N181" s="16">
        <v>10</v>
      </c>
      <c r="O181" s="16">
        <v>1</v>
      </c>
      <c r="P181" s="16">
        <v>10</v>
      </c>
      <c r="Q181" s="16">
        <f>P181*O181</f>
        <v>10</v>
      </c>
      <c r="R181" s="16">
        <f>Q181*N181</f>
        <v>100</v>
      </c>
    </row>
    <row r="182" spans="1:18" ht="13.5" x14ac:dyDescent="0.2">
      <c r="A182" s="72"/>
      <c r="B182" s="73" t="s">
        <v>357</v>
      </c>
      <c r="C182" s="105" t="s">
        <v>138</v>
      </c>
      <c r="D182" s="75">
        <v>17.360000000000003</v>
      </c>
      <c r="E182" s="271"/>
      <c r="F182" s="274"/>
      <c r="G182" s="275">
        <f t="shared" si="36"/>
        <v>0</v>
      </c>
      <c r="I182" s="16">
        <f>0.4*0.2*4.275*5</f>
        <v>1.7100000000000004</v>
      </c>
      <c r="N182" s="16">
        <v>-10</v>
      </c>
      <c r="O182" s="16">
        <v>1</v>
      </c>
      <c r="P182" s="16">
        <v>30</v>
      </c>
      <c r="Q182" s="16">
        <f>P182*O182</f>
        <v>30</v>
      </c>
      <c r="R182" s="16">
        <f>Q182*N182</f>
        <v>-300</v>
      </c>
    </row>
    <row r="183" spans="1:18" ht="13.5" x14ac:dyDescent="0.2">
      <c r="A183" s="72"/>
      <c r="B183" s="73" t="s">
        <v>358</v>
      </c>
      <c r="C183" s="105" t="s">
        <v>138</v>
      </c>
      <c r="D183" s="75">
        <v>56</v>
      </c>
      <c r="E183" s="271"/>
      <c r="F183" s="274"/>
      <c r="G183" s="275">
        <f t="shared" si="36"/>
        <v>0</v>
      </c>
      <c r="I183" s="16">
        <f>0.15*0.15*3.825*6</f>
        <v>0.51637500000000003</v>
      </c>
      <c r="R183" s="16">
        <f>SUM(R181:R182)</f>
        <v>-200</v>
      </c>
    </row>
    <row r="184" spans="1:18" ht="13.5" x14ac:dyDescent="0.2">
      <c r="A184" s="72"/>
      <c r="B184" s="73" t="s">
        <v>359</v>
      </c>
      <c r="C184" s="105" t="s">
        <v>138</v>
      </c>
      <c r="D184" s="75">
        <v>39.200000000000003</v>
      </c>
      <c r="E184" s="271"/>
      <c r="F184" s="274"/>
      <c r="G184" s="275">
        <f t="shared" si="36"/>
        <v>0</v>
      </c>
      <c r="I184" s="16">
        <f>0.15*0.15*3.825*6</f>
        <v>0.51637500000000003</v>
      </c>
    </row>
    <row r="185" spans="1:18" x14ac:dyDescent="0.2">
      <c r="A185" s="76" t="s">
        <v>10</v>
      </c>
      <c r="B185" s="77" t="s">
        <v>194</v>
      </c>
      <c r="C185" s="78"/>
      <c r="D185" s="79"/>
      <c r="E185" s="291"/>
      <c r="F185" s="274"/>
      <c r="G185" s="275"/>
    </row>
    <row r="186" spans="1:18" ht="13.5" x14ac:dyDescent="0.2">
      <c r="A186" s="72"/>
      <c r="B186" s="73" t="s">
        <v>266</v>
      </c>
      <c r="C186" s="105" t="s">
        <v>138</v>
      </c>
      <c r="D186" s="75">
        <v>28.5</v>
      </c>
      <c r="E186" s="271"/>
      <c r="F186" s="274"/>
      <c r="G186" s="275">
        <f t="shared" ref="G186:G188" si="37">(D186*E186)+(D186*F186)</f>
        <v>0</v>
      </c>
    </row>
    <row r="187" spans="1:18" s="322" customFormat="1" x14ac:dyDescent="0.2">
      <c r="A187" s="318" t="s">
        <v>15</v>
      </c>
      <c r="B187" s="319" t="s">
        <v>197</v>
      </c>
      <c r="C187" s="320"/>
      <c r="D187" s="321"/>
      <c r="E187" s="291"/>
      <c r="F187" s="274"/>
      <c r="G187" s="275">
        <f t="shared" si="37"/>
        <v>0</v>
      </c>
    </row>
    <row r="188" spans="1:18" s="322" customFormat="1" ht="13.5" x14ac:dyDescent="0.2">
      <c r="A188" s="311"/>
      <c r="B188" s="312" t="s">
        <v>315</v>
      </c>
      <c r="C188" s="323" t="s">
        <v>138</v>
      </c>
      <c r="D188" s="314">
        <v>18.315000000000001</v>
      </c>
      <c r="E188" s="271"/>
      <c r="F188" s="274"/>
      <c r="G188" s="275">
        <f t="shared" si="37"/>
        <v>0</v>
      </c>
      <c r="I188" s="322">
        <f>(32.2+11.075)*2*0.1</f>
        <v>8.6550000000000011</v>
      </c>
      <c r="J188" s="322">
        <f>32.2*0.15*2</f>
        <v>9.66</v>
      </c>
      <c r="K188" s="322">
        <f>SUM(I188:J188)</f>
        <v>18.315000000000001</v>
      </c>
    </row>
    <row r="189" spans="1:18" x14ac:dyDescent="0.2">
      <c r="A189" s="68" t="s">
        <v>55</v>
      </c>
      <c r="B189" s="69" t="s">
        <v>67</v>
      </c>
      <c r="C189" s="70"/>
      <c r="D189" s="71"/>
      <c r="E189" s="291"/>
      <c r="F189" s="292"/>
      <c r="G189" s="293"/>
    </row>
    <row r="190" spans="1:18" x14ac:dyDescent="0.2">
      <c r="A190" s="76" t="s">
        <v>152</v>
      </c>
      <c r="B190" s="77" t="s">
        <v>267</v>
      </c>
      <c r="C190" s="78"/>
      <c r="D190" s="79"/>
      <c r="E190" s="291"/>
      <c r="F190" s="292"/>
      <c r="G190" s="293"/>
    </row>
    <row r="191" spans="1:18" ht="13.5" x14ac:dyDescent="0.2">
      <c r="A191" s="72"/>
      <c r="B191" s="73" t="s">
        <v>360</v>
      </c>
      <c r="C191" s="105" t="s">
        <v>138</v>
      </c>
      <c r="D191" s="75">
        <v>30.6</v>
      </c>
      <c r="E191" s="271"/>
      <c r="F191" s="274"/>
      <c r="G191" s="275">
        <f t="shared" ref="G191:G193" si="38">(D191*E191)+(D191*F191)</f>
        <v>0</v>
      </c>
      <c r="I191" s="16">
        <f>3.82*5+4.08*5</f>
        <v>39.5</v>
      </c>
      <c r="J191" s="16">
        <f t="shared" ref="J191" si="39">I191*0.2*0.3</f>
        <v>2.37</v>
      </c>
    </row>
    <row r="192" spans="1:18" ht="13.5" x14ac:dyDescent="0.2">
      <c r="A192" s="72"/>
      <c r="B192" s="73" t="s">
        <v>361</v>
      </c>
      <c r="C192" s="105" t="s">
        <v>138</v>
      </c>
      <c r="D192" s="75">
        <v>68.25500000000001</v>
      </c>
      <c r="E192" s="271"/>
      <c r="F192" s="274"/>
      <c r="G192" s="275">
        <f t="shared" si="38"/>
        <v>0</v>
      </c>
      <c r="I192" s="16">
        <f>3*10</f>
        <v>30</v>
      </c>
      <c r="J192" s="16">
        <f>I192*0.2*0.3</f>
        <v>1.7999999999999998</v>
      </c>
    </row>
    <row r="193" spans="1:18" ht="13.5" x14ac:dyDescent="0.2">
      <c r="A193" s="72"/>
      <c r="B193" s="73" t="s">
        <v>362</v>
      </c>
      <c r="C193" s="105" t="s">
        <v>138</v>
      </c>
      <c r="D193" s="75">
        <v>23.205000000000002</v>
      </c>
      <c r="E193" s="271"/>
      <c r="F193" s="274"/>
      <c r="G193" s="275">
        <f t="shared" si="38"/>
        <v>0</v>
      </c>
      <c r="I193" s="16">
        <v>3</v>
      </c>
      <c r="J193" s="16">
        <f>I193*0.2*0.4</f>
        <v>0.24000000000000005</v>
      </c>
    </row>
    <row r="194" spans="1:18" x14ac:dyDescent="0.2">
      <c r="A194" s="76" t="s">
        <v>66</v>
      </c>
      <c r="B194" s="77" t="s">
        <v>268</v>
      </c>
      <c r="C194" s="78"/>
      <c r="D194" s="79"/>
      <c r="E194" s="291"/>
      <c r="F194" s="274"/>
      <c r="G194" s="275"/>
    </row>
    <row r="195" spans="1:18" ht="13.5" x14ac:dyDescent="0.2">
      <c r="A195" s="72"/>
      <c r="B195" s="73" t="str">
        <f>B122</f>
        <v>155mm thick R.c.c. Floor Slab</v>
      </c>
      <c r="C195" s="105" t="s">
        <v>138</v>
      </c>
      <c r="D195" s="75">
        <v>75</v>
      </c>
      <c r="E195" s="271"/>
      <c r="F195" s="274"/>
      <c r="G195" s="275">
        <f t="shared" ref="G195:G196" si="40">(D195*E195)+(D195*F195)</f>
        <v>0</v>
      </c>
      <c r="I195" s="16">
        <f>29*8.5</f>
        <v>246.5</v>
      </c>
      <c r="J195" s="16">
        <f>32.2*2.2</f>
        <v>70.840000000000018</v>
      </c>
      <c r="K195" s="16">
        <f>SUM(I195:J195)</f>
        <v>317.34000000000003</v>
      </c>
      <c r="L195" s="16">
        <f>K195*0.15</f>
        <v>47.601000000000006</v>
      </c>
    </row>
    <row r="196" spans="1:18" ht="13.5" x14ac:dyDescent="0.2">
      <c r="A196" s="72"/>
      <c r="B196" s="73" t="str">
        <f>B123</f>
        <v>175mm thick R.c.c. Floor Slab</v>
      </c>
      <c r="C196" s="105" t="s">
        <v>138</v>
      </c>
      <c r="D196" s="75">
        <v>233</v>
      </c>
      <c r="E196" s="271"/>
      <c r="F196" s="274"/>
      <c r="G196" s="275">
        <f t="shared" si="40"/>
        <v>0</v>
      </c>
      <c r="I196" s="16">
        <f>29*8.5</f>
        <v>246.5</v>
      </c>
      <c r="J196" s="16">
        <f>32.2*2.2</f>
        <v>70.840000000000018</v>
      </c>
      <c r="K196" s="16">
        <f>SUM(I196:J196)</f>
        <v>317.34000000000003</v>
      </c>
      <c r="L196" s="16">
        <f>K196*0.15</f>
        <v>47.601000000000006</v>
      </c>
    </row>
    <row r="197" spans="1:18" x14ac:dyDescent="0.2">
      <c r="A197" s="76" t="s">
        <v>69</v>
      </c>
      <c r="B197" s="77" t="s">
        <v>169</v>
      </c>
      <c r="C197" s="78"/>
      <c r="D197" s="79"/>
      <c r="E197" s="291"/>
      <c r="F197" s="292"/>
      <c r="G197" s="293"/>
    </row>
    <row r="198" spans="1:18" ht="13.5" x14ac:dyDescent="0.2">
      <c r="A198" s="72"/>
      <c r="B198" s="73" t="s">
        <v>356</v>
      </c>
      <c r="C198" s="105" t="s">
        <v>138</v>
      </c>
      <c r="D198" s="75">
        <v>7.6450000000000005</v>
      </c>
      <c r="E198" s="271"/>
      <c r="F198" s="274"/>
      <c r="G198" s="275">
        <f t="shared" ref="G198:G203" si="41">(D198*E198)+(D198*F198)</f>
        <v>0</v>
      </c>
      <c r="I198" s="16">
        <f>0.2*0.2*4.275*35</f>
        <v>5.9850000000000012</v>
      </c>
      <c r="N198" s="16">
        <v>10</v>
      </c>
      <c r="O198" s="16">
        <v>1</v>
      </c>
      <c r="P198" s="16">
        <v>10</v>
      </c>
      <c r="Q198" s="16">
        <f>P198*O198</f>
        <v>10</v>
      </c>
      <c r="R198" s="16">
        <f>Q198*N198</f>
        <v>100</v>
      </c>
    </row>
    <row r="199" spans="1:18" ht="13.5" x14ac:dyDescent="0.2">
      <c r="A199" s="72"/>
      <c r="B199" s="73" t="s">
        <v>357</v>
      </c>
      <c r="C199" s="105" t="s">
        <v>138</v>
      </c>
      <c r="D199" s="75">
        <v>13.640000000000002</v>
      </c>
      <c r="E199" s="271"/>
      <c r="F199" s="274"/>
      <c r="G199" s="275">
        <f t="shared" si="41"/>
        <v>0</v>
      </c>
      <c r="I199" s="16">
        <f>0.4*0.2*4.275*5</f>
        <v>1.7100000000000004</v>
      </c>
      <c r="N199" s="16">
        <v>-10</v>
      </c>
      <c r="O199" s="16">
        <v>1</v>
      </c>
      <c r="P199" s="16">
        <v>30</v>
      </c>
      <c r="Q199" s="16">
        <f>P199*O199</f>
        <v>30</v>
      </c>
      <c r="R199" s="16">
        <f>Q199*N199</f>
        <v>-300</v>
      </c>
    </row>
    <row r="200" spans="1:18" ht="13.5" x14ac:dyDescent="0.2">
      <c r="A200" s="72"/>
      <c r="B200" s="73" t="s">
        <v>358</v>
      </c>
      <c r="C200" s="105" t="s">
        <v>138</v>
      </c>
      <c r="D200" s="75">
        <v>44</v>
      </c>
      <c r="E200" s="271"/>
      <c r="F200" s="274"/>
      <c r="G200" s="275">
        <f t="shared" si="41"/>
        <v>0</v>
      </c>
      <c r="I200" s="16">
        <f>0.15*0.15*3.825*6</f>
        <v>0.51637500000000003</v>
      </c>
      <c r="R200" s="16">
        <f>SUM(R198:R199)</f>
        <v>-200</v>
      </c>
    </row>
    <row r="201" spans="1:18" ht="13.5" x14ac:dyDescent="0.2">
      <c r="A201" s="72"/>
      <c r="B201" s="73" t="s">
        <v>359</v>
      </c>
      <c r="C201" s="105" t="s">
        <v>138</v>
      </c>
      <c r="D201" s="75">
        <v>30.800000000000004</v>
      </c>
      <c r="E201" s="271"/>
      <c r="F201" s="274"/>
      <c r="G201" s="275">
        <f t="shared" si="41"/>
        <v>0</v>
      </c>
      <c r="I201" s="16">
        <f>0.15*0.15*3.825*6</f>
        <v>0.51637500000000003</v>
      </c>
    </row>
    <row r="202" spans="1:18" x14ac:dyDescent="0.2">
      <c r="A202" s="76" t="s">
        <v>98</v>
      </c>
      <c r="B202" s="77" t="s">
        <v>194</v>
      </c>
      <c r="C202" s="78"/>
      <c r="D202" s="79"/>
      <c r="E202" s="291"/>
      <c r="F202" s="274"/>
      <c r="G202" s="275"/>
    </row>
    <row r="203" spans="1:18" ht="13.5" x14ac:dyDescent="0.2">
      <c r="A203" s="72"/>
      <c r="B203" s="73" t="s">
        <v>266</v>
      </c>
      <c r="C203" s="105" t="s">
        <v>138</v>
      </c>
      <c r="D203" s="75">
        <v>30</v>
      </c>
      <c r="E203" s="271"/>
      <c r="F203" s="274"/>
      <c r="G203" s="275">
        <f t="shared" si="41"/>
        <v>0</v>
      </c>
    </row>
    <row r="204" spans="1:18" x14ac:dyDescent="0.2">
      <c r="A204" s="68" t="s">
        <v>148</v>
      </c>
      <c r="B204" s="69" t="s">
        <v>363</v>
      </c>
      <c r="C204" s="70"/>
      <c r="D204" s="71"/>
      <c r="E204" s="291"/>
      <c r="F204" s="292"/>
      <c r="G204" s="293"/>
    </row>
    <row r="205" spans="1:18" x14ac:dyDescent="0.2">
      <c r="A205" s="76" t="s">
        <v>101</v>
      </c>
      <c r="B205" s="77" t="s">
        <v>267</v>
      </c>
      <c r="C205" s="78"/>
      <c r="D205" s="79"/>
      <c r="E205" s="291"/>
      <c r="F205" s="292"/>
      <c r="G205" s="293"/>
    </row>
    <row r="206" spans="1:18" ht="13.5" x14ac:dyDescent="0.2">
      <c r="A206" s="311"/>
      <c r="B206" s="312" t="str">
        <f>B133</f>
        <v>B1</v>
      </c>
      <c r="C206" s="105" t="s">
        <v>138</v>
      </c>
      <c r="D206" s="314">
        <v>30.6</v>
      </c>
      <c r="E206" s="271"/>
      <c r="F206" s="274"/>
      <c r="G206" s="275">
        <f t="shared" ref="G206:G210" si="42">(D206*E206)+(D206*F206)</f>
        <v>0</v>
      </c>
      <c r="I206" s="16">
        <f>3*9*2+1.8*2</f>
        <v>57.6</v>
      </c>
      <c r="J206" s="16">
        <f>I206*0.2*0.3</f>
        <v>3.4560000000000004</v>
      </c>
      <c r="N206" s="16">
        <f>400*2.5</f>
        <v>1000</v>
      </c>
      <c r="O206" s="16">
        <v>60</v>
      </c>
      <c r="P206" s="16">
        <f>O206*N206</f>
        <v>60000</v>
      </c>
    </row>
    <row r="207" spans="1:18" ht="13.5" x14ac:dyDescent="0.2">
      <c r="A207" s="311"/>
      <c r="B207" s="312" t="str">
        <f t="shared" ref="B207:B208" si="43">B134</f>
        <v>B2</v>
      </c>
      <c r="C207" s="105" t="s">
        <v>138</v>
      </c>
      <c r="D207" s="314">
        <v>68.25500000000001</v>
      </c>
      <c r="E207" s="271"/>
      <c r="F207" s="274"/>
      <c r="G207" s="275">
        <f t="shared" si="42"/>
        <v>0</v>
      </c>
      <c r="I207" s="16">
        <f>4.02+4.08</f>
        <v>8.1</v>
      </c>
      <c r="J207" s="16">
        <f t="shared" ref="J207:J208" si="44">I207*0.2*0.3</f>
        <v>0.48599999999999999</v>
      </c>
    </row>
    <row r="208" spans="1:18" ht="13.5" x14ac:dyDescent="0.2">
      <c r="A208" s="72"/>
      <c r="B208" s="312" t="str">
        <f t="shared" si="43"/>
        <v>B3</v>
      </c>
      <c r="C208" s="105" t="s">
        <v>138</v>
      </c>
      <c r="D208" s="314">
        <v>23.205000000000002</v>
      </c>
      <c r="E208" s="271"/>
      <c r="F208" s="274"/>
      <c r="G208" s="275">
        <f t="shared" si="42"/>
        <v>0</v>
      </c>
      <c r="I208" s="16">
        <f>3.82*5+4.08*5</f>
        <v>39.5</v>
      </c>
      <c r="J208" s="16">
        <f t="shared" si="44"/>
        <v>2.37</v>
      </c>
    </row>
    <row r="209" spans="1:18" x14ac:dyDescent="0.2">
      <c r="A209" s="76" t="s">
        <v>129</v>
      </c>
      <c r="B209" s="77" t="s">
        <v>268</v>
      </c>
      <c r="C209" s="78"/>
      <c r="D209" s="79"/>
      <c r="E209" s="291"/>
      <c r="F209" s="274"/>
      <c r="G209" s="275">
        <f t="shared" si="42"/>
        <v>0</v>
      </c>
    </row>
    <row r="210" spans="1:18" ht="13.5" x14ac:dyDescent="0.2">
      <c r="A210" s="72"/>
      <c r="B210" s="73" t="str">
        <f>B137</f>
        <v>155mm thick R.c.c. Floor Slab</v>
      </c>
      <c r="C210" s="105" t="s">
        <v>138</v>
      </c>
      <c r="D210" s="75">
        <v>75</v>
      </c>
      <c r="E210" s="271"/>
      <c r="F210" s="274"/>
      <c r="G210" s="275">
        <f t="shared" si="42"/>
        <v>0</v>
      </c>
      <c r="I210" s="16">
        <f>29*8.5</f>
        <v>246.5</v>
      </c>
      <c r="J210" s="16">
        <f>32.2*2.2</f>
        <v>70.840000000000018</v>
      </c>
      <c r="K210" s="16">
        <f>SUM(I210:J210)</f>
        <v>317.34000000000003</v>
      </c>
      <c r="L210" s="16">
        <f>K210*0.15</f>
        <v>47.601000000000006</v>
      </c>
    </row>
    <row r="211" spans="1:18" ht="13.5" x14ac:dyDescent="0.2">
      <c r="A211" s="72"/>
      <c r="B211" s="73" t="str">
        <f>B138</f>
        <v>175mm thick R.c.c. Floor Slab</v>
      </c>
      <c r="C211" s="105" t="s">
        <v>138</v>
      </c>
      <c r="D211" s="75">
        <v>233</v>
      </c>
      <c r="E211" s="271"/>
      <c r="F211" s="274"/>
      <c r="G211" s="275">
        <f t="shared" ref="G211" si="45">(D211*E211)+(D211*F211)</f>
        <v>0</v>
      </c>
      <c r="I211" s="16">
        <f>29*8.5</f>
        <v>246.5</v>
      </c>
      <c r="J211" s="16">
        <f>32.2*2.2</f>
        <v>70.840000000000018</v>
      </c>
      <c r="K211" s="16">
        <f>SUM(I211:J211)</f>
        <v>317.34000000000003</v>
      </c>
      <c r="L211" s="16">
        <f>K211*0.15</f>
        <v>47.601000000000006</v>
      </c>
    </row>
    <row r="212" spans="1:18" x14ac:dyDescent="0.2">
      <c r="A212" s="76" t="s">
        <v>130</v>
      </c>
      <c r="B212" s="77" t="s">
        <v>169</v>
      </c>
      <c r="C212" s="78"/>
      <c r="D212" s="79"/>
      <c r="E212" s="291"/>
      <c r="F212" s="292"/>
      <c r="G212" s="293"/>
    </row>
    <row r="213" spans="1:18" ht="13.5" x14ac:dyDescent="0.2">
      <c r="A213" s="72"/>
      <c r="B213" s="73" t="s">
        <v>356</v>
      </c>
      <c r="C213" s="105" t="s">
        <v>138</v>
      </c>
      <c r="D213" s="75">
        <v>7.37</v>
      </c>
      <c r="E213" s="271"/>
      <c r="F213" s="274"/>
      <c r="G213" s="275">
        <f t="shared" ref="G213:G216" si="46">(D213*E213)+(D213*F213)</f>
        <v>0</v>
      </c>
      <c r="I213" s="16">
        <f>0.2*0.2*4.275*35</f>
        <v>5.9850000000000012</v>
      </c>
      <c r="N213" s="16">
        <v>10</v>
      </c>
      <c r="O213" s="16">
        <v>1</v>
      </c>
      <c r="P213" s="16">
        <v>10</v>
      </c>
      <c r="Q213" s="16">
        <f>P213*O213</f>
        <v>10</v>
      </c>
      <c r="R213" s="16">
        <f>Q213*N213</f>
        <v>100</v>
      </c>
    </row>
    <row r="214" spans="1:18" ht="13.5" x14ac:dyDescent="0.2">
      <c r="A214" s="72"/>
      <c r="B214" s="73" t="s">
        <v>357</v>
      </c>
      <c r="C214" s="105" t="s">
        <v>138</v>
      </c>
      <c r="D214" s="75">
        <v>13.640000000000002</v>
      </c>
      <c r="E214" s="271"/>
      <c r="F214" s="274"/>
      <c r="G214" s="275">
        <f t="shared" si="46"/>
        <v>0</v>
      </c>
      <c r="I214" s="16">
        <f>0.4*0.2*4.275*5</f>
        <v>1.7100000000000004</v>
      </c>
      <c r="N214" s="16">
        <v>-10</v>
      </c>
      <c r="O214" s="16">
        <v>1</v>
      </c>
      <c r="P214" s="16">
        <v>30</v>
      </c>
      <c r="Q214" s="16">
        <f>P214*O214</f>
        <v>30</v>
      </c>
      <c r="R214" s="16">
        <f>Q214*N214</f>
        <v>-300</v>
      </c>
    </row>
    <row r="215" spans="1:18" ht="13.5" x14ac:dyDescent="0.2">
      <c r="A215" s="72"/>
      <c r="B215" s="73" t="s">
        <v>358</v>
      </c>
      <c r="C215" s="105" t="s">
        <v>138</v>
      </c>
      <c r="D215" s="75">
        <v>44</v>
      </c>
      <c r="E215" s="271"/>
      <c r="F215" s="274"/>
      <c r="G215" s="275">
        <f t="shared" si="46"/>
        <v>0</v>
      </c>
      <c r="I215" s="16">
        <f>0.15*0.15*3.825*6</f>
        <v>0.51637500000000003</v>
      </c>
      <c r="R215" s="16">
        <f>SUM(R213:R214)</f>
        <v>-200</v>
      </c>
    </row>
    <row r="216" spans="1:18" ht="13.5" x14ac:dyDescent="0.2">
      <c r="A216" s="72"/>
      <c r="B216" s="73" t="s">
        <v>359</v>
      </c>
      <c r="C216" s="105" t="s">
        <v>138</v>
      </c>
      <c r="D216" s="75">
        <v>30.800000000000004</v>
      </c>
      <c r="E216" s="271"/>
      <c r="F216" s="274"/>
      <c r="G216" s="275">
        <f t="shared" si="46"/>
        <v>0</v>
      </c>
      <c r="I216" s="16">
        <f>0.15*0.15*3.825*6</f>
        <v>0.51637500000000003</v>
      </c>
    </row>
    <row r="217" spans="1:18" x14ac:dyDescent="0.2">
      <c r="A217" s="68" t="s">
        <v>148</v>
      </c>
      <c r="B217" s="69" t="s">
        <v>409</v>
      </c>
      <c r="C217" s="70"/>
      <c r="D217" s="71"/>
      <c r="E217" s="291"/>
      <c r="F217" s="292"/>
      <c r="G217" s="293"/>
    </row>
    <row r="218" spans="1:18" x14ac:dyDescent="0.2">
      <c r="A218" s="76" t="s">
        <v>101</v>
      </c>
      <c r="B218" s="77" t="s">
        <v>267</v>
      </c>
      <c r="C218" s="78"/>
      <c r="D218" s="79"/>
      <c r="E218" s="291"/>
      <c r="F218" s="292"/>
      <c r="G218" s="293"/>
    </row>
    <row r="219" spans="1:18" ht="13.5" x14ac:dyDescent="0.2">
      <c r="A219" s="311"/>
      <c r="B219" s="312" t="str">
        <f>B146</f>
        <v>B1</v>
      </c>
      <c r="C219" s="105" t="s">
        <v>138</v>
      </c>
      <c r="D219" s="314">
        <v>30.6</v>
      </c>
      <c r="E219" s="271"/>
      <c r="F219" s="274"/>
      <c r="G219" s="275">
        <f t="shared" ref="G219:G224" si="47">(D219*E219)+(D219*F219)</f>
        <v>0</v>
      </c>
      <c r="I219" s="16">
        <f>3*9*2+1.8*2</f>
        <v>57.6</v>
      </c>
      <c r="J219" s="16">
        <f>I219*0.2*0.3</f>
        <v>3.4560000000000004</v>
      </c>
      <c r="N219" s="16">
        <f>400*2.5</f>
        <v>1000</v>
      </c>
      <c r="O219" s="16">
        <v>60</v>
      </c>
      <c r="P219" s="16">
        <f>O219*N219</f>
        <v>60000</v>
      </c>
    </row>
    <row r="220" spans="1:18" ht="13.5" x14ac:dyDescent="0.2">
      <c r="A220" s="311"/>
      <c r="B220" s="312" t="str">
        <f t="shared" ref="B220" si="48">B147</f>
        <v>B2</v>
      </c>
      <c r="C220" s="105" t="s">
        <v>138</v>
      </c>
      <c r="D220" s="314">
        <v>68.25500000000001</v>
      </c>
      <c r="E220" s="271"/>
      <c r="F220" s="274"/>
      <c r="G220" s="275">
        <f t="shared" si="47"/>
        <v>0</v>
      </c>
      <c r="I220" s="16">
        <f>4.02+4.08</f>
        <v>8.1</v>
      </c>
      <c r="J220" s="16">
        <f t="shared" ref="J220:J221" si="49">I220*0.2*0.3</f>
        <v>0.48599999999999999</v>
      </c>
    </row>
    <row r="221" spans="1:18" ht="13.5" x14ac:dyDescent="0.2">
      <c r="A221" s="72"/>
      <c r="B221" s="312" t="str">
        <f t="shared" ref="B221" si="50">B148</f>
        <v>B3</v>
      </c>
      <c r="C221" s="105" t="s">
        <v>138</v>
      </c>
      <c r="D221" s="314">
        <v>23.205000000000002</v>
      </c>
      <c r="E221" s="271"/>
      <c r="F221" s="274"/>
      <c r="G221" s="275">
        <f t="shared" si="47"/>
        <v>0</v>
      </c>
      <c r="I221" s="16">
        <f>3.82*5+4.08*5</f>
        <v>39.5</v>
      </c>
      <c r="J221" s="16">
        <f t="shared" si="49"/>
        <v>2.37</v>
      </c>
    </row>
    <row r="222" spans="1:18" x14ac:dyDescent="0.2">
      <c r="A222" s="76" t="s">
        <v>129</v>
      </c>
      <c r="B222" s="77" t="s">
        <v>268</v>
      </c>
      <c r="C222" s="78"/>
      <c r="D222" s="79"/>
      <c r="E222" s="291"/>
      <c r="F222" s="274"/>
      <c r="G222" s="275"/>
    </row>
    <row r="223" spans="1:18" ht="13.5" x14ac:dyDescent="0.2">
      <c r="A223" s="72"/>
      <c r="B223" s="73" t="str">
        <f>B150</f>
        <v>155mm thick R.c.c. Floor Slab</v>
      </c>
      <c r="C223" s="105" t="s">
        <v>138</v>
      </c>
      <c r="D223" s="75">
        <v>75</v>
      </c>
      <c r="E223" s="271"/>
      <c r="F223" s="274"/>
      <c r="G223" s="275">
        <f t="shared" si="47"/>
        <v>0</v>
      </c>
      <c r="I223" s="16">
        <f>29*8.5</f>
        <v>246.5</v>
      </c>
      <c r="J223" s="16">
        <f>32.2*2.2</f>
        <v>70.840000000000018</v>
      </c>
      <c r="K223" s="16">
        <f>SUM(I223:J223)</f>
        <v>317.34000000000003</v>
      </c>
      <c r="L223" s="16">
        <f>K223*0.15</f>
        <v>47.601000000000006</v>
      </c>
    </row>
    <row r="224" spans="1:18" ht="13.5" x14ac:dyDescent="0.2">
      <c r="A224" s="72"/>
      <c r="B224" s="73" t="str">
        <f>B151</f>
        <v>175mm thick R.c.c. Floor Slab</v>
      </c>
      <c r="C224" s="105" t="s">
        <v>138</v>
      </c>
      <c r="D224" s="75">
        <v>233</v>
      </c>
      <c r="E224" s="271"/>
      <c r="F224" s="274"/>
      <c r="G224" s="275">
        <f t="shared" si="47"/>
        <v>0</v>
      </c>
      <c r="I224" s="16">
        <f>29*8.5</f>
        <v>246.5</v>
      </c>
      <c r="J224" s="16">
        <f>32.2*2.2</f>
        <v>70.840000000000018</v>
      </c>
      <c r="K224" s="16">
        <f>SUM(I224:J224)</f>
        <v>317.34000000000003</v>
      </c>
      <c r="L224" s="16">
        <f>K224*0.15</f>
        <v>47.601000000000006</v>
      </c>
    </row>
    <row r="225" spans="1:18" x14ac:dyDescent="0.2">
      <c r="A225" s="76" t="s">
        <v>130</v>
      </c>
      <c r="B225" s="77" t="s">
        <v>169</v>
      </c>
      <c r="C225" s="78"/>
      <c r="D225" s="79"/>
      <c r="E225" s="291"/>
      <c r="F225" s="292"/>
      <c r="G225" s="293"/>
    </row>
    <row r="226" spans="1:18" ht="13.5" x14ac:dyDescent="0.2">
      <c r="A226" s="72"/>
      <c r="B226" s="73" t="s">
        <v>356</v>
      </c>
      <c r="C226" s="105" t="s">
        <v>138</v>
      </c>
      <c r="D226" s="75">
        <v>7.37</v>
      </c>
      <c r="E226" s="271"/>
      <c r="F226" s="274"/>
      <c r="G226" s="275">
        <f t="shared" ref="G226:G229" si="51">(D226*E226)+(D226*F226)</f>
        <v>0</v>
      </c>
      <c r="I226" s="16">
        <f>0.2*0.2*4.275*35</f>
        <v>5.9850000000000012</v>
      </c>
      <c r="N226" s="16">
        <v>10</v>
      </c>
      <c r="O226" s="16">
        <v>1</v>
      </c>
      <c r="P226" s="16">
        <v>10</v>
      </c>
      <c r="Q226" s="16">
        <f>P226*O226</f>
        <v>10</v>
      </c>
      <c r="R226" s="16">
        <f>Q226*N226</f>
        <v>100</v>
      </c>
    </row>
    <row r="227" spans="1:18" ht="13.5" x14ac:dyDescent="0.2">
      <c r="A227" s="72"/>
      <c r="B227" s="73" t="s">
        <v>357</v>
      </c>
      <c r="C227" s="105" t="s">
        <v>138</v>
      </c>
      <c r="D227" s="75">
        <v>13.640000000000002</v>
      </c>
      <c r="E227" s="271"/>
      <c r="F227" s="274"/>
      <c r="G227" s="275">
        <f t="shared" si="51"/>
        <v>0</v>
      </c>
      <c r="I227" s="16">
        <f>0.4*0.2*4.275*5</f>
        <v>1.7100000000000004</v>
      </c>
      <c r="N227" s="16">
        <v>-10</v>
      </c>
      <c r="O227" s="16">
        <v>1</v>
      </c>
      <c r="P227" s="16">
        <v>30</v>
      </c>
      <c r="Q227" s="16">
        <f>P227*O227</f>
        <v>30</v>
      </c>
      <c r="R227" s="16">
        <f>Q227*N227</f>
        <v>-300</v>
      </c>
    </row>
    <row r="228" spans="1:18" ht="13.5" x14ac:dyDescent="0.2">
      <c r="A228" s="72"/>
      <c r="B228" s="73" t="s">
        <v>358</v>
      </c>
      <c r="C228" s="105" t="s">
        <v>138</v>
      </c>
      <c r="D228" s="75">
        <v>44</v>
      </c>
      <c r="E228" s="271"/>
      <c r="F228" s="274"/>
      <c r="G228" s="275">
        <f t="shared" si="51"/>
        <v>0</v>
      </c>
      <c r="I228" s="16">
        <f>0.15*0.15*3.825*6</f>
        <v>0.51637500000000003</v>
      </c>
      <c r="R228" s="16">
        <f>SUM(R226:R227)</f>
        <v>-200</v>
      </c>
    </row>
    <row r="229" spans="1:18" ht="13.5" x14ac:dyDescent="0.2">
      <c r="A229" s="72"/>
      <c r="B229" s="73" t="s">
        <v>359</v>
      </c>
      <c r="C229" s="105" t="s">
        <v>138</v>
      </c>
      <c r="D229" s="75">
        <v>30.800000000000004</v>
      </c>
      <c r="E229" s="271"/>
      <c r="F229" s="274"/>
      <c r="G229" s="275">
        <f t="shared" si="51"/>
        <v>0</v>
      </c>
      <c r="I229" s="16">
        <f>0.15*0.15*3.825*6</f>
        <v>0.51637500000000003</v>
      </c>
    </row>
    <row r="230" spans="1:18" x14ac:dyDescent="0.2">
      <c r="A230" s="68" t="s">
        <v>148</v>
      </c>
      <c r="B230" s="69" t="s">
        <v>251</v>
      </c>
      <c r="C230" s="70"/>
      <c r="D230" s="71"/>
      <c r="E230" s="291"/>
      <c r="F230" s="292"/>
      <c r="G230" s="293"/>
    </row>
    <row r="231" spans="1:18" x14ac:dyDescent="0.2">
      <c r="A231" s="76" t="s">
        <v>101</v>
      </c>
      <c r="B231" s="77" t="s">
        <v>262</v>
      </c>
      <c r="C231" s="78"/>
      <c r="D231" s="79"/>
      <c r="E231" s="291"/>
      <c r="F231" s="292"/>
      <c r="G231" s="293"/>
    </row>
    <row r="232" spans="1:18" ht="13.5" x14ac:dyDescent="0.2">
      <c r="A232" s="72"/>
      <c r="B232" s="73" t="str">
        <f>B159</f>
        <v>RB1 @ Roof Beam level 1</v>
      </c>
      <c r="C232" s="105" t="s">
        <v>138</v>
      </c>
      <c r="D232" s="75">
        <v>27.860000000000003</v>
      </c>
      <c r="E232" s="271"/>
      <c r="F232" s="274"/>
      <c r="G232" s="275">
        <f t="shared" ref="G232:G234" si="52">(D232*E232)+(D232*F232)</f>
        <v>0</v>
      </c>
      <c r="I232" s="16">
        <f>3.82*5+4.08*5</f>
        <v>39.5</v>
      </c>
      <c r="J232" s="16">
        <f t="shared" ref="J232:J233" si="53">I232*0.2*0.3</f>
        <v>2.37</v>
      </c>
    </row>
    <row r="233" spans="1:18" ht="13.5" x14ac:dyDescent="0.2">
      <c r="A233" s="72"/>
      <c r="B233" s="73" t="str">
        <f>B160</f>
        <v>RB1 @ Roof Beam level 2</v>
      </c>
      <c r="C233" s="105" t="s">
        <v>138</v>
      </c>
      <c r="D233" s="75">
        <v>77.98</v>
      </c>
      <c r="E233" s="271"/>
      <c r="F233" s="274"/>
      <c r="G233" s="275">
        <f t="shared" si="52"/>
        <v>0</v>
      </c>
      <c r="I233" s="16">
        <f>3.82*5+4.08*5</f>
        <v>39.5</v>
      </c>
      <c r="J233" s="16">
        <f t="shared" si="53"/>
        <v>2.37</v>
      </c>
    </row>
    <row r="234" spans="1:18" ht="13.5" x14ac:dyDescent="0.2">
      <c r="A234" s="72"/>
      <c r="B234" s="73" t="s">
        <v>364</v>
      </c>
      <c r="C234" s="105" t="s">
        <v>138</v>
      </c>
      <c r="D234" s="75">
        <v>11</v>
      </c>
      <c r="E234" s="271"/>
      <c r="F234" s="274"/>
      <c r="G234" s="275">
        <f t="shared" si="52"/>
        <v>0</v>
      </c>
      <c r="I234" s="16">
        <v>3</v>
      </c>
      <c r="J234" s="16">
        <f>I234*0.2*0.4</f>
        <v>0.24000000000000005</v>
      </c>
    </row>
    <row r="235" spans="1:18" x14ac:dyDescent="0.2">
      <c r="A235" s="72"/>
      <c r="B235" s="73"/>
      <c r="C235" s="105"/>
      <c r="D235" s="75"/>
      <c r="E235" s="271"/>
      <c r="F235" s="274"/>
      <c r="G235" s="275"/>
    </row>
    <row r="236" spans="1:18" x14ac:dyDescent="0.2">
      <c r="A236" s="72"/>
      <c r="B236" s="73"/>
      <c r="C236" s="105"/>
      <c r="D236" s="75"/>
      <c r="E236" s="271"/>
      <c r="F236" s="274"/>
      <c r="G236" s="275"/>
    </row>
    <row r="237" spans="1:18" x14ac:dyDescent="0.2">
      <c r="A237" s="72"/>
      <c r="B237" s="73"/>
      <c r="C237" s="105"/>
      <c r="D237" s="75"/>
      <c r="E237" s="271"/>
      <c r="F237" s="274"/>
      <c r="G237" s="275"/>
    </row>
    <row r="238" spans="1:18" ht="12.75" thickBot="1" x14ac:dyDescent="0.25">
      <c r="A238" s="236"/>
      <c r="B238" s="237"/>
      <c r="C238" s="239"/>
      <c r="D238" s="238"/>
      <c r="E238" s="271"/>
      <c r="F238" s="274"/>
      <c r="G238" s="275"/>
    </row>
    <row r="239" spans="1:18" x14ac:dyDescent="0.2">
      <c r="A239" s="119"/>
      <c r="B239" s="209"/>
      <c r="C239" s="210"/>
      <c r="D239" s="208"/>
      <c r="E239" s="271"/>
      <c r="F239" s="274"/>
      <c r="G239" s="275"/>
    </row>
    <row r="240" spans="1:18" s="322" customFormat="1" x14ac:dyDescent="0.2">
      <c r="A240" s="326" t="s">
        <v>98</v>
      </c>
      <c r="B240" s="332" t="s">
        <v>11</v>
      </c>
      <c r="C240" s="331"/>
      <c r="D240" s="294"/>
      <c r="E240" s="271"/>
      <c r="F240" s="294"/>
      <c r="G240" s="295"/>
    </row>
    <row r="241" spans="1:11" ht="48" x14ac:dyDescent="0.2">
      <c r="A241" s="81"/>
      <c r="B241" s="104" t="s">
        <v>99</v>
      </c>
      <c r="C241" s="104"/>
      <c r="D241" s="104"/>
      <c r="E241" s="298"/>
      <c r="F241" s="298"/>
      <c r="G241" s="299"/>
    </row>
    <row r="242" spans="1:11" ht="36" x14ac:dyDescent="0.2">
      <c r="A242" s="63"/>
      <c r="B242" s="104" t="s">
        <v>100</v>
      </c>
      <c r="C242" s="104"/>
      <c r="D242" s="104"/>
      <c r="E242" s="298"/>
      <c r="F242" s="298"/>
      <c r="G242" s="299"/>
    </row>
    <row r="243" spans="1:11" ht="48" x14ac:dyDescent="0.2">
      <c r="A243" s="81"/>
      <c r="B243" s="104" t="s">
        <v>263</v>
      </c>
      <c r="C243" s="104"/>
      <c r="D243" s="104"/>
      <c r="E243" s="298"/>
      <c r="F243" s="298"/>
      <c r="G243" s="299"/>
    </row>
    <row r="244" spans="1:11" x14ac:dyDescent="0.2">
      <c r="A244" s="68" t="s">
        <v>101</v>
      </c>
      <c r="B244" s="69" t="s">
        <v>221</v>
      </c>
      <c r="C244" s="106"/>
      <c r="D244" s="107"/>
      <c r="E244" s="281"/>
      <c r="F244" s="274"/>
      <c r="G244" s="275"/>
    </row>
    <row r="245" spans="1:11" s="43" customFormat="1" x14ac:dyDescent="0.2">
      <c r="A245" s="315" t="s">
        <v>161</v>
      </c>
      <c r="B245" s="69" t="s">
        <v>62</v>
      </c>
      <c r="C245" s="106"/>
      <c r="D245" s="316"/>
      <c r="E245" s="317"/>
      <c r="F245" s="283"/>
      <c r="G245" s="284"/>
    </row>
    <row r="246" spans="1:11" s="17" customFormat="1" ht="15" x14ac:dyDescent="0.25">
      <c r="A246" s="81" t="s">
        <v>7</v>
      </c>
      <c r="B246" s="98" t="s">
        <v>347</v>
      </c>
      <c r="C246" s="74"/>
      <c r="D246" s="59"/>
      <c r="E246" s="271"/>
      <c r="F246" s="283"/>
      <c r="G246" s="284"/>
      <c r="J246" s="45"/>
    </row>
    <row r="247" spans="1:11" x14ac:dyDescent="0.2">
      <c r="A247" s="72"/>
      <c r="B247" s="73" t="s">
        <v>222</v>
      </c>
      <c r="C247" s="74" t="s">
        <v>9</v>
      </c>
      <c r="D247" s="59">
        <v>232.68133333333336</v>
      </c>
      <c r="E247" s="281"/>
      <c r="F247" s="274"/>
      <c r="G247" s="275">
        <f t="shared" ref="G247:G255" si="54">(D247*E247)+(D247*F247)</f>
        <v>0</v>
      </c>
      <c r="I247" s="26">
        <f>D247*0.888*6</f>
        <v>1239.7261440000002</v>
      </c>
      <c r="J247" s="16">
        <f>12+26+31+10+3+12+35+12</f>
        <v>141</v>
      </c>
      <c r="K247" s="26"/>
    </row>
    <row r="248" spans="1:11" s="17" customFormat="1" ht="15" x14ac:dyDescent="0.25">
      <c r="A248" s="81" t="s">
        <v>345</v>
      </c>
      <c r="B248" s="98" t="s">
        <v>348</v>
      </c>
      <c r="C248" s="74"/>
      <c r="D248" s="59"/>
      <c r="E248" s="271"/>
      <c r="F248" s="283"/>
      <c r="G248" s="284"/>
      <c r="J248" s="45"/>
    </row>
    <row r="249" spans="1:11" x14ac:dyDescent="0.2">
      <c r="A249" s="72"/>
      <c r="B249" s="73" t="s">
        <v>223</v>
      </c>
      <c r="C249" s="74" t="s">
        <v>9</v>
      </c>
      <c r="D249" s="59">
        <v>92.275200000000012</v>
      </c>
      <c r="E249" s="281"/>
      <c r="F249" s="274"/>
      <c r="G249" s="275">
        <f t="shared" ref="G249" si="55">(D249*E249)+(D249*F249)</f>
        <v>0</v>
      </c>
      <c r="I249" s="26">
        <f>D249*0.888*6</f>
        <v>491.64226560000003</v>
      </c>
      <c r="J249" s="16">
        <f>12+26+31+10+3+12+35+12</f>
        <v>141</v>
      </c>
      <c r="K249" s="26"/>
    </row>
    <row r="250" spans="1:11" s="17" customFormat="1" ht="15" x14ac:dyDescent="0.25">
      <c r="A250" s="81" t="s">
        <v>346</v>
      </c>
      <c r="B250" s="98" t="s">
        <v>349</v>
      </c>
      <c r="C250" s="74"/>
      <c r="D250" s="59"/>
      <c r="E250" s="271"/>
      <c r="F250" s="283"/>
      <c r="G250" s="284"/>
      <c r="J250" s="45"/>
    </row>
    <row r="251" spans="1:11" x14ac:dyDescent="0.2">
      <c r="A251" s="72"/>
      <c r="B251" s="73" t="s">
        <v>223</v>
      </c>
      <c r="C251" s="74" t="s">
        <v>9</v>
      </c>
      <c r="D251" s="59">
        <v>64.08</v>
      </c>
      <c r="E251" s="281"/>
      <c r="F251" s="274"/>
      <c r="G251" s="275">
        <f t="shared" si="54"/>
        <v>0</v>
      </c>
      <c r="I251" s="26">
        <f>D251*0.888*6</f>
        <v>341.41823999999997</v>
      </c>
      <c r="J251" s="16">
        <f>12+26+31+10+3+12+35+12</f>
        <v>141</v>
      </c>
      <c r="K251" s="26"/>
    </row>
    <row r="252" spans="1:11" s="17" customFormat="1" ht="15" x14ac:dyDescent="0.25">
      <c r="A252" s="81" t="s">
        <v>350</v>
      </c>
      <c r="B252" s="98" t="s">
        <v>352</v>
      </c>
      <c r="C252" s="74"/>
      <c r="D252" s="59"/>
      <c r="E252" s="271"/>
      <c r="F252" s="283"/>
      <c r="G252" s="284"/>
      <c r="J252" s="45"/>
    </row>
    <row r="253" spans="1:11" x14ac:dyDescent="0.2">
      <c r="A253" s="72"/>
      <c r="B253" s="73" t="s">
        <v>223</v>
      </c>
      <c r="C253" s="74" t="s">
        <v>9</v>
      </c>
      <c r="D253" s="59">
        <v>114.86933333333336</v>
      </c>
      <c r="E253" s="281"/>
      <c r="F253" s="274"/>
      <c r="G253" s="275">
        <f t="shared" ref="G253" si="56">(D253*E253)+(D253*F253)</f>
        <v>0</v>
      </c>
      <c r="I253" s="26">
        <f>D253*0.888*6</f>
        <v>612.02380800000014</v>
      </c>
      <c r="J253" s="16">
        <f>12+26+31+10+3+12+35+12</f>
        <v>141</v>
      </c>
      <c r="K253" s="26"/>
    </row>
    <row r="254" spans="1:11" s="17" customFormat="1" ht="15" x14ac:dyDescent="0.25">
      <c r="A254" s="81" t="s">
        <v>351</v>
      </c>
      <c r="B254" s="98" t="s">
        <v>353</v>
      </c>
      <c r="C254" s="74"/>
      <c r="D254" s="59"/>
      <c r="E254" s="271"/>
      <c r="F254" s="283"/>
      <c r="G254" s="284"/>
      <c r="J254" s="45"/>
    </row>
    <row r="255" spans="1:11" x14ac:dyDescent="0.2">
      <c r="A255" s="72"/>
      <c r="B255" s="73" t="s">
        <v>223</v>
      </c>
      <c r="C255" s="74" t="s">
        <v>9</v>
      </c>
      <c r="D255" s="59">
        <v>58.146666666666661</v>
      </c>
      <c r="E255" s="281"/>
      <c r="F255" s="274"/>
      <c r="G255" s="275">
        <f t="shared" si="54"/>
        <v>0</v>
      </c>
      <c r="I255" s="26">
        <f>D255*0.888*6</f>
        <v>309.80543999999998</v>
      </c>
      <c r="J255" s="16">
        <f>12+26+31+10+3+12+35+12</f>
        <v>141</v>
      </c>
      <c r="K255" s="26"/>
    </row>
    <row r="256" spans="1:11" s="17" customFormat="1" ht="15" x14ac:dyDescent="0.25">
      <c r="A256" s="81" t="s">
        <v>365</v>
      </c>
      <c r="B256" s="98" t="s">
        <v>406</v>
      </c>
      <c r="C256" s="74"/>
      <c r="D256" s="59"/>
      <c r="E256" s="271"/>
      <c r="F256" s="283"/>
      <c r="G256" s="284"/>
      <c r="J256" s="45"/>
    </row>
    <row r="257" spans="1:18" x14ac:dyDescent="0.2">
      <c r="A257" s="72"/>
      <c r="B257" s="73" t="s">
        <v>223</v>
      </c>
      <c r="C257" s="74" t="s">
        <v>9</v>
      </c>
      <c r="D257" s="59">
        <v>69.77600000000001</v>
      </c>
      <c r="E257" s="281"/>
      <c r="F257" s="274"/>
      <c r="G257" s="275">
        <f t="shared" ref="G257" si="57">(D257*E257)+(D257*F257)</f>
        <v>0</v>
      </c>
      <c r="I257" s="26">
        <f>D257*0.888*6</f>
        <v>371.76652800000005</v>
      </c>
      <c r="J257" s="16">
        <f>12+26+31+10+3+12+35+12</f>
        <v>141</v>
      </c>
      <c r="K257" s="26"/>
    </row>
    <row r="258" spans="1:18" x14ac:dyDescent="0.2">
      <c r="A258" s="81" t="s">
        <v>366</v>
      </c>
      <c r="B258" s="67" t="s">
        <v>355</v>
      </c>
      <c r="C258" s="74"/>
      <c r="D258" s="59"/>
      <c r="E258" s="271"/>
      <c r="F258" s="274"/>
      <c r="G258" s="275"/>
      <c r="I258" s="26">
        <f>32.2*4+4.02*2+4.08*2+1.8*2</f>
        <v>148.6</v>
      </c>
      <c r="J258" s="21">
        <f>I258*0.25*0.45</f>
        <v>16.717500000000001</v>
      </c>
      <c r="K258" s="21"/>
      <c r="L258" s="49"/>
      <c r="M258" s="19"/>
      <c r="N258" s="49"/>
    </row>
    <row r="259" spans="1:18" x14ac:dyDescent="0.2">
      <c r="A259" s="72"/>
      <c r="B259" s="73" t="s">
        <v>222</v>
      </c>
      <c r="C259" s="74" t="s">
        <v>9</v>
      </c>
      <c r="D259" s="59">
        <v>2244.8640000000005</v>
      </c>
      <c r="E259" s="281"/>
      <c r="F259" s="274"/>
      <c r="G259" s="275">
        <f t="shared" ref="G259" si="58">(D259*E259)+(D259*F259)</f>
        <v>0</v>
      </c>
      <c r="I259" s="26">
        <f>D259*0.888*6</f>
        <v>11960.635392000002</v>
      </c>
      <c r="J259" s="16">
        <f>12+26+31+10+3+12+35+12</f>
        <v>141</v>
      </c>
      <c r="K259" s="26"/>
    </row>
    <row r="260" spans="1:18" x14ac:dyDescent="0.2">
      <c r="A260" s="72"/>
      <c r="B260" s="73" t="s">
        <v>367</v>
      </c>
      <c r="C260" s="74" t="s">
        <v>9</v>
      </c>
      <c r="D260" s="59">
        <v>683.40480000000014</v>
      </c>
      <c r="E260" s="281"/>
      <c r="F260" s="274"/>
      <c r="G260" s="275">
        <f t="shared" ref="G260" si="59">(D260*E260)+(D260*F260)</f>
        <v>0</v>
      </c>
      <c r="I260" s="26">
        <f>D260*0.888*6</f>
        <v>3641.1807744000007</v>
      </c>
      <c r="J260" s="16">
        <f>12+26+31+10+3+12+35+12</f>
        <v>141</v>
      </c>
      <c r="K260" s="26"/>
    </row>
    <row r="261" spans="1:18" x14ac:dyDescent="0.2">
      <c r="A261" s="68" t="s">
        <v>129</v>
      </c>
      <c r="B261" s="69" t="s">
        <v>65</v>
      </c>
      <c r="C261" s="106"/>
      <c r="D261" s="107"/>
      <c r="E261" s="281"/>
      <c r="F261" s="274"/>
      <c r="G261" s="275"/>
    </row>
    <row r="262" spans="1:18" x14ac:dyDescent="0.2">
      <c r="A262" s="108" t="s">
        <v>161</v>
      </c>
      <c r="B262" s="109" t="s">
        <v>169</v>
      </c>
      <c r="C262" s="110"/>
      <c r="D262" s="111"/>
      <c r="E262" s="291"/>
      <c r="F262" s="274"/>
      <c r="G262" s="275"/>
    </row>
    <row r="263" spans="1:18" x14ac:dyDescent="0.2">
      <c r="A263" s="81" t="s">
        <v>7</v>
      </c>
      <c r="B263" s="73" t="s">
        <v>356</v>
      </c>
      <c r="C263" s="105"/>
      <c r="D263" s="75"/>
      <c r="E263" s="271"/>
      <c r="F263" s="274"/>
      <c r="G263" s="275"/>
      <c r="I263" s="16">
        <f>0.2*0.2*4.275*35</f>
        <v>5.9850000000000012</v>
      </c>
      <c r="N263" s="16">
        <v>10</v>
      </c>
      <c r="O263" s="16">
        <v>1</v>
      </c>
      <c r="P263" s="16">
        <v>10</v>
      </c>
      <c r="Q263" s="16">
        <f>P263*O263</f>
        <v>10</v>
      </c>
      <c r="R263" s="16">
        <f>Q263*N263</f>
        <v>100</v>
      </c>
    </row>
    <row r="264" spans="1:18" x14ac:dyDescent="0.2">
      <c r="A264" s="72"/>
      <c r="B264" s="73" t="s">
        <v>270</v>
      </c>
      <c r="C264" s="74" t="s">
        <v>9</v>
      </c>
      <c r="D264" s="59">
        <v>197.60000000000002</v>
      </c>
      <c r="E264" s="281"/>
      <c r="F264" s="274"/>
      <c r="G264" s="275">
        <f t="shared" ref="G264:G271" si="60">(D264*E264)+(D264*F264)</f>
        <v>0</v>
      </c>
      <c r="I264" s="26">
        <f>D264*0.888*6</f>
        <v>1052.8128000000002</v>
      </c>
      <c r="J264" s="16">
        <f>12+26+31+10+3+12+35+12</f>
        <v>141</v>
      </c>
      <c r="K264" s="26"/>
    </row>
    <row r="265" spans="1:18" x14ac:dyDescent="0.2">
      <c r="A265" s="72"/>
      <c r="B265" s="73" t="s">
        <v>367</v>
      </c>
      <c r="C265" s="74" t="s">
        <v>9</v>
      </c>
      <c r="D265" s="59">
        <v>32.915200000000006</v>
      </c>
      <c r="E265" s="281"/>
      <c r="F265" s="274"/>
      <c r="G265" s="275">
        <f t="shared" si="60"/>
        <v>0</v>
      </c>
      <c r="I265" s="26">
        <f>D265*0.888*6</f>
        <v>175.37218560000002</v>
      </c>
      <c r="J265" s="16">
        <f>12+26+31+10+3+12+35+12</f>
        <v>141</v>
      </c>
      <c r="K265" s="26"/>
    </row>
    <row r="266" spans="1:18" x14ac:dyDescent="0.2">
      <c r="A266" s="81" t="s">
        <v>345</v>
      </c>
      <c r="B266" s="73" t="s">
        <v>357</v>
      </c>
      <c r="C266" s="105"/>
      <c r="D266" s="75"/>
      <c r="E266" s="271"/>
      <c r="F266" s="274"/>
      <c r="G266" s="275"/>
      <c r="I266" s="16">
        <f>0.4*0.2*4.275*5</f>
        <v>1.7100000000000004</v>
      </c>
      <c r="N266" s="16">
        <v>-10</v>
      </c>
      <c r="O266" s="16">
        <v>1</v>
      </c>
      <c r="P266" s="16">
        <v>30</v>
      </c>
      <c r="Q266" s="16">
        <f>P266*O266</f>
        <v>30</v>
      </c>
      <c r="R266" s="16">
        <f>Q266*N266</f>
        <v>-300</v>
      </c>
    </row>
    <row r="267" spans="1:18" x14ac:dyDescent="0.2">
      <c r="A267" s="72"/>
      <c r="B267" s="73" t="s">
        <v>270</v>
      </c>
      <c r="C267" s="74" t="s">
        <v>9</v>
      </c>
      <c r="D267" s="59">
        <v>316.16000000000003</v>
      </c>
      <c r="E267" s="281"/>
      <c r="F267" s="274"/>
      <c r="G267" s="275">
        <f t="shared" ref="G267:G268" si="61">(D267*E267)+(D267*F267)</f>
        <v>0</v>
      </c>
      <c r="I267" s="26">
        <f>D267*0.888*6</f>
        <v>1684.5004800000002</v>
      </c>
      <c r="J267" s="16">
        <f>12+26+31+10+3+12+35+12</f>
        <v>141</v>
      </c>
      <c r="K267" s="26"/>
    </row>
    <row r="268" spans="1:18" x14ac:dyDescent="0.2">
      <c r="A268" s="72"/>
      <c r="B268" s="73" t="s">
        <v>367</v>
      </c>
      <c r="C268" s="74" t="s">
        <v>9</v>
      </c>
      <c r="D268" s="59">
        <v>58.726400000000019</v>
      </c>
      <c r="E268" s="281"/>
      <c r="F268" s="274"/>
      <c r="G268" s="275">
        <f t="shared" si="61"/>
        <v>0</v>
      </c>
      <c r="I268" s="26">
        <f>D268*0.888*6</f>
        <v>312.89425920000008</v>
      </c>
      <c r="J268" s="16">
        <f>12+26+31+10+3+12+35+12</f>
        <v>141</v>
      </c>
      <c r="K268" s="26"/>
    </row>
    <row r="269" spans="1:18" x14ac:dyDescent="0.2">
      <c r="A269" s="81" t="s">
        <v>346</v>
      </c>
      <c r="B269" s="73" t="s">
        <v>358</v>
      </c>
      <c r="C269" s="105"/>
      <c r="D269" s="75"/>
      <c r="E269" s="271"/>
      <c r="F269" s="274"/>
      <c r="G269" s="275"/>
      <c r="I269" s="16">
        <f>0.15*0.15*3.825*6</f>
        <v>0.51637500000000003</v>
      </c>
      <c r="R269" s="16">
        <f>SUM(R263:R266)</f>
        <v>-200</v>
      </c>
    </row>
    <row r="270" spans="1:18" x14ac:dyDescent="0.2">
      <c r="A270" s="72"/>
      <c r="B270" s="73" t="s">
        <v>222</v>
      </c>
      <c r="C270" s="74" t="s">
        <v>9</v>
      </c>
      <c r="D270" s="59">
        <v>606.72</v>
      </c>
      <c r="E270" s="281"/>
      <c r="F270" s="274"/>
      <c r="G270" s="275">
        <f t="shared" si="60"/>
        <v>0</v>
      </c>
      <c r="I270" s="26">
        <f>D270*0.888*6</f>
        <v>3232.6041600000003</v>
      </c>
      <c r="J270" s="16">
        <f>12+26+31+10+3+12+35+12</f>
        <v>141</v>
      </c>
      <c r="K270" s="26"/>
    </row>
    <row r="271" spans="1:18" x14ac:dyDescent="0.2">
      <c r="A271" s="72"/>
      <c r="B271" s="73" t="s">
        <v>367</v>
      </c>
      <c r="C271" s="74" t="s">
        <v>9</v>
      </c>
      <c r="D271" s="59">
        <v>123.13600000000002</v>
      </c>
      <c r="E271" s="281"/>
      <c r="F271" s="274"/>
      <c r="G271" s="275">
        <f t="shared" si="60"/>
        <v>0</v>
      </c>
      <c r="I271" s="26">
        <f>D271*0.888*6</f>
        <v>656.06860800000004</v>
      </c>
      <c r="J271" s="16">
        <f>12+26+31+10+3+12+35+12</f>
        <v>141</v>
      </c>
      <c r="K271" s="26"/>
    </row>
    <row r="272" spans="1:18" x14ac:dyDescent="0.2">
      <c r="A272" s="81" t="s">
        <v>350</v>
      </c>
      <c r="B272" s="73" t="s">
        <v>359</v>
      </c>
      <c r="C272" s="105"/>
      <c r="D272" s="75"/>
      <c r="E272" s="271"/>
      <c r="F272" s="274"/>
      <c r="G272" s="275"/>
      <c r="I272" s="16">
        <f>0.15*0.15*3.825*6</f>
        <v>0.51637500000000003</v>
      </c>
    </row>
    <row r="273" spans="1:13" x14ac:dyDescent="0.2">
      <c r="A273" s="72"/>
      <c r="B273" s="73" t="s">
        <v>222</v>
      </c>
      <c r="C273" s="74" t="s">
        <v>9</v>
      </c>
      <c r="D273" s="59">
        <v>176.96</v>
      </c>
      <c r="E273" s="281"/>
      <c r="F273" s="274"/>
      <c r="G273" s="275">
        <f t="shared" ref="G273:G274" si="62">(D273*E273)+(D273*F273)</f>
        <v>0</v>
      </c>
      <c r="I273" s="26">
        <f>D273*0.888*6</f>
        <v>942.84287999999992</v>
      </c>
      <c r="J273" s="16">
        <f>12+26+31+10+3+12+35+12</f>
        <v>141</v>
      </c>
      <c r="K273" s="26"/>
    </row>
    <row r="274" spans="1:13" x14ac:dyDescent="0.2">
      <c r="A274" s="72"/>
      <c r="B274" s="73" t="s">
        <v>367</v>
      </c>
      <c r="C274" s="74" t="s">
        <v>9</v>
      </c>
      <c r="D274" s="59">
        <v>66.304000000000002</v>
      </c>
      <c r="E274" s="281"/>
      <c r="F274" s="274"/>
      <c r="G274" s="275">
        <f t="shared" si="62"/>
        <v>0</v>
      </c>
      <c r="I274" s="26">
        <f>D274*0.888*6</f>
        <v>353.26771200000002</v>
      </c>
      <c r="J274" s="16">
        <f>12+26+31+10+3+12+35+12</f>
        <v>141</v>
      </c>
      <c r="K274" s="26"/>
    </row>
    <row r="275" spans="1:13" x14ac:dyDescent="0.2">
      <c r="A275" s="108" t="s">
        <v>162</v>
      </c>
      <c r="B275" s="109" t="s">
        <v>194</v>
      </c>
      <c r="C275" s="110"/>
      <c r="D275" s="111"/>
      <c r="E275" s="291"/>
      <c r="F275" s="274"/>
      <c r="G275" s="275"/>
      <c r="H275" s="33"/>
      <c r="I275" s="29"/>
    </row>
    <row r="276" spans="1:13" x14ac:dyDescent="0.2">
      <c r="A276" s="112" t="s">
        <v>172</v>
      </c>
      <c r="B276" s="73" t="s">
        <v>224</v>
      </c>
      <c r="C276" s="74" t="s">
        <v>9</v>
      </c>
      <c r="D276" s="59">
        <v>86.8</v>
      </c>
      <c r="E276" s="281"/>
      <c r="F276" s="274"/>
      <c r="G276" s="275">
        <f t="shared" ref="G276:G278" si="63">(D276*E276)+(D276*F276)</f>
        <v>0</v>
      </c>
      <c r="H276" s="33"/>
      <c r="I276" s="26">
        <f>0.617*D276*6</f>
        <v>321.33359999999999</v>
      </c>
    </row>
    <row r="277" spans="1:13" x14ac:dyDescent="0.2">
      <c r="A277" s="76" t="s">
        <v>173</v>
      </c>
      <c r="B277" s="77" t="s">
        <v>208</v>
      </c>
      <c r="C277" s="78"/>
      <c r="D277" s="79"/>
      <c r="E277" s="291"/>
      <c r="F277" s="274"/>
      <c r="G277" s="275"/>
    </row>
    <row r="278" spans="1:13" x14ac:dyDescent="0.2">
      <c r="A278" s="76"/>
      <c r="B278" s="73" t="s">
        <v>224</v>
      </c>
      <c r="C278" s="74" t="s">
        <v>9</v>
      </c>
      <c r="D278" s="59">
        <v>1848.096</v>
      </c>
      <c r="E278" s="281"/>
      <c r="F278" s="274"/>
      <c r="G278" s="275">
        <f t="shared" si="63"/>
        <v>0</v>
      </c>
      <c r="I278" s="26">
        <f>0.617*D278*6</f>
        <v>6841.6513919999998</v>
      </c>
      <c r="K278" s="16">
        <f>K115*7</f>
        <v>2563.9250000000002</v>
      </c>
      <c r="L278" s="16">
        <f>K278/6</f>
        <v>427.32083333333338</v>
      </c>
      <c r="M278" s="16">
        <f>L278/6</f>
        <v>71.220138888888897</v>
      </c>
    </row>
    <row r="279" spans="1:13" x14ac:dyDescent="0.2">
      <c r="A279" s="68" t="s">
        <v>130</v>
      </c>
      <c r="B279" s="69" t="s">
        <v>67</v>
      </c>
      <c r="C279" s="106"/>
      <c r="D279" s="107"/>
      <c r="E279" s="281"/>
      <c r="F279" s="274"/>
      <c r="G279" s="275"/>
    </row>
    <row r="280" spans="1:13" x14ac:dyDescent="0.2">
      <c r="A280" s="108" t="s">
        <v>161</v>
      </c>
      <c r="B280" s="109" t="s">
        <v>269</v>
      </c>
      <c r="C280" s="110"/>
      <c r="D280" s="111"/>
      <c r="E280" s="291"/>
      <c r="F280" s="274"/>
      <c r="G280" s="275"/>
    </row>
    <row r="281" spans="1:13" x14ac:dyDescent="0.2">
      <c r="A281" s="72"/>
      <c r="B281" s="73" t="s">
        <v>360</v>
      </c>
      <c r="C281" s="105"/>
      <c r="D281" s="75"/>
      <c r="E281" s="271"/>
      <c r="F281" s="274"/>
      <c r="G281" s="275"/>
      <c r="I281" s="16">
        <f>3.82*5+4.08*5</f>
        <v>39.5</v>
      </c>
      <c r="J281" s="16">
        <f t="shared" ref="J281" si="64">I281*0.2*0.3</f>
        <v>2.37</v>
      </c>
    </row>
    <row r="282" spans="1:13" x14ac:dyDescent="0.2">
      <c r="A282" s="72"/>
      <c r="B282" s="73" t="s">
        <v>270</v>
      </c>
      <c r="C282" s="74" t="s">
        <v>9</v>
      </c>
      <c r="D282" s="59">
        <v>533.5200000000001</v>
      </c>
      <c r="E282" s="281"/>
      <c r="F282" s="274"/>
      <c r="G282" s="275">
        <f t="shared" ref="G282:G289" si="65">(D282*E282)+(D282*F282)</f>
        <v>0</v>
      </c>
      <c r="I282" s="26">
        <f>D282*0.888*6</f>
        <v>2842.5945600000005</v>
      </c>
      <c r="J282" s="16">
        <f>12+26+31+10+3+12+35+12</f>
        <v>141</v>
      </c>
      <c r="K282" s="26"/>
    </row>
    <row r="283" spans="1:13" x14ac:dyDescent="0.2">
      <c r="A283" s="72"/>
      <c r="B283" s="73" t="s">
        <v>367</v>
      </c>
      <c r="C283" s="74" t="s">
        <v>9</v>
      </c>
      <c r="D283" s="59">
        <v>102.2976</v>
      </c>
      <c r="E283" s="281"/>
      <c r="F283" s="274"/>
      <c r="G283" s="275">
        <f t="shared" si="65"/>
        <v>0</v>
      </c>
      <c r="I283" s="26">
        <f>D283*0.888*6</f>
        <v>545.04161280000005</v>
      </c>
      <c r="J283" s="16">
        <f>12+26+31+10+3+12+35+12</f>
        <v>141</v>
      </c>
      <c r="K283" s="26"/>
    </row>
    <row r="284" spans="1:13" x14ac:dyDescent="0.2">
      <c r="A284" s="72"/>
      <c r="B284" s="73" t="s">
        <v>361</v>
      </c>
      <c r="C284" s="105"/>
      <c r="D284" s="75"/>
      <c r="E284" s="271"/>
      <c r="F284" s="274"/>
      <c r="G284" s="275"/>
      <c r="I284" s="16">
        <f>3*10</f>
        <v>30</v>
      </c>
      <c r="J284" s="16">
        <f>I284*0.2*0.3</f>
        <v>1.7999999999999998</v>
      </c>
    </row>
    <row r="285" spans="1:13" x14ac:dyDescent="0.2">
      <c r="A285" s="72"/>
      <c r="B285" s="73" t="s">
        <v>222</v>
      </c>
      <c r="C285" s="74" t="s">
        <v>9</v>
      </c>
      <c r="D285" s="59">
        <v>507.49599999999998</v>
      </c>
      <c r="E285" s="281"/>
      <c r="F285" s="274"/>
      <c r="G285" s="275">
        <f t="shared" ref="G285:G286" si="66">(D285*E285)+(D285*F285)</f>
        <v>0</v>
      </c>
      <c r="I285" s="26">
        <f>D285*0.888*6</f>
        <v>2703.9386880000002</v>
      </c>
      <c r="J285" s="16">
        <f>12+26+31+10+3+12+35+12</f>
        <v>141</v>
      </c>
      <c r="K285" s="26"/>
    </row>
    <row r="286" spans="1:13" x14ac:dyDescent="0.2">
      <c r="A286" s="72"/>
      <c r="B286" s="73" t="s">
        <v>367</v>
      </c>
      <c r="C286" s="74" t="s">
        <v>9</v>
      </c>
      <c r="D286" s="59">
        <v>190.15040000000002</v>
      </c>
      <c r="E286" s="281"/>
      <c r="F286" s="274"/>
      <c r="G286" s="275">
        <f t="shared" si="66"/>
        <v>0</v>
      </c>
      <c r="I286" s="26">
        <f>D286*0.888*6</f>
        <v>1013.1213312000001</v>
      </c>
      <c r="J286" s="16">
        <f>12+26+31+10+3+12+35+12</f>
        <v>141</v>
      </c>
      <c r="K286" s="26"/>
    </row>
    <row r="287" spans="1:13" x14ac:dyDescent="0.2">
      <c r="A287" s="72"/>
      <c r="B287" s="73" t="s">
        <v>362</v>
      </c>
      <c r="C287" s="105"/>
      <c r="D287" s="75"/>
      <c r="E287" s="271"/>
      <c r="F287" s="274"/>
      <c r="G287" s="275"/>
      <c r="I287" s="16">
        <v>3</v>
      </c>
      <c r="J287" s="16">
        <f>I287*0.2*0.4</f>
        <v>0.24000000000000005</v>
      </c>
    </row>
    <row r="288" spans="1:13" x14ac:dyDescent="0.2">
      <c r="A288" s="72"/>
      <c r="B288" s="73" t="s">
        <v>222</v>
      </c>
      <c r="C288" s="74" t="s">
        <v>9</v>
      </c>
      <c r="D288" s="59">
        <v>172.536</v>
      </c>
      <c r="E288" s="281"/>
      <c r="F288" s="274"/>
      <c r="G288" s="275">
        <f t="shared" si="65"/>
        <v>0</v>
      </c>
      <c r="I288" s="26">
        <f>D288*0.888*6</f>
        <v>919.27180800000008</v>
      </c>
      <c r="J288" s="16">
        <f>12+26+31+10+3+12+35+12</f>
        <v>141</v>
      </c>
      <c r="K288" s="26"/>
    </row>
    <row r="289" spans="1:18" x14ac:dyDescent="0.2">
      <c r="A289" s="72"/>
      <c r="B289" s="73" t="s">
        <v>367</v>
      </c>
      <c r="C289" s="74" t="s">
        <v>9</v>
      </c>
      <c r="D289" s="59">
        <v>48.4848</v>
      </c>
      <c r="E289" s="281"/>
      <c r="F289" s="274"/>
      <c r="G289" s="275">
        <f t="shared" si="65"/>
        <v>0</v>
      </c>
      <c r="I289" s="26">
        <f>D289*0.888*6</f>
        <v>258.3270144</v>
      </c>
      <c r="J289" s="16">
        <f>12+26+31+10+3+12+35+12</f>
        <v>141</v>
      </c>
      <c r="K289" s="26"/>
    </row>
    <row r="290" spans="1:18" x14ac:dyDescent="0.2">
      <c r="A290" s="108" t="s">
        <v>162</v>
      </c>
      <c r="B290" s="109" t="s">
        <v>268</v>
      </c>
      <c r="C290" s="110"/>
      <c r="D290" s="111"/>
      <c r="E290" s="291"/>
      <c r="F290" s="274"/>
      <c r="G290" s="275"/>
      <c r="H290" s="33"/>
      <c r="I290" s="29"/>
      <c r="K290" s="16" t="e">
        <f>#REF!</f>
        <v>#REF!</v>
      </c>
      <c r="L290" s="16" t="e">
        <f>K290*14</f>
        <v>#REF!</v>
      </c>
      <c r="M290" s="16" t="e">
        <f>L290*75%</f>
        <v>#REF!</v>
      </c>
      <c r="N290" s="16" t="e">
        <f>L290+M290</f>
        <v>#REF!</v>
      </c>
      <c r="O290" s="16" t="e">
        <f>N290/6</f>
        <v>#REF!</v>
      </c>
    </row>
    <row r="291" spans="1:18" x14ac:dyDescent="0.2">
      <c r="A291" s="112" t="s">
        <v>172</v>
      </c>
      <c r="B291" s="73" t="s">
        <v>223</v>
      </c>
      <c r="C291" s="74" t="s">
        <v>9</v>
      </c>
      <c r="D291" s="59">
        <v>8571.768</v>
      </c>
      <c r="E291" s="281"/>
      <c r="F291" s="274"/>
      <c r="G291" s="275">
        <f t="shared" ref="G291" si="67">(D291*E291)+(D291*F291)</f>
        <v>0</v>
      </c>
      <c r="H291" s="33"/>
      <c r="I291" s="26">
        <f>0.617*D291*6</f>
        <v>31732.685136</v>
      </c>
    </row>
    <row r="292" spans="1:18" x14ac:dyDescent="0.2">
      <c r="A292" s="108" t="s">
        <v>173</v>
      </c>
      <c r="B292" s="109" t="s">
        <v>169</v>
      </c>
      <c r="C292" s="110"/>
      <c r="D292" s="111"/>
      <c r="E292" s="291"/>
      <c r="F292" s="274"/>
      <c r="G292" s="275"/>
    </row>
    <row r="293" spans="1:18" x14ac:dyDescent="0.2">
      <c r="A293" s="81" t="s">
        <v>7</v>
      </c>
      <c r="B293" s="73" t="s">
        <v>356</v>
      </c>
      <c r="C293" s="105"/>
      <c r="D293" s="75"/>
      <c r="E293" s="271"/>
      <c r="F293" s="274"/>
      <c r="G293" s="275">
        <f t="shared" ref="G293:G306" si="68">(D293*E293)+(D293*F293)</f>
        <v>0</v>
      </c>
      <c r="I293" s="16">
        <f>0.2*0.2*4.275*35</f>
        <v>5.9850000000000012</v>
      </c>
      <c r="N293" s="16">
        <v>10</v>
      </c>
      <c r="O293" s="16">
        <v>1</v>
      </c>
      <c r="P293" s="16">
        <v>10</v>
      </c>
      <c r="Q293" s="16">
        <f>P293*O293</f>
        <v>10</v>
      </c>
      <c r="R293" s="16">
        <f>Q293*N293</f>
        <v>100</v>
      </c>
    </row>
    <row r="294" spans="1:18" x14ac:dyDescent="0.2">
      <c r="A294" s="72"/>
      <c r="B294" s="73" t="s">
        <v>270</v>
      </c>
      <c r="C294" s="74" t="s">
        <v>9</v>
      </c>
      <c r="D294" s="59">
        <v>135.85000000000002</v>
      </c>
      <c r="E294" s="281"/>
      <c r="F294" s="274"/>
      <c r="G294" s="275">
        <f t="shared" si="68"/>
        <v>0</v>
      </c>
      <c r="I294" s="26">
        <f>D294*0.888*6</f>
        <v>723.80880000000013</v>
      </c>
      <c r="J294" s="16">
        <f>12+26+31+10+3+12+35+12</f>
        <v>141</v>
      </c>
      <c r="K294" s="26"/>
    </row>
    <row r="295" spans="1:18" x14ac:dyDescent="0.2">
      <c r="A295" s="72"/>
      <c r="B295" s="73" t="s">
        <v>367</v>
      </c>
      <c r="C295" s="74" t="s">
        <v>9</v>
      </c>
      <c r="D295" s="59">
        <v>22.629200000000004</v>
      </c>
      <c r="E295" s="281"/>
      <c r="F295" s="274"/>
      <c r="G295" s="275">
        <f t="shared" si="68"/>
        <v>0</v>
      </c>
      <c r="I295" s="26">
        <f>D295*0.888*6</f>
        <v>120.56837760000002</v>
      </c>
      <c r="J295" s="16">
        <f>12+26+31+10+3+12+35+12</f>
        <v>141</v>
      </c>
      <c r="K295" s="26"/>
    </row>
    <row r="296" spans="1:18" x14ac:dyDescent="0.2">
      <c r="A296" s="81" t="s">
        <v>345</v>
      </c>
      <c r="B296" s="73" t="s">
        <v>357</v>
      </c>
      <c r="C296" s="105"/>
      <c r="D296" s="75"/>
      <c r="E296" s="271"/>
      <c r="F296" s="274"/>
      <c r="G296" s="275"/>
      <c r="I296" s="16">
        <f>0.4*0.2*4.275*5</f>
        <v>1.7100000000000004</v>
      </c>
      <c r="N296" s="16">
        <v>-10</v>
      </c>
      <c r="O296" s="16">
        <v>1</v>
      </c>
      <c r="P296" s="16">
        <v>30</v>
      </c>
      <c r="Q296" s="16">
        <f>P296*O296</f>
        <v>30</v>
      </c>
      <c r="R296" s="16">
        <f>Q296*N296</f>
        <v>-300</v>
      </c>
    </row>
    <row r="297" spans="1:18" x14ac:dyDescent="0.2">
      <c r="A297" s="72"/>
      <c r="B297" s="73" t="s">
        <v>270</v>
      </c>
      <c r="C297" s="74" t="s">
        <v>9</v>
      </c>
      <c r="D297" s="59">
        <v>217.36</v>
      </c>
      <c r="E297" s="281"/>
      <c r="F297" s="274"/>
      <c r="G297" s="275">
        <f t="shared" si="68"/>
        <v>0</v>
      </c>
      <c r="I297" s="26">
        <f>D297*0.888*6</f>
        <v>1158.0940800000001</v>
      </c>
      <c r="J297" s="16">
        <f>12+26+31+10+3+12+35+12</f>
        <v>141</v>
      </c>
      <c r="K297" s="26"/>
    </row>
    <row r="298" spans="1:18" x14ac:dyDescent="0.2">
      <c r="A298" s="72"/>
      <c r="B298" s="73" t="s">
        <v>367</v>
      </c>
      <c r="C298" s="74" t="s">
        <v>9</v>
      </c>
      <c r="D298" s="59">
        <v>40.374400000000016</v>
      </c>
      <c r="E298" s="281"/>
      <c r="F298" s="274"/>
      <c r="G298" s="275">
        <f t="shared" si="68"/>
        <v>0</v>
      </c>
      <c r="I298" s="26">
        <f>D298*0.888*6</f>
        <v>215.1148032000001</v>
      </c>
      <c r="J298" s="16">
        <f>12+26+31+10+3+12+35+12</f>
        <v>141</v>
      </c>
      <c r="K298" s="26"/>
    </row>
    <row r="299" spans="1:18" x14ac:dyDescent="0.2">
      <c r="A299" s="81" t="s">
        <v>346</v>
      </c>
      <c r="B299" s="73" t="s">
        <v>358</v>
      </c>
      <c r="C299" s="105"/>
      <c r="D299" s="75"/>
      <c r="E299" s="271"/>
      <c r="F299" s="274"/>
      <c r="G299" s="275"/>
      <c r="I299" s="16">
        <f>0.15*0.15*3.825*6</f>
        <v>0.51637500000000003</v>
      </c>
      <c r="R299" s="16">
        <f>SUM(R293:R296)</f>
        <v>-200</v>
      </c>
    </row>
    <row r="300" spans="1:18" x14ac:dyDescent="0.2">
      <c r="A300" s="72"/>
      <c r="B300" s="73" t="s">
        <v>222</v>
      </c>
      <c r="C300" s="74" t="s">
        <v>9</v>
      </c>
      <c r="D300" s="59">
        <v>417.12</v>
      </c>
      <c r="E300" s="281"/>
      <c r="F300" s="274"/>
      <c r="G300" s="275">
        <f t="shared" si="68"/>
        <v>0</v>
      </c>
      <c r="I300" s="26">
        <f>D300*0.888*6</f>
        <v>2222.41536</v>
      </c>
      <c r="J300" s="16">
        <f>12+26+31+10+3+12+35+12</f>
        <v>141</v>
      </c>
      <c r="K300" s="26"/>
    </row>
    <row r="301" spans="1:18" x14ac:dyDescent="0.2">
      <c r="A301" s="72"/>
      <c r="B301" s="73" t="s">
        <v>367</v>
      </c>
      <c r="C301" s="74" t="s">
        <v>9</v>
      </c>
      <c r="D301" s="59">
        <v>97.68</v>
      </c>
      <c r="E301" s="281"/>
      <c r="F301" s="274"/>
      <c r="G301" s="275">
        <f t="shared" si="68"/>
        <v>0</v>
      </c>
      <c r="I301" s="26">
        <f>D301*0.888*6</f>
        <v>520.43903999999998</v>
      </c>
      <c r="J301" s="16">
        <f>12+26+31+10+3+12+35+12</f>
        <v>141</v>
      </c>
      <c r="K301" s="26"/>
    </row>
    <row r="302" spans="1:18" x14ac:dyDescent="0.2">
      <c r="A302" s="81" t="s">
        <v>350</v>
      </c>
      <c r="B302" s="73" t="s">
        <v>359</v>
      </c>
      <c r="C302" s="105"/>
      <c r="D302" s="75"/>
      <c r="E302" s="271"/>
      <c r="F302" s="274"/>
      <c r="G302" s="275"/>
      <c r="I302" s="16">
        <f>0.15*0.15*3.825*6</f>
        <v>0.51637500000000003</v>
      </c>
    </row>
    <row r="303" spans="1:18" x14ac:dyDescent="0.2">
      <c r="A303" s="72"/>
      <c r="B303" s="73" t="s">
        <v>222</v>
      </c>
      <c r="C303" s="74" t="s">
        <v>9</v>
      </c>
      <c r="D303" s="59">
        <v>243.32000000000002</v>
      </c>
      <c r="E303" s="281"/>
      <c r="F303" s="274"/>
      <c r="G303" s="275">
        <f t="shared" si="68"/>
        <v>0</v>
      </c>
      <c r="I303" s="26">
        <f>D303*0.888*6</f>
        <v>1296.4089600000002</v>
      </c>
      <c r="J303" s="16">
        <f>12+26+31+10+3+12+35+12</f>
        <v>141</v>
      </c>
      <c r="K303" s="26"/>
    </row>
    <row r="304" spans="1:18" x14ac:dyDescent="0.2">
      <c r="A304" s="72"/>
      <c r="B304" s="73" t="s">
        <v>367</v>
      </c>
      <c r="C304" s="74" t="s">
        <v>9</v>
      </c>
      <c r="D304" s="59">
        <v>45.58400000000001</v>
      </c>
      <c r="E304" s="281"/>
      <c r="F304" s="274"/>
      <c r="G304" s="275">
        <f t="shared" si="68"/>
        <v>0</v>
      </c>
      <c r="I304" s="26">
        <f>D304*0.888*6</f>
        <v>242.87155200000004</v>
      </c>
      <c r="J304" s="16">
        <f>12+26+31+10+3+12+35+12</f>
        <v>141</v>
      </c>
      <c r="K304" s="26"/>
    </row>
    <row r="305" spans="1:15" x14ac:dyDescent="0.2">
      <c r="A305" s="108" t="s">
        <v>162</v>
      </c>
      <c r="B305" s="109" t="s">
        <v>194</v>
      </c>
      <c r="C305" s="110"/>
      <c r="D305" s="111"/>
      <c r="E305" s="291"/>
      <c r="F305" s="274"/>
      <c r="G305" s="275"/>
      <c r="H305" s="33"/>
      <c r="I305" s="29"/>
    </row>
    <row r="306" spans="1:15" x14ac:dyDescent="0.2">
      <c r="A306" s="112" t="s">
        <v>172</v>
      </c>
      <c r="B306" s="73" t="s">
        <v>224</v>
      </c>
      <c r="C306" s="74" t="s">
        <v>9</v>
      </c>
      <c r="D306" s="59">
        <v>86.8</v>
      </c>
      <c r="E306" s="281"/>
      <c r="F306" s="274"/>
      <c r="G306" s="275">
        <f t="shared" si="68"/>
        <v>0</v>
      </c>
      <c r="H306" s="33"/>
      <c r="I306" s="26">
        <f>0.617*D306*6</f>
        <v>321.33359999999999</v>
      </c>
    </row>
    <row r="307" spans="1:15" x14ac:dyDescent="0.2">
      <c r="A307" s="68" t="s">
        <v>130</v>
      </c>
      <c r="B307" s="69" t="s">
        <v>363</v>
      </c>
      <c r="C307" s="106"/>
      <c r="D307" s="107"/>
      <c r="E307" s="281"/>
      <c r="F307" s="274"/>
      <c r="G307" s="275"/>
    </row>
    <row r="308" spans="1:15" x14ac:dyDescent="0.2">
      <c r="A308" s="108" t="s">
        <v>161</v>
      </c>
      <c r="B308" s="109" t="s">
        <v>269</v>
      </c>
      <c r="C308" s="110"/>
      <c r="D308" s="111"/>
      <c r="E308" s="291"/>
      <c r="F308" s="274"/>
      <c r="G308" s="275"/>
    </row>
    <row r="309" spans="1:15" x14ac:dyDescent="0.2">
      <c r="A309" s="72"/>
      <c r="B309" s="73" t="s">
        <v>360</v>
      </c>
      <c r="C309" s="105"/>
      <c r="D309" s="75"/>
      <c r="E309" s="271"/>
      <c r="F309" s="274"/>
      <c r="G309" s="275"/>
      <c r="I309" s="16">
        <f>3.82*5+4.08*5</f>
        <v>39.5</v>
      </c>
      <c r="J309" s="16">
        <f t="shared" ref="J309" si="69">I309*0.2*0.3</f>
        <v>2.37</v>
      </c>
    </row>
    <row r="310" spans="1:15" x14ac:dyDescent="0.2">
      <c r="A310" s="72"/>
      <c r="B310" s="73" t="s">
        <v>270</v>
      </c>
      <c r="C310" s="74" t="s">
        <v>9</v>
      </c>
      <c r="D310" s="59">
        <v>1422.72</v>
      </c>
      <c r="E310" s="281"/>
      <c r="F310" s="274"/>
      <c r="G310" s="275">
        <f t="shared" ref="G310:G311" si="70">(D310*E310)+(D310*F310)</f>
        <v>0</v>
      </c>
      <c r="I310" s="26">
        <f>D310*0.888*6</f>
        <v>7580.25216</v>
      </c>
      <c r="J310" s="16">
        <f>12+26+31+10+3+12+35+12</f>
        <v>141</v>
      </c>
      <c r="K310" s="26"/>
    </row>
    <row r="311" spans="1:15" x14ac:dyDescent="0.2">
      <c r="A311" s="72"/>
      <c r="B311" s="73" t="s">
        <v>367</v>
      </c>
      <c r="C311" s="74" t="s">
        <v>9</v>
      </c>
      <c r="D311" s="59">
        <v>287.71199999999999</v>
      </c>
      <c r="E311" s="281"/>
      <c r="F311" s="274"/>
      <c r="G311" s="275">
        <f t="shared" si="70"/>
        <v>0</v>
      </c>
      <c r="I311" s="26">
        <f>D311*0.888*6</f>
        <v>1532.9295360000001</v>
      </c>
      <c r="J311" s="16">
        <f>12+26+31+10+3+12+35+12</f>
        <v>141</v>
      </c>
      <c r="K311" s="26"/>
    </row>
    <row r="312" spans="1:15" x14ac:dyDescent="0.2">
      <c r="A312" s="72"/>
      <c r="B312" s="73" t="s">
        <v>361</v>
      </c>
      <c r="C312" s="105"/>
      <c r="D312" s="75"/>
      <c r="E312" s="271"/>
      <c r="F312" s="274"/>
      <c r="G312" s="275"/>
      <c r="I312" s="16">
        <f>3.82*5+4.08*5</f>
        <v>39.5</v>
      </c>
      <c r="J312" s="16">
        <f t="shared" ref="J312" si="71">I312*0.2*0.3</f>
        <v>2.37</v>
      </c>
    </row>
    <row r="313" spans="1:15" x14ac:dyDescent="0.2">
      <c r="A313" s="72"/>
      <c r="B313" s="73" t="s">
        <v>222</v>
      </c>
      <c r="C313" s="74" t="s">
        <v>9</v>
      </c>
      <c r="D313" s="59">
        <v>2029.9839999999999</v>
      </c>
      <c r="E313" s="281"/>
      <c r="F313" s="274"/>
      <c r="G313" s="275">
        <f t="shared" ref="G313:G314" si="72">(D313*E313)+(D313*F313)</f>
        <v>0</v>
      </c>
      <c r="I313" s="26">
        <f>D313*0.888*6</f>
        <v>10815.754752000001</v>
      </c>
      <c r="J313" s="16">
        <f>12+26+31+10+3+12+35+12</f>
        <v>141</v>
      </c>
      <c r="K313" s="26"/>
    </row>
    <row r="314" spans="1:15" x14ac:dyDescent="0.2">
      <c r="A314" s="72"/>
      <c r="B314" s="73" t="s">
        <v>367</v>
      </c>
      <c r="C314" s="74" t="s">
        <v>9</v>
      </c>
      <c r="D314" s="59">
        <v>641.75760000000002</v>
      </c>
      <c r="E314" s="281"/>
      <c r="F314" s="274"/>
      <c r="G314" s="275">
        <f t="shared" si="72"/>
        <v>0</v>
      </c>
      <c r="I314" s="26">
        <f>D314*0.888*6</f>
        <v>3419.2844928</v>
      </c>
      <c r="J314" s="16">
        <f>12+26+31+10+3+12+35+12</f>
        <v>141</v>
      </c>
      <c r="K314" s="26"/>
    </row>
    <row r="315" spans="1:15" x14ac:dyDescent="0.2">
      <c r="A315" s="72"/>
      <c r="B315" s="73" t="s">
        <v>362</v>
      </c>
      <c r="C315" s="105"/>
      <c r="D315" s="75"/>
      <c r="E315" s="271"/>
      <c r="F315" s="274"/>
      <c r="G315" s="275"/>
      <c r="I315" s="16">
        <f>3.82*5+4.08*5</f>
        <v>39.5</v>
      </c>
      <c r="J315" s="16">
        <f t="shared" ref="J315" si="73">I315*0.2*0.3</f>
        <v>2.37</v>
      </c>
    </row>
    <row r="316" spans="1:15" x14ac:dyDescent="0.2">
      <c r="A316" s="72"/>
      <c r="B316" s="73" t="s">
        <v>222</v>
      </c>
      <c r="C316" s="74" t="s">
        <v>9</v>
      </c>
      <c r="D316" s="59">
        <v>258.80400000000003</v>
      </c>
      <c r="E316" s="281"/>
      <c r="F316" s="274"/>
      <c r="G316" s="275">
        <f t="shared" ref="G316:G319" si="74">(D316*E316)+(D316*F316)</f>
        <v>0</v>
      </c>
      <c r="I316" s="26">
        <f>D316*0.888*6</f>
        <v>1378.9077120000002</v>
      </c>
      <c r="J316" s="16">
        <f>12+26+31+10+3+12+35+12</f>
        <v>141</v>
      </c>
      <c r="K316" s="26"/>
    </row>
    <row r="317" spans="1:15" x14ac:dyDescent="0.2">
      <c r="A317" s="72"/>
      <c r="B317" s="73" t="s">
        <v>367</v>
      </c>
      <c r="C317" s="74" t="s">
        <v>9</v>
      </c>
      <c r="D317" s="59">
        <v>155.15136000000004</v>
      </c>
      <c r="E317" s="281"/>
      <c r="F317" s="274"/>
      <c r="G317" s="275">
        <f t="shared" si="74"/>
        <v>0</v>
      </c>
      <c r="I317" s="26">
        <f>D317*0.888*6</f>
        <v>826.64644608000015</v>
      </c>
      <c r="J317" s="16">
        <f>12+26+31+10+3+12+35+12</f>
        <v>141</v>
      </c>
      <c r="K317" s="26"/>
    </row>
    <row r="318" spans="1:15" x14ac:dyDescent="0.2">
      <c r="A318" s="108" t="s">
        <v>162</v>
      </c>
      <c r="B318" s="109" t="s">
        <v>268</v>
      </c>
      <c r="C318" s="110"/>
      <c r="D318" s="111"/>
      <c r="E318" s="291"/>
      <c r="F318" s="274"/>
      <c r="G318" s="275"/>
      <c r="H318" s="33"/>
      <c r="I318" s="29"/>
      <c r="K318" s="16" t="e">
        <f>#REF!</f>
        <v>#REF!</v>
      </c>
      <c r="L318" s="16" t="e">
        <f>K318*14</f>
        <v>#REF!</v>
      </c>
      <c r="M318" s="16" t="e">
        <f>L318*75%</f>
        <v>#REF!</v>
      </c>
      <c r="N318" s="16" t="e">
        <f>L318+M318</f>
        <v>#REF!</v>
      </c>
      <c r="O318" s="16" t="e">
        <f>N318/6</f>
        <v>#REF!</v>
      </c>
    </row>
    <row r="319" spans="1:15" x14ac:dyDescent="0.2">
      <c r="A319" s="112" t="s">
        <v>172</v>
      </c>
      <c r="B319" s="73" t="s">
        <v>223</v>
      </c>
      <c r="C319" s="74" t="s">
        <v>9</v>
      </c>
      <c r="D319" s="59">
        <v>8571.768</v>
      </c>
      <c r="E319" s="281"/>
      <c r="F319" s="274"/>
      <c r="G319" s="275">
        <f t="shared" si="74"/>
        <v>0</v>
      </c>
      <c r="H319" s="33"/>
      <c r="I319" s="26">
        <f>0.617*D319*6</f>
        <v>31732.685136</v>
      </c>
    </row>
    <row r="320" spans="1:15" x14ac:dyDescent="0.2">
      <c r="A320" s="108" t="s">
        <v>173</v>
      </c>
      <c r="B320" s="109" t="s">
        <v>169</v>
      </c>
      <c r="C320" s="110"/>
      <c r="D320" s="111"/>
      <c r="E320" s="291"/>
      <c r="F320" s="274"/>
      <c r="G320" s="275"/>
    </row>
    <row r="321" spans="1:18" x14ac:dyDescent="0.2">
      <c r="A321" s="81" t="s">
        <v>7</v>
      </c>
      <c r="B321" s="73" t="s">
        <v>356</v>
      </c>
      <c r="C321" s="105"/>
      <c r="D321" s="75"/>
      <c r="E321" s="271"/>
      <c r="F321" s="274"/>
      <c r="G321" s="275"/>
      <c r="I321" s="16">
        <f>0.2*0.2*4.275*35</f>
        <v>5.9850000000000012</v>
      </c>
      <c r="N321" s="16">
        <v>10</v>
      </c>
      <c r="O321" s="16">
        <v>1</v>
      </c>
      <c r="P321" s="16">
        <v>10</v>
      </c>
      <c r="Q321" s="16">
        <f>P321*O321</f>
        <v>10</v>
      </c>
      <c r="R321" s="16">
        <f>Q321*N321</f>
        <v>100</v>
      </c>
    </row>
    <row r="322" spans="1:18" x14ac:dyDescent="0.2">
      <c r="A322" s="72"/>
      <c r="B322" s="73" t="s">
        <v>222</v>
      </c>
      <c r="C322" s="74" t="s">
        <v>9</v>
      </c>
      <c r="D322" s="59">
        <v>69.52000000000001</v>
      </c>
      <c r="E322" s="281"/>
      <c r="F322" s="274"/>
      <c r="G322" s="275">
        <f t="shared" ref="G322:G332" si="75">(D322*E322)+(D322*F322)</f>
        <v>0</v>
      </c>
      <c r="I322" s="26">
        <f>D322*0.888*6</f>
        <v>370.40256000000005</v>
      </c>
      <c r="J322" s="16">
        <f>12+26+31+10+3+12+35+12</f>
        <v>141</v>
      </c>
      <c r="K322" s="26"/>
    </row>
    <row r="323" spans="1:18" x14ac:dyDescent="0.2">
      <c r="A323" s="72"/>
      <c r="B323" s="73" t="s">
        <v>367</v>
      </c>
      <c r="C323" s="74" t="s">
        <v>9</v>
      </c>
      <c r="D323" s="59">
        <v>21.815200000000004</v>
      </c>
      <c r="E323" s="281"/>
      <c r="F323" s="274"/>
      <c r="G323" s="275">
        <f t="shared" si="75"/>
        <v>0</v>
      </c>
      <c r="I323" s="26">
        <f>D323*0.888*6</f>
        <v>116.23138560000002</v>
      </c>
      <c r="J323" s="16">
        <f>12+26+31+10+3+12+35+12</f>
        <v>141</v>
      </c>
      <c r="K323" s="26"/>
    </row>
    <row r="324" spans="1:18" x14ac:dyDescent="0.2">
      <c r="A324" s="81" t="s">
        <v>345</v>
      </c>
      <c r="B324" s="73" t="s">
        <v>357</v>
      </c>
      <c r="C324" s="105"/>
      <c r="D324" s="75"/>
      <c r="E324" s="271"/>
      <c r="F324" s="274"/>
      <c r="G324" s="275"/>
      <c r="I324" s="16">
        <f>0.4*0.2*4.275*5</f>
        <v>1.7100000000000004</v>
      </c>
      <c r="N324" s="16">
        <v>-10</v>
      </c>
      <c r="O324" s="16">
        <v>1</v>
      </c>
      <c r="P324" s="16">
        <v>30</v>
      </c>
      <c r="Q324" s="16">
        <f>P324*O324</f>
        <v>30</v>
      </c>
      <c r="R324" s="16">
        <f>Q324*N324</f>
        <v>-300</v>
      </c>
    </row>
    <row r="325" spans="1:18" x14ac:dyDescent="0.2">
      <c r="A325" s="72"/>
      <c r="B325" s="73" t="s">
        <v>222</v>
      </c>
      <c r="C325" s="74" t="s">
        <v>9</v>
      </c>
      <c r="D325" s="59">
        <v>139.04000000000002</v>
      </c>
      <c r="E325" s="281"/>
      <c r="F325" s="274"/>
      <c r="G325" s="275">
        <f t="shared" si="75"/>
        <v>0</v>
      </c>
      <c r="I325" s="26">
        <f>D325*0.888*6</f>
        <v>740.8051200000001</v>
      </c>
      <c r="J325" s="16">
        <f>12+26+31+10+3+12+35+12</f>
        <v>141</v>
      </c>
      <c r="K325" s="26"/>
    </row>
    <row r="326" spans="1:18" x14ac:dyDescent="0.2">
      <c r="A326" s="72"/>
      <c r="B326" s="73" t="s">
        <v>367</v>
      </c>
      <c r="C326" s="74" t="s">
        <v>9</v>
      </c>
      <c r="D326" s="59">
        <v>40.374400000000016</v>
      </c>
      <c r="E326" s="281"/>
      <c r="F326" s="274"/>
      <c r="G326" s="275">
        <f t="shared" si="75"/>
        <v>0</v>
      </c>
      <c r="I326" s="26">
        <f>D326*0.888*6</f>
        <v>215.1148032000001</v>
      </c>
      <c r="J326" s="16">
        <f>12+26+31+10+3+12+35+12</f>
        <v>141</v>
      </c>
      <c r="K326" s="26"/>
    </row>
    <row r="327" spans="1:18" x14ac:dyDescent="0.2">
      <c r="A327" s="81" t="s">
        <v>346</v>
      </c>
      <c r="B327" s="73" t="s">
        <v>358</v>
      </c>
      <c r="C327" s="105"/>
      <c r="D327" s="75"/>
      <c r="E327" s="271"/>
      <c r="F327" s="274"/>
      <c r="G327" s="275"/>
      <c r="I327" s="16">
        <f>0.15*0.15*3.825*6</f>
        <v>0.51637500000000003</v>
      </c>
      <c r="R327" s="16">
        <f>SUM(R321:R324)</f>
        <v>-200</v>
      </c>
    </row>
    <row r="328" spans="1:18" x14ac:dyDescent="0.2">
      <c r="A328" s="72"/>
      <c r="B328" s="73" t="s">
        <v>222</v>
      </c>
      <c r="C328" s="74" t="s">
        <v>9</v>
      </c>
      <c r="D328" s="59">
        <v>417.12</v>
      </c>
      <c r="E328" s="281"/>
      <c r="F328" s="274"/>
      <c r="G328" s="275">
        <f t="shared" si="75"/>
        <v>0</v>
      </c>
      <c r="I328" s="26">
        <f>D328*0.888*6</f>
        <v>2222.41536</v>
      </c>
      <c r="J328" s="16">
        <f>12+26+31+10+3+12+35+12</f>
        <v>141</v>
      </c>
      <c r="K328" s="26"/>
    </row>
    <row r="329" spans="1:18" x14ac:dyDescent="0.2">
      <c r="A329" s="72"/>
      <c r="B329" s="73" t="s">
        <v>367</v>
      </c>
      <c r="C329" s="74" t="s">
        <v>9</v>
      </c>
      <c r="D329" s="59">
        <v>97.68</v>
      </c>
      <c r="E329" s="281"/>
      <c r="F329" s="274"/>
      <c r="G329" s="275">
        <f t="shared" si="75"/>
        <v>0</v>
      </c>
      <c r="I329" s="26">
        <f>D329*0.888*6</f>
        <v>520.43903999999998</v>
      </c>
      <c r="J329" s="16">
        <f>12+26+31+10+3+12+35+12</f>
        <v>141</v>
      </c>
      <c r="K329" s="26"/>
    </row>
    <row r="330" spans="1:18" x14ac:dyDescent="0.2">
      <c r="A330" s="81" t="s">
        <v>350</v>
      </c>
      <c r="B330" s="73" t="s">
        <v>359</v>
      </c>
      <c r="C330" s="105"/>
      <c r="D330" s="75"/>
      <c r="E330" s="271"/>
      <c r="F330" s="274"/>
      <c r="G330" s="275"/>
      <c r="I330" s="16">
        <f>0.15*0.15*3.825*6</f>
        <v>0.51637500000000003</v>
      </c>
    </row>
    <row r="331" spans="1:18" x14ac:dyDescent="0.2">
      <c r="A331" s="72"/>
      <c r="B331" s="73" t="s">
        <v>222</v>
      </c>
      <c r="C331" s="74" t="s">
        <v>9</v>
      </c>
      <c r="D331" s="59">
        <v>243.32000000000002</v>
      </c>
      <c r="E331" s="281"/>
      <c r="F331" s="274"/>
      <c r="G331" s="275">
        <f t="shared" si="75"/>
        <v>0</v>
      </c>
      <c r="I331" s="26">
        <f>D331*0.888*6</f>
        <v>1296.4089600000002</v>
      </c>
      <c r="J331" s="16">
        <f>12+26+31+10+3+12+35+12</f>
        <v>141</v>
      </c>
      <c r="K331" s="26"/>
    </row>
    <row r="332" spans="1:18" x14ac:dyDescent="0.2">
      <c r="A332" s="72"/>
      <c r="B332" s="73" t="s">
        <v>367</v>
      </c>
      <c r="C332" s="74" t="s">
        <v>9</v>
      </c>
      <c r="D332" s="59">
        <v>45.58400000000001</v>
      </c>
      <c r="E332" s="281"/>
      <c r="F332" s="274"/>
      <c r="G332" s="275">
        <f t="shared" si="75"/>
        <v>0</v>
      </c>
      <c r="I332" s="26">
        <f>D332*0.888*6</f>
        <v>242.87155200000004</v>
      </c>
      <c r="J332" s="16">
        <f>12+26+31+10+3+12+35+12</f>
        <v>141</v>
      </c>
      <c r="K332" s="26"/>
    </row>
    <row r="333" spans="1:18" x14ac:dyDescent="0.2">
      <c r="A333" s="68" t="s">
        <v>130</v>
      </c>
      <c r="B333" s="69" t="s">
        <v>409</v>
      </c>
      <c r="C333" s="106"/>
      <c r="D333" s="107"/>
      <c r="E333" s="281"/>
      <c r="F333" s="274"/>
      <c r="G333" s="275"/>
    </row>
    <row r="334" spans="1:18" x14ac:dyDescent="0.2">
      <c r="A334" s="108" t="s">
        <v>161</v>
      </c>
      <c r="B334" s="109" t="s">
        <v>269</v>
      </c>
      <c r="C334" s="110"/>
      <c r="D334" s="111"/>
      <c r="E334" s="291"/>
      <c r="F334" s="274"/>
      <c r="G334" s="275"/>
    </row>
    <row r="335" spans="1:18" x14ac:dyDescent="0.2">
      <c r="A335" s="72"/>
      <c r="B335" s="73" t="s">
        <v>360</v>
      </c>
      <c r="C335" s="105"/>
      <c r="D335" s="75"/>
      <c r="E335" s="271"/>
      <c r="F335" s="274"/>
      <c r="G335" s="275"/>
      <c r="I335" s="16">
        <f>3.82*5+4.08*5</f>
        <v>39.5</v>
      </c>
      <c r="J335" s="16">
        <f t="shared" ref="J335" si="76">I335*0.2*0.3</f>
        <v>2.37</v>
      </c>
    </row>
    <row r="336" spans="1:18" x14ac:dyDescent="0.2">
      <c r="A336" s="72"/>
      <c r="B336" s="73" t="s">
        <v>270</v>
      </c>
      <c r="C336" s="74" t="s">
        <v>9</v>
      </c>
      <c r="D336" s="59">
        <v>1422.72</v>
      </c>
      <c r="E336" s="281"/>
      <c r="F336" s="274"/>
      <c r="G336" s="275">
        <f t="shared" ref="G336:G345" si="77">(D336*E336)+(D336*F336)</f>
        <v>0</v>
      </c>
      <c r="I336" s="26">
        <f>D336*0.888*6</f>
        <v>7580.25216</v>
      </c>
      <c r="J336" s="16">
        <f>12+26+31+10+3+12+35+12</f>
        <v>141</v>
      </c>
      <c r="K336" s="26"/>
    </row>
    <row r="337" spans="1:18" x14ac:dyDescent="0.2">
      <c r="A337" s="72"/>
      <c r="B337" s="73" t="s">
        <v>367</v>
      </c>
      <c r="C337" s="74" t="s">
        <v>9</v>
      </c>
      <c r="D337" s="59">
        <v>287.71199999999999</v>
      </c>
      <c r="E337" s="281"/>
      <c r="F337" s="274"/>
      <c r="G337" s="275">
        <f t="shared" si="77"/>
        <v>0</v>
      </c>
      <c r="I337" s="26">
        <f>D337*0.888*6</f>
        <v>1532.9295360000001</v>
      </c>
      <c r="J337" s="16">
        <f>12+26+31+10+3+12+35+12</f>
        <v>141</v>
      </c>
      <c r="K337" s="26"/>
    </row>
    <row r="338" spans="1:18" x14ac:dyDescent="0.2">
      <c r="A338" s="72"/>
      <c r="B338" s="73" t="s">
        <v>361</v>
      </c>
      <c r="C338" s="105"/>
      <c r="D338" s="75"/>
      <c r="E338" s="271"/>
      <c r="F338" s="274"/>
      <c r="G338" s="275"/>
      <c r="I338" s="16">
        <f>3.82*5+4.08*5</f>
        <v>39.5</v>
      </c>
      <c r="J338" s="16">
        <f t="shared" ref="J338" si="78">I338*0.2*0.3</f>
        <v>2.37</v>
      </c>
    </row>
    <row r="339" spans="1:18" x14ac:dyDescent="0.2">
      <c r="A339" s="72"/>
      <c r="B339" s="73" t="s">
        <v>222</v>
      </c>
      <c r="C339" s="74" t="s">
        <v>9</v>
      </c>
      <c r="D339" s="59">
        <v>2029.9839999999999</v>
      </c>
      <c r="E339" s="281"/>
      <c r="F339" s="274"/>
      <c r="G339" s="275">
        <f t="shared" si="77"/>
        <v>0</v>
      </c>
      <c r="I339" s="26">
        <f>D339*0.888*6</f>
        <v>10815.754752000001</v>
      </c>
      <c r="J339" s="16">
        <f>12+26+31+10+3+12+35+12</f>
        <v>141</v>
      </c>
      <c r="K339" s="26"/>
    </row>
    <row r="340" spans="1:18" x14ac:dyDescent="0.2">
      <c r="A340" s="72"/>
      <c r="B340" s="73" t="s">
        <v>367</v>
      </c>
      <c r="C340" s="74" t="s">
        <v>9</v>
      </c>
      <c r="D340" s="59">
        <v>641.75760000000002</v>
      </c>
      <c r="E340" s="281"/>
      <c r="F340" s="274"/>
      <c r="G340" s="275">
        <f t="shared" si="77"/>
        <v>0</v>
      </c>
      <c r="I340" s="26">
        <f>D340*0.888*6</f>
        <v>3419.2844928</v>
      </c>
      <c r="J340" s="16">
        <f>12+26+31+10+3+12+35+12</f>
        <v>141</v>
      </c>
      <c r="K340" s="26"/>
    </row>
    <row r="341" spans="1:18" x14ac:dyDescent="0.2">
      <c r="A341" s="72"/>
      <c r="B341" s="73" t="s">
        <v>362</v>
      </c>
      <c r="C341" s="105"/>
      <c r="D341" s="75"/>
      <c r="E341" s="271"/>
      <c r="F341" s="274"/>
      <c r="G341" s="275"/>
      <c r="I341" s="16">
        <f>3.82*5+4.08*5</f>
        <v>39.5</v>
      </c>
      <c r="J341" s="16">
        <f t="shared" ref="J341" si="79">I341*0.2*0.3</f>
        <v>2.37</v>
      </c>
    </row>
    <row r="342" spans="1:18" x14ac:dyDescent="0.2">
      <c r="A342" s="72"/>
      <c r="B342" s="73" t="s">
        <v>222</v>
      </c>
      <c r="C342" s="74" t="s">
        <v>9</v>
      </c>
      <c r="D342" s="59">
        <v>258.80400000000003</v>
      </c>
      <c r="E342" s="281"/>
      <c r="F342" s="274"/>
      <c r="G342" s="275">
        <f t="shared" si="77"/>
        <v>0</v>
      </c>
      <c r="I342" s="26">
        <f>D342*0.888*6</f>
        <v>1378.9077120000002</v>
      </c>
      <c r="J342" s="16">
        <f>12+26+31+10+3+12+35+12</f>
        <v>141</v>
      </c>
      <c r="K342" s="26"/>
    </row>
    <row r="343" spans="1:18" x14ac:dyDescent="0.2">
      <c r="A343" s="72"/>
      <c r="B343" s="73" t="s">
        <v>367</v>
      </c>
      <c r="C343" s="74" t="s">
        <v>9</v>
      </c>
      <c r="D343" s="59">
        <v>155.15136000000004</v>
      </c>
      <c r="E343" s="281"/>
      <c r="F343" s="274"/>
      <c r="G343" s="275">
        <f t="shared" si="77"/>
        <v>0</v>
      </c>
      <c r="I343" s="26">
        <f>D343*0.888*6</f>
        <v>826.64644608000015</v>
      </c>
      <c r="J343" s="16">
        <f>12+26+31+10+3+12+35+12</f>
        <v>141</v>
      </c>
      <c r="K343" s="26"/>
    </row>
    <row r="344" spans="1:18" x14ac:dyDescent="0.2">
      <c r="A344" s="108" t="s">
        <v>162</v>
      </c>
      <c r="B344" s="109" t="s">
        <v>268</v>
      </c>
      <c r="C344" s="110"/>
      <c r="D344" s="111"/>
      <c r="E344" s="291"/>
      <c r="F344" s="274"/>
      <c r="G344" s="275"/>
      <c r="H344" s="33"/>
      <c r="I344" s="29"/>
      <c r="K344" s="16" t="e">
        <f>#REF!</f>
        <v>#REF!</v>
      </c>
      <c r="L344" s="16" t="e">
        <f>K344*14</f>
        <v>#REF!</v>
      </c>
      <c r="M344" s="16" t="e">
        <f>L344*75%</f>
        <v>#REF!</v>
      </c>
      <c r="N344" s="16" t="e">
        <f>L344+M344</f>
        <v>#REF!</v>
      </c>
      <c r="O344" s="16" t="e">
        <f>N344/6</f>
        <v>#REF!</v>
      </c>
    </row>
    <row r="345" spans="1:18" x14ac:dyDescent="0.2">
      <c r="A345" s="112" t="s">
        <v>172</v>
      </c>
      <c r="B345" s="73" t="s">
        <v>223</v>
      </c>
      <c r="C345" s="74" t="s">
        <v>9</v>
      </c>
      <c r="D345" s="59">
        <v>8571.768</v>
      </c>
      <c r="E345" s="281"/>
      <c r="F345" s="274"/>
      <c r="G345" s="275">
        <f t="shared" si="77"/>
        <v>0</v>
      </c>
      <c r="H345" s="33"/>
      <c r="I345" s="26">
        <f>0.617*D345*6</f>
        <v>31732.685136</v>
      </c>
    </row>
    <row r="346" spans="1:18" x14ac:dyDescent="0.2">
      <c r="A346" s="108" t="s">
        <v>173</v>
      </c>
      <c r="B346" s="109" t="s">
        <v>169</v>
      </c>
      <c r="C346" s="110"/>
      <c r="D346" s="111"/>
      <c r="E346" s="291"/>
      <c r="F346" s="274"/>
      <c r="G346" s="275"/>
    </row>
    <row r="347" spans="1:18" x14ac:dyDescent="0.2">
      <c r="A347" s="81" t="s">
        <v>7</v>
      </c>
      <c r="B347" s="73" t="s">
        <v>356</v>
      </c>
      <c r="C347" s="105"/>
      <c r="D347" s="75"/>
      <c r="E347" s="271"/>
      <c r="F347" s="274"/>
      <c r="G347" s="275"/>
      <c r="I347" s="16">
        <f>0.2*0.2*4.275*35</f>
        <v>5.9850000000000012</v>
      </c>
      <c r="N347" s="16">
        <v>10</v>
      </c>
      <c r="O347" s="16">
        <v>1</v>
      </c>
      <c r="P347" s="16">
        <v>10</v>
      </c>
      <c r="Q347" s="16">
        <f>P347*O347</f>
        <v>10</v>
      </c>
      <c r="R347" s="16">
        <f>Q347*N347</f>
        <v>100</v>
      </c>
    </row>
    <row r="348" spans="1:18" x14ac:dyDescent="0.2">
      <c r="A348" s="72"/>
      <c r="B348" s="73" t="s">
        <v>222</v>
      </c>
      <c r="C348" s="74" t="s">
        <v>9</v>
      </c>
      <c r="D348" s="59">
        <v>69.52000000000001</v>
      </c>
      <c r="E348" s="281"/>
      <c r="F348" s="274"/>
      <c r="G348" s="275">
        <f t="shared" ref="G348:G358" si="80">(D348*E348)+(D348*F348)</f>
        <v>0</v>
      </c>
      <c r="I348" s="26">
        <f>D348*0.888*6</f>
        <v>370.40256000000005</v>
      </c>
      <c r="J348" s="16">
        <f>12+26+31+10+3+12+35+12</f>
        <v>141</v>
      </c>
      <c r="K348" s="26"/>
    </row>
    <row r="349" spans="1:18" x14ac:dyDescent="0.2">
      <c r="A349" s="72"/>
      <c r="B349" s="73" t="s">
        <v>367</v>
      </c>
      <c r="C349" s="74" t="s">
        <v>9</v>
      </c>
      <c r="D349" s="59">
        <v>21.815200000000004</v>
      </c>
      <c r="E349" s="281"/>
      <c r="F349" s="274"/>
      <c r="G349" s="275">
        <f t="shared" si="80"/>
        <v>0</v>
      </c>
      <c r="I349" s="26">
        <f>D349*0.888*6</f>
        <v>116.23138560000002</v>
      </c>
      <c r="J349" s="16">
        <f>12+26+31+10+3+12+35+12</f>
        <v>141</v>
      </c>
      <c r="K349" s="26"/>
    </row>
    <row r="350" spans="1:18" x14ac:dyDescent="0.2">
      <c r="A350" s="81" t="s">
        <v>345</v>
      </c>
      <c r="B350" s="73" t="s">
        <v>357</v>
      </c>
      <c r="C350" s="105"/>
      <c r="D350" s="75"/>
      <c r="E350" s="271"/>
      <c r="F350" s="274"/>
      <c r="G350" s="275"/>
      <c r="I350" s="16">
        <f>0.4*0.2*4.275*5</f>
        <v>1.7100000000000004</v>
      </c>
      <c r="N350" s="16">
        <v>-10</v>
      </c>
      <c r="O350" s="16">
        <v>1</v>
      </c>
      <c r="P350" s="16">
        <v>30</v>
      </c>
      <c r="Q350" s="16">
        <f>P350*O350</f>
        <v>30</v>
      </c>
      <c r="R350" s="16">
        <f>Q350*N350</f>
        <v>-300</v>
      </c>
    </row>
    <row r="351" spans="1:18" x14ac:dyDescent="0.2">
      <c r="A351" s="72"/>
      <c r="B351" s="73" t="s">
        <v>222</v>
      </c>
      <c r="C351" s="74" t="s">
        <v>9</v>
      </c>
      <c r="D351" s="59">
        <v>139.04000000000002</v>
      </c>
      <c r="E351" s="281"/>
      <c r="F351" s="274"/>
      <c r="G351" s="275">
        <f t="shared" si="80"/>
        <v>0</v>
      </c>
      <c r="I351" s="26">
        <f>D351*0.888*6</f>
        <v>740.8051200000001</v>
      </c>
      <c r="J351" s="16">
        <f>12+26+31+10+3+12+35+12</f>
        <v>141</v>
      </c>
      <c r="K351" s="26"/>
    </row>
    <row r="352" spans="1:18" x14ac:dyDescent="0.2">
      <c r="A352" s="72"/>
      <c r="B352" s="73" t="s">
        <v>367</v>
      </c>
      <c r="C352" s="74" t="s">
        <v>9</v>
      </c>
      <c r="D352" s="59">
        <v>40.374400000000016</v>
      </c>
      <c r="E352" s="281"/>
      <c r="F352" s="274"/>
      <c r="G352" s="275">
        <f t="shared" si="80"/>
        <v>0</v>
      </c>
      <c r="I352" s="26">
        <f>D352*0.888*6</f>
        <v>215.1148032000001</v>
      </c>
      <c r="J352" s="16">
        <f>12+26+31+10+3+12+35+12</f>
        <v>141</v>
      </c>
      <c r="K352" s="26"/>
    </row>
    <row r="353" spans="1:18" x14ac:dyDescent="0.2">
      <c r="A353" s="81" t="s">
        <v>346</v>
      </c>
      <c r="B353" s="73" t="s">
        <v>358</v>
      </c>
      <c r="C353" s="105"/>
      <c r="D353" s="75"/>
      <c r="E353" s="271"/>
      <c r="F353" s="274"/>
      <c r="G353" s="275"/>
      <c r="I353" s="16">
        <f>0.15*0.15*3.825*6</f>
        <v>0.51637500000000003</v>
      </c>
      <c r="R353" s="16">
        <f>SUM(R347:R350)</f>
        <v>-200</v>
      </c>
    </row>
    <row r="354" spans="1:18" x14ac:dyDescent="0.2">
      <c r="A354" s="72"/>
      <c r="B354" s="73" t="s">
        <v>222</v>
      </c>
      <c r="C354" s="74" t="s">
        <v>9</v>
      </c>
      <c r="D354" s="59">
        <v>417.12</v>
      </c>
      <c r="E354" s="281"/>
      <c r="F354" s="274"/>
      <c r="G354" s="275">
        <f t="shared" si="80"/>
        <v>0</v>
      </c>
      <c r="I354" s="26">
        <f>D354*0.888*6</f>
        <v>2222.41536</v>
      </c>
      <c r="J354" s="16">
        <f>12+26+31+10+3+12+35+12</f>
        <v>141</v>
      </c>
      <c r="K354" s="26"/>
    </row>
    <row r="355" spans="1:18" x14ac:dyDescent="0.2">
      <c r="A355" s="72"/>
      <c r="B355" s="73" t="s">
        <v>367</v>
      </c>
      <c r="C355" s="74" t="s">
        <v>9</v>
      </c>
      <c r="D355" s="59">
        <v>97.68</v>
      </c>
      <c r="E355" s="281"/>
      <c r="F355" s="274"/>
      <c r="G355" s="275">
        <f t="shared" si="80"/>
        <v>0</v>
      </c>
      <c r="I355" s="26">
        <f>D355*0.888*6</f>
        <v>520.43903999999998</v>
      </c>
      <c r="J355" s="16">
        <f>12+26+31+10+3+12+35+12</f>
        <v>141</v>
      </c>
      <c r="K355" s="26"/>
    </row>
    <row r="356" spans="1:18" x14ac:dyDescent="0.2">
      <c r="A356" s="81" t="s">
        <v>350</v>
      </c>
      <c r="B356" s="73" t="s">
        <v>359</v>
      </c>
      <c r="C356" s="105"/>
      <c r="D356" s="75"/>
      <c r="E356" s="271"/>
      <c r="F356" s="274"/>
      <c r="G356" s="275"/>
      <c r="I356" s="16">
        <f>0.15*0.15*3.825*6</f>
        <v>0.51637500000000003</v>
      </c>
    </row>
    <row r="357" spans="1:18" x14ac:dyDescent="0.2">
      <c r="A357" s="72"/>
      <c r="B357" s="73" t="s">
        <v>222</v>
      </c>
      <c r="C357" s="74" t="s">
        <v>9</v>
      </c>
      <c r="D357" s="59">
        <v>243.32000000000002</v>
      </c>
      <c r="E357" s="281"/>
      <c r="F357" s="274"/>
      <c r="G357" s="275">
        <f t="shared" si="80"/>
        <v>0</v>
      </c>
      <c r="I357" s="26">
        <f>D357*0.888*6</f>
        <v>1296.4089600000002</v>
      </c>
      <c r="J357" s="16">
        <f>12+26+31+10+3+12+35+12</f>
        <v>141</v>
      </c>
      <c r="K357" s="26"/>
    </row>
    <row r="358" spans="1:18" x14ac:dyDescent="0.2">
      <c r="A358" s="72"/>
      <c r="B358" s="73" t="s">
        <v>367</v>
      </c>
      <c r="C358" s="74" t="s">
        <v>9</v>
      </c>
      <c r="D358" s="59">
        <v>45.58400000000001</v>
      </c>
      <c r="E358" s="281"/>
      <c r="F358" s="274"/>
      <c r="G358" s="275">
        <f t="shared" si="80"/>
        <v>0</v>
      </c>
      <c r="I358" s="26">
        <f>D358*0.888*6</f>
        <v>242.87155200000004</v>
      </c>
      <c r="J358" s="16">
        <f>12+26+31+10+3+12+35+12</f>
        <v>141</v>
      </c>
      <c r="K358" s="26"/>
    </row>
    <row r="359" spans="1:18" x14ac:dyDescent="0.2">
      <c r="A359" s="68" t="s">
        <v>271</v>
      </c>
      <c r="B359" s="69" t="s">
        <v>262</v>
      </c>
      <c r="C359" s="106"/>
      <c r="D359" s="107"/>
      <c r="E359" s="281"/>
      <c r="F359" s="274"/>
      <c r="G359" s="275"/>
    </row>
    <row r="360" spans="1:18" x14ac:dyDescent="0.2">
      <c r="A360" s="108" t="s">
        <v>161</v>
      </c>
      <c r="B360" s="109" t="s">
        <v>262</v>
      </c>
      <c r="C360" s="110"/>
      <c r="D360" s="111"/>
      <c r="E360" s="291"/>
      <c r="F360" s="274"/>
      <c r="G360" s="275"/>
    </row>
    <row r="361" spans="1:18" x14ac:dyDescent="0.2">
      <c r="A361" s="72"/>
      <c r="B361" s="73" t="str">
        <f>B232</f>
        <v>RB1 @ Roof Beam level 1</v>
      </c>
      <c r="C361" s="105"/>
      <c r="D361" s="75"/>
      <c r="E361" s="271"/>
      <c r="F361" s="274"/>
      <c r="G361" s="275"/>
      <c r="I361" s="16">
        <f>3.82*5+4.08*5</f>
        <v>39.5</v>
      </c>
      <c r="J361" s="16">
        <f t="shared" ref="J361:J364" si="81">I361*0.2*0.3</f>
        <v>2.37</v>
      </c>
    </row>
    <row r="362" spans="1:18" x14ac:dyDescent="0.2">
      <c r="A362" s="72"/>
      <c r="B362" s="73" t="s">
        <v>222</v>
      </c>
      <c r="C362" s="74" t="s">
        <v>9</v>
      </c>
      <c r="D362" s="59">
        <v>393.22400000000005</v>
      </c>
      <c r="E362" s="281"/>
      <c r="F362" s="274"/>
      <c r="G362" s="275">
        <f t="shared" ref="G362:G363" si="82">(D362*E362)+(D362*F362)</f>
        <v>0</v>
      </c>
      <c r="I362" s="26">
        <f>D362*0.888*6</f>
        <v>2095.0974720000004</v>
      </c>
      <c r="J362" s="16">
        <f>12+26+31+10+3+12+35+12</f>
        <v>141</v>
      </c>
      <c r="K362" s="26"/>
    </row>
    <row r="363" spans="1:18" x14ac:dyDescent="0.2">
      <c r="A363" s="72"/>
      <c r="B363" s="73" t="s">
        <v>367</v>
      </c>
      <c r="C363" s="74" t="s">
        <v>9</v>
      </c>
      <c r="D363" s="59">
        <v>58.904000000000011</v>
      </c>
      <c r="E363" s="281"/>
      <c r="F363" s="274"/>
      <c r="G363" s="275">
        <f t="shared" si="82"/>
        <v>0</v>
      </c>
      <c r="I363" s="26">
        <f>D363*0.888*6</f>
        <v>313.84051200000005</v>
      </c>
      <c r="J363" s="16">
        <f>12+26+31+10+3+12+35+12</f>
        <v>141</v>
      </c>
      <c r="K363" s="26"/>
    </row>
    <row r="364" spans="1:18" x14ac:dyDescent="0.2">
      <c r="A364" s="72"/>
      <c r="B364" s="73" t="str">
        <f>B233</f>
        <v>RB1 @ Roof Beam level 2</v>
      </c>
      <c r="C364" s="105"/>
      <c r="D364" s="75"/>
      <c r="E364" s="271"/>
      <c r="F364" s="274"/>
      <c r="G364" s="275"/>
      <c r="I364" s="16">
        <f>3.82*5+4.08*5</f>
        <v>39.5</v>
      </c>
      <c r="J364" s="16">
        <f t="shared" si="81"/>
        <v>2.37</v>
      </c>
    </row>
    <row r="365" spans="1:18" x14ac:dyDescent="0.2">
      <c r="A365" s="72"/>
      <c r="B365" s="73" t="s">
        <v>222</v>
      </c>
      <c r="C365" s="74" t="s">
        <v>9</v>
      </c>
      <c r="D365" s="59">
        <v>1100.6320000000001</v>
      </c>
      <c r="E365" s="281"/>
      <c r="F365" s="274"/>
      <c r="G365" s="275">
        <f t="shared" ref="G365:G366" si="83">(D365*E365)+(D365*F365)</f>
        <v>0</v>
      </c>
      <c r="I365" s="26">
        <f>D365*0.888*6</f>
        <v>5864.1672959999996</v>
      </c>
      <c r="J365" s="16">
        <f>12+26+31+10+3+12+35+12</f>
        <v>141</v>
      </c>
      <c r="K365" s="26"/>
    </row>
    <row r="366" spans="1:18" x14ac:dyDescent="0.2">
      <c r="A366" s="72"/>
      <c r="B366" s="73" t="s">
        <v>367</v>
      </c>
      <c r="C366" s="74" t="s">
        <v>9</v>
      </c>
      <c r="D366" s="59">
        <v>164.87200000000001</v>
      </c>
      <c r="E366" s="281"/>
      <c r="F366" s="274"/>
      <c r="G366" s="275">
        <f t="shared" si="83"/>
        <v>0</v>
      </c>
      <c r="I366" s="26">
        <f>D366*0.888*6</f>
        <v>878.43801600000006</v>
      </c>
      <c r="J366" s="16">
        <f>12+26+31+10+3+12+35+12</f>
        <v>141</v>
      </c>
      <c r="K366" s="26"/>
    </row>
    <row r="367" spans="1:18" x14ac:dyDescent="0.2">
      <c r="A367" s="72"/>
      <c r="B367" s="73" t="s">
        <v>364</v>
      </c>
      <c r="C367" s="105"/>
      <c r="D367" s="75"/>
      <c r="E367" s="271"/>
      <c r="F367" s="274"/>
      <c r="G367" s="275"/>
      <c r="I367" s="16">
        <v>3</v>
      </c>
      <c r="J367" s="16">
        <f>I367*0.2*0.4</f>
        <v>0.24000000000000005</v>
      </c>
    </row>
    <row r="368" spans="1:18" x14ac:dyDescent="0.2">
      <c r="A368" s="72"/>
      <c r="B368" s="73" t="s">
        <v>224</v>
      </c>
      <c r="C368" s="74" t="s">
        <v>9</v>
      </c>
      <c r="D368" s="59">
        <v>68.2</v>
      </c>
      <c r="E368" s="281"/>
      <c r="F368" s="274"/>
      <c r="G368" s="275">
        <f t="shared" ref="G368:G369" si="84">(D368*E368)+(D368*F368)</f>
        <v>0</v>
      </c>
      <c r="I368" s="26">
        <f>D368*0.888*6</f>
        <v>363.36960000000005</v>
      </c>
      <c r="J368" s="16">
        <f>12+26+31+10+3+12+35+12</f>
        <v>141</v>
      </c>
      <c r="K368" s="26"/>
    </row>
    <row r="369" spans="1:13" x14ac:dyDescent="0.2">
      <c r="A369" s="72"/>
      <c r="B369" s="73" t="s">
        <v>367</v>
      </c>
      <c r="C369" s="74" t="s">
        <v>9</v>
      </c>
      <c r="D369" s="59">
        <v>28.490000000000002</v>
      </c>
      <c r="E369" s="281"/>
      <c r="F369" s="274"/>
      <c r="G369" s="275">
        <f t="shared" si="84"/>
        <v>0</v>
      </c>
      <c r="I369" s="26">
        <f>D369*0.888*6</f>
        <v>151.79472000000001</v>
      </c>
      <c r="J369" s="16">
        <f>12+26+31+10+3+12+35+12</f>
        <v>141</v>
      </c>
      <c r="K369" s="26"/>
    </row>
    <row r="370" spans="1:13" x14ac:dyDescent="0.2">
      <c r="A370" s="72"/>
      <c r="B370" s="73"/>
      <c r="C370" s="74"/>
      <c r="D370" s="75"/>
      <c r="E370" s="281"/>
      <c r="F370" s="274"/>
      <c r="G370" s="275"/>
      <c r="I370" s="26"/>
      <c r="J370" s="26"/>
    </row>
    <row r="371" spans="1:13" x14ac:dyDescent="0.2">
      <c r="A371" s="72"/>
      <c r="B371" s="73"/>
      <c r="C371" s="74"/>
      <c r="D371" s="75"/>
      <c r="E371" s="281"/>
      <c r="F371" s="274"/>
      <c r="G371" s="275"/>
      <c r="I371" s="26"/>
      <c r="J371" s="26"/>
    </row>
    <row r="372" spans="1:13" x14ac:dyDescent="0.2">
      <c r="A372" s="72"/>
      <c r="B372" s="73"/>
      <c r="C372" s="74"/>
      <c r="D372" s="75"/>
      <c r="E372" s="281"/>
      <c r="F372" s="274"/>
      <c r="G372" s="275"/>
      <c r="I372" s="26"/>
      <c r="J372" s="26"/>
    </row>
    <row r="373" spans="1:13" x14ac:dyDescent="0.2">
      <c r="A373" s="72"/>
      <c r="B373" s="73"/>
      <c r="C373" s="74"/>
      <c r="D373" s="75"/>
      <c r="E373" s="281"/>
      <c r="F373" s="274"/>
      <c r="G373" s="275"/>
      <c r="I373" s="26"/>
      <c r="J373" s="26"/>
    </row>
    <row r="374" spans="1:13" x14ac:dyDescent="0.2">
      <c r="A374" s="72"/>
      <c r="B374" s="73"/>
      <c r="C374" s="74"/>
      <c r="D374" s="75"/>
      <c r="E374" s="281"/>
      <c r="F374" s="274"/>
      <c r="G374" s="275"/>
      <c r="I374" s="26"/>
      <c r="J374" s="26"/>
    </row>
    <row r="375" spans="1:13" ht="12.75" thickBot="1" x14ac:dyDescent="0.25">
      <c r="A375" s="236"/>
      <c r="B375" s="237"/>
      <c r="C375" s="206"/>
      <c r="D375" s="238"/>
      <c r="E375" s="281"/>
      <c r="F375" s="274"/>
      <c r="G375" s="275"/>
      <c r="I375" s="26"/>
      <c r="J375" s="26"/>
    </row>
    <row r="376" spans="1:13" x14ac:dyDescent="0.2">
      <c r="A376" s="119"/>
      <c r="B376" s="209"/>
      <c r="C376" s="207"/>
      <c r="D376" s="208"/>
      <c r="E376" s="281"/>
      <c r="F376" s="274"/>
      <c r="G376" s="275"/>
      <c r="I376" s="26"/>
      <c r="J376" s="26"/>
    </row>
    <row r="377" spans="1:13" x14ac:dyDescent="0.2">
      <c r="A377" s="68" t="s">
        <v>149</v>
      </c>
      <c r="B377" s="69" t="s">
        <v>198</v>
      </c>
      <c r="C377" s="106"/>
      <c r="D377" s="107"/>
      <c r="E377" s="281"/>
      <c r="F377" s="274"/>
      <c r="G377" s="275"/>
    </row>
    <row r="378" spans="1:13" x14ac:dyDescent="0.2">
      <c r="A378" s="114" t="s">
        <v>182</v>
      </c>
      <c r="B378" s="77" t="s">
        <v>272</v>
      </c>
      <c r="C378" s="74"/>
      <c r="D378" s="75"/>
      <c r="E378" s="281"/>
      <c r="F378" s="274"/>
      <c r="G378" s="275"/>
    </row>
    <row r="379" spans="1:13" ht="48" x14ac:dyDescent="0.2">
      <c r="A379" s="115"/>
      <c r="B379" s="73" t="s">
        <v>273</v>
      </c>
      <c r="C379" s="74" t="s">
        <v>14</v>
      </c>
      <c r="D379" s="75">
        <v>1</v>
      </c>
      <c r="E379" s="281"/>
      <c r="F379" s="274"/>
      <c r="G379" s="275">
        <f t="shared" ref="G379" si="85">(D379*E379)+(D379*F379)</f>
        <v>0</v>
      </c>
      <c r="I379" s="16">
        <f>25.725*0.2*0.2*2*2</f>
        <v>4.1160000000000005</v>
      </c>
      <c r="J379" s="16">
        <f>0.375*0.125*25.723*2*2</f>
        <v>4.8230624999999998</v>
      </c>
      <c r="K379" s="16">
        <f>26.4*0.15*0.15*2</f>
        <v>1.1879999999999997</v>
      </c>
      <c r="M379" s="16">
        <f>SUM(I379:L379)</f>
        <v>10.127062500000001</v>
      </c>
    </row>
    <row r="380" spans="1:13" ht="15.75" customHeight="1" x14ac:dyDescent="0.2">
      <c r="A380" s="114" t="s">
        <v>183</v>
      </c>
      <c r="B380" s="77" t="s">
        <v>302</v>
      </c>
      <c r="C380" s="74"/>
      <c r="D380" s="75"/>
      <c r="E380" s="281"/>
      <c r="F380" s="274"/>
      <c r="G380" s="275"/>
    </row>
    <row r="381" spans="1:13" ht="60" x14ac:dyDescent="0.2">
      <c r="A381" s="115"/>
      <c r="B381" s="116" t="s">
        <v>303</v>
      </c>
      <c r="C381" s="74" t="s">
        <v>14</v>
      </c>
      <c r="D381" s="117">
        <v>1</v>
      </c>
      <c r="E381" s="271"/>
      <c r="F381" s="274"/>
      <c r="G381" s="275">
        <f t="shared" ref="G381" si="86">(D381*E381)+(D381*F381)</f>
        <v>0</v>
      </c>
      <c r="I381" s="16">
        <f>1.7*0.95*0.075*2</f>
        <v>0.24224999999999999</v>
      </c>
      <c r="J381" s="16">
        <f>0.2*0.2*1.7*2</f>
        <v>0.13600000000000001</v>
      </c>
      <c r="K381" s="16">
        <f>SUM(I381:J381)</f>
        <v>0.37824999999999998</v>
      </c>
    </row>
    <row r="382" spans="1:13" ht="15.75" customHeight="1" x14ac:dyDescent="0.2">
      <c r="A382" s="114" t="s">
        <v>185</v>
      </c>
      <c r="B382" s="77" t="s">
        <v>412</v>
      </c>
      <c r="C382" s="74"/>
      <c r="D382" s="75"/>
      <c r="E382" s="281"/>
      <c r="F382" s="274"/>
      <c r="G382" s="275"/>
    </row>
    <row r="383" spans="1:13" ht="48" x14ac:dyDescent="0.2">
      <c r="A383" s="115"/>
      <c r="B383" s="116" t="s">
        <v>413</v>
      </c>
      <c r="C383" s="74" t="s">
        <v>14</v>
      </c>
      <c r="D383" s="117">
        <v>1</v>
      </c>
      <c r="E383" s="271"/>
      <c r="F383" s="274"/>
      <c r="G383" s="275">
        <f t="shared" ref="G383" si="87">(D383*E383)+(D383*F383)</f>
        <v>0</v>
      </c>
      <c r="I383" s="16">
        <f>1.7*0.95*0.075*2</f>
        <v>0.24224999999999999</v>
      </c>
      <c r="J383" s="16">
        <f>0.2*0.2*1.7*2</f>
        <v>0.13600000000000001</v>
      </c>
      <c r="K383" s="16">
        <f>SUM(I383:J383)</f>
        <v>0.37824999999999998</v>
      </c>
    </row>
    <row r="384" spans="1:13" ht="15.75" customHeight="1" x14ac:dyDescent="0.2">
      <c r="A384" s="114" t="s">
        <v>184</v>
      </c>
      <c r="B384" s="77" t="s">
        <v>414</v>
      </c>
      <c r="C384" s="74"/>
      <c r="D384" s="75"/>
      <c r="E384" s="281"/>
      <c r="F384" s="274"/>
      <c r="G384" s="275"/>
    </row>
    <row r="385" spans="1:13" ht="60" x14ac:dyDescent="0.2">
      <c r="A385" s="115"/>
      <c r="B385" s="116" t="s">
        <v>415</v>
      </c>
      <c r="C385" s="74" t="s">
        <v>14</v>
      </c>
      <c r="D385" s="117">
        <v>1</v>
      </c>
      <c r="E385" s="271"/>
      <c r="F385" s="274"/>
      <c r="G385" s="275">
        <f t="shared" ref="G385" si="88">(D385*E385)+(D385*F385)</f>
        <v>0</v>
      </c>
      <c r="I385" s="16">
        <f>1.7*0.95*0.075*2</f>
        <v>0.24224999999999999</v>
      </c>
      <c r="J385" s="16">
        <f>0.2*0.2*1.7*2</f>
        <v>0.13600000000000001</v>
      </c>
      <c r="K385" s="16">
        <f>SUM(I385:J385)</f>
        <v>0.37824999999999998</v>
      </c>
    </row>
    <row r="386" spans="1:13" x14ac:dyDescent="0.2">
      <c r="A386" s="76" t="s">
        <v>150</v>
      </c>
      <c r="B386" s="77" t="s">
        <v>244</v>
      </c>
      <c r="C386" s="74"/>
      <c r="D386" s="75"/>
      <c r="E386" s="281"/>
      <c r="F386" s="274"/>
      <c r="G386" s="275"/>
    </row>
    <row r="387" spans="1:13" ht="36" x14ac:dyDescent="0.2">
      <c r="A387" s="115" t="s">
        <v>63</v>
      </c>
      <c r="B387" s="73" t="s">
        <v>316</v>
      </c>
      <c r="C387" s="74" t="s">
        <v>14</v>
      </c>
      <c r="D387" s="75">
        <v>1</v>
      </c>
      <c r="E387" s="281"/>
      <c r="F387" s="274"/>
      <c r="G387" s="275">
        <f t="shared" ref="G387:G389" si="89">(D387*E387)+(D387*F387)</f>
        <v>0</v>
      </c>
      <c r="J387" s="26"/>
    </row>
    <row r="388" spans="1:13" ht="36" x14ac:dyDescent="0.2">
      <c r="A388" s="115" t="s">
        <v>64</v>
      </c>
      <c r="B388" s="73" t="s">
        <v>317</v>
      </c>
      <c r="C388" s="74" t="s">
        <v>14</v>
      </c>
      <c r="D388" s="75">
        <v>1</v>
      </c>
      <c r="E388" s="281"/>
      <c r="F388" s="274"/>
      <c r="G388" s="275">
        <f t="shared" si="89"/>
        <v>0</v>
      </c>
    </row>
    <row r="389" spans="1:13" ht="36" x14ac:dyDescent="0.2">
      <c r="A389" s="115" t="s">
        <v>68</v>
      </c>
      <c r="B389" s="73" t="s">
        <v>318</v>
      </c>
      <c r="C389" s="74" t="s">
        <v>14</v>
      </c>
      <c r="D389" s="75">
        <v>1</v>
      </c>
      <c r="E389" s="281"/>
      <c r="F389" s="274"/>
      <c r="G389" s="275">
        <f t="shared" si="89"/>
        <v>0</v>
      </c>
      <c r="I389" s="26"/>
      <c r="J389" s="42"/>
      <c r="K389" s="42"/>
      <c r="L389" s="26"/>
      <c r="M389" s="42"/>
    </row>
    <row r="390" spans="1:13" x14ac:dyDescent="0.2">
      <c r="A390" s="72"/>
      <c r="B390" s="118"/>
      <c r="C390" s="78"/>
      <c r="D390" s="79"/>
      <c r="E390" s="281"/>
      <c r="F390" s="274"/>
      <c r="G390" s="275"/>
      <c r="I390" s="42"/>
      <c r="J390" s="42"/>
      <c r="K390" s="42"/>
      <c r="L390" s="42"/>
      <c r="M390" s="42"/>
    </row>
    <row r="391" spans="1:13" x14ac:dyDescent="0.2">
      <c r="A391" s="72"/>
      <c r="B391" s="118"/>
      <c r="C391" s="78"/>
      <c r="D391" s="79"/>
      <c r="E391" s="281"/>
      <c r="F391" s="274"/>
      <c r="G391" s="275"/>
      <c r="I391" s="42"/>
      <c r="J391" s="42"/>
      <c r="K391" s="42"/>
      <c r="L391" s="42"/>
      <c r="M391" s="42"/>
    </row>
    <row r="392" spans="1:13" x14ac:dyDescent="0.2">
      <c r="A392" s="72"/>
      <c r="B392" s="118"/>
      <c r="C392" s="78"/>
      <c r="D392" s="79"/>
      <c r="E392" s="281"/>
      <c r="F392" s="274"/>
      <c r="G392" s="275"/>
      <c r="I392" s="42"/>
      <c r="J392" s="42"/>
      <c r="K392" s="42"/>
      <c r="L392" s="42"/>
      <c r="M392" s="42"/>
    </row>
    <row r="393" spans="1:13" x14ac:dyDescent="0.2">
      <c r="A393" s="72"/>
      <c r="B393" s="118"/>
      <c r="C393" s="78"/>
      <c r="D393" s="79"/>
      <c r="E393" s="281"/>
      <c r="F393" s="274"/>
      <c r="G393" s="275"/>
      <c r="I393" s="42"/>
      <c r="J393" s="42"/>
      <c r="K393" s="42"/>
      <c r="L393" s="42"/>
      <c r="M393" s="42"/>
    </row>
    <row r="394" spans="1:13" x14ac:dyDescent="0.2">
      <c r="A394" s="72"/>
      <c r="B394" s="118"/>
      <c r="C394" s="78"/>
      <c r="D394" s="79"/>
      <c r="E394" s="281"/>
      <c r="F394" s="274"/>
      <c r="G394" s="275"/>
      <c r="I394" s="42"/>
      <c r="J394" s="42"/>
      <c r="K394" s="42"/>
      <c r="L394" s="42"/>
      <c r="M394" s="42"/>
    </row>
    <row r="395" spans="1:13" x14ac:dyDescent="0.2">
      <c r="A395" s="72"/>
      <c r="B395" s="118"/>
      <c r="C395" s="78"/>
      <c r="D395" s="79"/>
      <c r="E395" s="281"/>
      <c r="F395" s="274"/>
      <c r="G395" s="275"/>
      <c r="I395" s="42"/>
      <c r="J395" s="42"/>
      <c r="K395" s="42"/>
      <c r="L395" s="42"/>
      <c r="M395" s="42"/>
    </row>
    <row r="396" spans="1:13" x14ac:dyDescent="0.2">
      <c r="A396" s="72"/>
      <c r="B396" s="118"/>
      <c r="C396" s="78"/>
      <c r="D396" s="79"/>
      <c r="E396" s="281"/>
      <c r="F396" s="274"/>
      <c r="G396" s="275"/>
      <c r="I396" s="42"/>
      <c r="J396" s="42"/>
      <c r="K396" s="42"/>
      <c r="L396" s="42"/>
      <c r="M396" s="42"/>
    </row>
    <row r="397" spans="1:13" x14ac:dyDescent="0.2">
      <c r="A397" s="72"/>
      <c r="B397" s="118"/>
      <c r="C397" s="78"/>
      <c r="D397" s="79"/>
      <c r="E397" s="281"/>
      <c r="F397" s="274"/>
      <c r="G397" s="275"/>
      <c r="I397" s="42"/>
      <c r="J397" s="42"/>
      <c r="K397" s="42"/>
      <c r="L397" s="42"/>
      <c r="M397" s="42"/>
    </row>
    <row r="398" spans="1:13" x14ac:dyDescent="0.2">
      <c r="A398" s="72"/>
      <c r="B398" s="118"/>
      <c r="C398" s="78"/>
      <c r="D398" s="79"/>
      <c r="E398" s="281"/>
      <c r="F398" s="274"/>
      <c r="G398" s="275"/>
      <c r="I398" s="42"/>
      <c r="J398" s="42"/>
      <c r="K398" s="42"/>
      <c r="L398" s="42"/>
      <c r="M398" s="42"/>
    </row>
    <row r="399" spans="1:13" x14ac:dyDescent="0.2">
      <c r="A399" s="72"/>
      <c r="B399" s="118"/>
      <c r="C399" s="78"/>
      <c r="D399" s="79"/>
      <c r="E399" s="281"/>
      <c r="F399" s="274"/>
      <c r="G399" s="275"/>
      <c r="I399" s="42"/>
      <c r="J399" s="42"/>
      <c r="K399" s="42"/>
      <c r="L399" s="42"/>
      <c r="M399" s="42"/>
    </row>
    <row r="400" spans="1:13" x14ac:dyDescent="0.2">
      <c r="A400" s="72"/>
      <c r="B400" s="118"/>
      <c r="C400" s="78"/>
      <c r="D400" s="79"/>
      <c r="E400" s="281"/>
      <c r="F400" s="274"/>
      <c r="G400" s="275"/>
      <c r="I400" s="42"/>
      <c r="J400" s="42"/>
      <c r="K400" s="42"/>
      <c r="L400" s="42"/>
      <c r="M400" s="42"/>
    </row>
    <row r="401" spans="1:13" x14ac:dyDescent="0.2">
      <c r="A401" s="72"/>
      <c r="B401" s="118"/>
      <c r="C401" s="78"/>
      <c r="D401" s="79"/>
      <c r="E401" s="281"/>
      <c r="F401" s="274"/>
      <c r="G401" s="275"/>
      <c r="I401" s="42"/>
      <c r="J401" s="42"/>
      <c r="K401" s="42"/>
      <c r="L401" s="42"/>
      <c r="M401" s="42"/>
    </row>
    <row r="402" spans="1:13" x14ac:dyDescent="0.2">
      <c r="A402" s="72"/>
      <c r="B402" s="118"/>
      <c r="C402" s="78"/>
      <c r="D402" s="79"/>
      <c r="E402" s="281"/>
      <c r="F402" s="274"/>
      <c r="G402" s="275"/>
      <c r="I402" s="42"/>
      <c r="J402" s="42"/>
      <c r="K402" s="42"/>
      <c r="L402" s="42"/>
      <c r="M402" s="42"/>
    </row>
    <row r="403" spans="1:13" x14ac:dyDescent="0.2">
      <c r="A403" s="72"/>
      <c r="B403" s="118"/>
      <c r="C403" s="78"/>
      <c r="D403" s="79"/>
      <c r="E403" s="281"/>
      <c r="F403" s="274"/>
      <c r="G403" s="275"/>
      <c r="I403" s="42"/>
      <c r="J403" s="42"/>
      <c r="K403" s="42"/>
      <c r="L403" s="42"/>
      <c r="M403" s="42"/>
    </row>
    <row r="404" spans="1:13" ht="12.75" thickBot="1" x14ac:dyDescent="0.25">
      <c r="A404" s="72"/>
      <c r="B404" s="118"/>
      <c r="C404" s="78"/>
      <c r="D404" s="79"/>
      <c r="E404" s="281"/>
      <c r="F404" s="274"/>
      <c r="G404" s="275"/>
      <c r="I404" s="42"/>
      <c r="J404" s="42"/>
      <c r="K404" s="42"/>
      <c r="L404" s="42"/>
      <c r="M404" s="42"/>
    </row>
    <row r="405" spans="1:13" x14ac:dyDescent="0.2">
      <c r="A405" s="226"/>
      <c r="B405" s="227" t="s">
        <v>145</v>
      </c>
      <c r="C405" s="234"/>
      <c r="D405" s="229"/>
      <c r="E405" s="352"/>
      <c r="F405" s="353"/>
      <c r="G405" s="354"/>
    </row>
    <row r="406" spans="1:13" ht="12.75" thickBot="1" x14ac:dyDescent="0.25">
      <c r="A406" s="230"/>
      <c r="B406" s="231" t="s">
        <v>170</v>
      </c>
      <c r="C406" s="235"/>
      <c r="D406" s="233"/>
      <c r="E406" s="349"/>
      <c r="F406" s="355"/>
      <c r="G406" s="356">
        <f>SUM(G95:G389)</f>
        <v>0</v>
      </c>
    </row>
    <row r="407" spans="1:13" x14ac:dyDescent="0.2">
      <c r="A407" s="56"/>
      <c r="B407" s="155"/>
      <c r="C407" s="58"/>
      <c r="D407" s="59"/>
      <c r="E407" s="271"/>
      <c r="F407" s="274"/>
      <c r="G407" s="293"/>
    </row>
    <row r="408" spans="1:13" x14ac:dyDescent="0.2">
      <c r="A408" s="56"/>
      <c r="B408" s="120" t="s">
        <v>102</v>
      </c>
      <c r="C408" s="58"/>
      <c r="D408" s="59"/>
      <c r="E408" s="271"/>
      <c r="F408" s="274"/>
      <c r="G408" s="275"/>
    </row>
    <row r="409" spans="1:13" x14ac:dyDescent="0.2">
      <c r="A409" s="56"/>
      <c r="B409" s="82" t="s">
        <v>103</v>
      </c>
      <c r="C409" s="58"/>
      <c r="D409" s="59"/>
      <c r="E409" s="271"/>
      <c r="F409" s="274"/>
      <c r="G409" s="275"/>
    </row>
    <row r="410" spans="1:13" x14ac:dyDescent="0.2">
      <c r="A410" s="121">
        <v>4.0999999999999996</v>
      </c>
      <c r="B410" s="150" t="s">
        <v>40</v>
      </c>
      <c r="C410" s="58"/>
      <c r="D410" s="59"/>
      <c r="E410" s="271"/>
      <c r="F410" s="274"/>
      <c r="G410" s="275"/>
    </row>
    <row r="411" spans="1:13" ht="60" x14ac:dyDescent="0.2">
      <c r="A411" s="56"/>
      <c r="B411" s="104" t="s">
        <v>200</v>
      </c>
      <c r="C411" s="104"/>
      <c r="D411" s="104"/>
      <c r="E411" s="298"/>
      <c r="F411" s="298"/>
      <c r="G411" s="299"/>
    </row>
    <row r="412" spans="1:13" ht="72" x14ac:dyDescent="0.2">
      <c r="A412" s="56"/>
      <c r="B412" s="104" t="s">
        <v>199</v>
      </c>
      <c r="C412" s="122"/>
      <c r="D412" s="122"/>
      <c r="E412" s="300"/>
      <c r="F412" s="300"/>
      <c r="G412" s="301"/>
    </row>
    <row r="413" spans="1:13" ht="36" x14ac:dyDescent="0.2">
      <c r="A413" s="56"/>
      <c r="B413" s="104" t="s">
        <v>250</v>
      </c>
      <c r="C413" s="122"/>
      <c r="D413" s="122"/>
      <c r="E413" s="300"/>
      <c r="F413" s="300"/>
      <c r="G413" s="301"/>
    </row>
    <row r="414" spans="1:13" x14ac:dyDescent="0.2">
      <c r="A414" s="76" t="s">
        <v>129</v>
      </c>
      <c r="B414" s="151" t="s">
        <v>132</v>
      </c>
      <c r="C414" s="74"/>
      <c r="D414" s="75"/>
      <c r="E414" s="281"/>
      <c r="F414" s="274"/>
      <c r="G414" s="275"/>
    </row>
    <row r="415" spans="1:13" x14ac:dyDescent="0.2">
      <c r="A415" s="68" t="s">
        <v>146</v>
      </c>
      <c r="B415" s="152" t="s">
        <v>131</v>
      </c>
      <c r="C415" s="70"/>
      <c r="D415" s="71"/>
      <c r="E415" s="291"/>
      <c r="F415" s="292"/>
      <c r="G415" s="293"/>
      <c r="I415" s="26"/>
    </row>
    <row r="416" spans="1:13" x14ac:dyDescent="0.2">
      <c r="A416" s="76"/>
      <c r="B416" s="153" t="s">
        <v>368</v>
      </c>
      <c r="C416" s="78"/>
      <c r="D416" s="79"/>
      <c r="E416" s="291"/>
      <c r="F416" s="292"/>
      <c r="G416" s="275"/>
    </row>
    <row r="417" spans="1:13" ht="24" x14ac:dyDescent="0.2">
      <c r="A417" s="72"/>
      <c r="B417" s="73" t="s">
        <v>369</v>
      </c>
      <c r="C417" s="74" t="s">
        <v>137</v>
      </c>
      <c r="D417" s="75">
        <v>213.12000000000003</v>
      </c>
      <c r="E417" s="281"/>
      <c r="F417" s="274"/>
      <c r="G417" s="275">
        <f t="shared" ref="G417" si="90">(D417*E417)+(D417*F417)</f>
        <v>0</v>
      </c>
      <c r="I417" s="42" t="e">
        <f>#REF!+#REF!</f>
        <v>#REF!</v>
      </c>
      <c r="J417" s="42" t="e">
        <f>I417*0.45</f>
        <v>#REF!</v>
      </c>
    </row>
    <row r="418" spans="1:13" x14ac:dyDescent="0.2">
      <c r="A418" s="68" t="s">
        <v>147</v>
      </c>
      <c r="B418" s="152" t="s">
        <v>65</v>
      </c>
      <c r="C418" s="70"/>
      <c r="D418" s="71"/>
      <c r="E418" s="291"/>
      <c r="F418" s="292"/>
      <c r="G418" s="293"/>
    </row>
    <row r="419" spans="1:13" x14ac:dyDescent="0.2">
      <c r="A419" s="76" t="s">
        <v>161</v>
      </c>
      <c r="B419" s="153" t="s">
        <v>276</v>
      </c>
      <c r="C419" s="78"/>
      <c r="D419" s="79"/>
      <c r="E419" s="291"/>
      <c r="F419" s="292"/>
      <c r="G419" s="275"/>
    </row>
    <row r="420" spans="1:13" ht="24" x14ac:dyDescent="0.2">
      <c r="A420" s="115" t="s">
        <v>182</v>
      </c>
      <c r="B420" s="73" t="s">
        <v>370</v>
      </c>
      <c r="C420" s="74" t="s">
        <v>137</v>
      </c>
      <c r="D420" s="75">
        <v>149.66000000000003</v>
      </c>
      <c r="E420" s="281"/>
      <c r="F420" s="274"/>
      <c r="G420" s="275">
        <f t="shared" ref="G420:G422" si="91">(D420*E420)+(D420*F420)</f>
        <v>0</v>
      </c>
      <c r="I420" s="16">
        <f>3*19+4.02*2+4.08*2</f>
        <v>73.199999999999989</v>
      </c>
      <c r="J420" s="16">
        <f>I420*3.275</f>
        <v>239.72999999999996</v>
      </c>
      <c r="K420" s="42">
        <v>81</v>
      </c>
      <c r="L420" s="16">
        <f>J420-K420</f>
        <v>158.72999999999996</v>
      </c>
      <c r="M420" s="16">
        <f>L420*103%</f>
        <v>163.49189999999996</v>
      </c>
    </row>
    <row r="421" spans="1:13" x14ac:dyDescent="0.2">
      <c r="A421" s="76" t="s">
        <v>162</v>
      </c>
      <c r="B421" s="153" t="s">
        <v>275</v>
      </c>
      <c r="C421" s="78"/>
      <c r="D421" s="79"/>
      <c r="E421" s="291"/>
      <c r="F421" s="292"/>
      <c r="G421" s="275"/>
    </row>
    <row r="422" spans="1:13" ht="24" x14ac:dyDescent="0.2">
      <c r="A422" s="115" t="s">
        <v>182</v>
      </c>
      <c r="B422" s="73" t="s">
        <v>370</v>
      </c>
      <c r="C422" s="74" t="s">
        <v>137</v>
      </c>
      <c r="D422" s="75">
        <v>165.75</v>
      </c>
      <c r="E422" s="281"/>
      <c r="F422" s="274"/>
      <c r="G422" s="275">
        <f t="shared" si="91"/>
        <v>0</v>
      </c>
      <c r="I422" s="16">
        <f>4.08*5+4.02*5</f>
        <v>40.5</v>
      </c>
      <c r="J422" s="16">
        <f>I422*3.05</f>
        <v>123.52499999999999</v>
      </c>
    </row>
    <row r="423" spans="1:13" x14ac:dyDescent="0.2">
      <c r="A423" s="72"/>
      <c r="B423" s="154"/>
      <c r="C423" s="74"/>
      <c r="D423" s="75"/>
      <c r="E423" s="281"/>
      <c r="F423" s="274"/>
      <c r="G423" s="275"/>
    </row>
    <row r="424" spans="1:13" x14ac:dyDescent="0.2">
      <c r="A424" s="76" t="s">
        <v>173</v>
      </c>
      <c r="B424" s="153" t="s">
        <v>275</v>
      </c>
      <c r="C424" s="78"/>
      <c r="D424" s="79"/>
      <c r="E424" s="291"/>
      <c r="F424" s="292"/>
      <c r="G424" s="275"/>
    </row>
    <row r="425" spans="1:13" ht="24" x14ac:dyDescent="0.2">
      <c r="A425" s="115" t="s">
        <v>182</v>
      </c>
      <c r="B425" s="73" t="s">
        <v>416</v>
      </c>
      <c r="C425" s="74" t="s">
        <v>137</v>
      </c>
      <c r="D425" s="75">
        <v>39</v>
      </c>
      <c r="E425" s="281"/>
      <c r="F425" s="274"/>
      <c r="G425" s="275">
        <f t="shared" ref="G425" si="92">(D425*E425)+(D425*F425)</f>
        <v>0</v>
      </c>
      <c r="I425" s="16">
        <f>4.08*5+4.02*5</f>
        <v>40.5</v>
      </c>
      <c r="J425" s="16">
        <f>I425*3.05</f>
        <v>123.52499999999999</v>
      </c>
    </row>
    <row r="426" spans="1:13" x14ac:dyDescent="0.2">
      <c r="A426" s="72"/>
      <c r="B426" s="154"/>
      <c r="C426" s="74"/>
      <c r="D426" s="75"/>
      <c r="E426" s="281"/>
      <c r="F426" s="274"/>
      <c r="G426" s="275"/>
    </row>
    <row r="427" spans="1:13" x14ac:dyDescent="0.2">
      <c r="A427" s="68" t="s">
        <v>55</v>
      </c>
      <c r="B427" s="152" t="s">
        <v>67</v>
      </c>
      <c r="C427" s="70"/>
      <c r="D427" s="71"/>
      <c r="E427" s="291"/>
      <c r="F427" s="292"/>
      <c r="G427" s="293"/>
    </row>
    <row r="428" spans="1:13" x14ac:dyDescent="0.2">
      <c r="A428" s="76" t="s">
        <v>161</v>
      </c>
      <c r="B428" s="153" t="s">
        <v>276</v>
      </c>
      <c r="C428" s="78"/>
      <c r="D428" s="79"/>
      <c r="E428" s="291"/>
      <c r="F428" s="292"/>
      <c r="G428" s="275"/>
    </row>
    <row r="429" spans="1:13" ht="24" x14ac:dyDescent="0.2">
      <c r="A429" s="115" t="s">
        <v>182</v>
      </c>
      <c r="B429" s="73" t="s">
        <v>370</v>
      </c>
      <c r="C429" s="74" t="s">
        <v>137</v>
      </c>
      <c r="D429" s="75">
        <v>149.66000000000003</v>
      </c>
      <c r="E429" s="281"/>
      <c r="F429" s="274"/>
      <c r="G429" s="275">
        <f t="shared" ref="G429:G431" si="93">(D429*E429)+(D429*F429)</f>
        <v>0</v>
      </c>
      <c r="I429" s="16">
        <f>3*19+4.02*2+4.08*2</f>
        <v>73.199999999999989</v>
      </c>
      <c r="J429" s="16">
        <f>I429*3.1</f>
        <v>226.91999999999996</v>
      </c>
      <c r="K429" s="42">
        <v>85</v>
      </c>
      <c r="L429" s="16">
        <f>J429-K429</f>
        <v>141.91999999999996</v>
      </c>
      <c r="M429" s="16">
        <f>L429*103%</f>
        <v>146.17759999999996</v>
      </c>
    </row>
    <row r="430" spans="1:13" x14ac:dyDescent="0.2">
      <c r="A430" s="76" t="s">
        <v>162</v>
      </c>
      <c r="B430" s="153" t="s">
        <v>275</v>
      </c>
      <c r="C430" s="78"/>
      <c r="D430" s="79"/>
      <c r="E430" s="291"/>
      <c r="F430" s="292"/>
      <c r="G430" s="275"/>
    </row>
    <row r="431" spans="1:13" ht="24" x14ac:dyDescent="0.2">
      <c r="A431" s="115" t="s">
        <v>182</v>
      </c>
      <c r="B431" s="73" t="s">
        <v>370</v>
      </c>
      <c r="C431" s="74" t="s">
        <v>137</v>
      </c>
      <c r="D431" s="75">
        <v>162.28</v>
      </c>
      <c r="E431" s="281"/>
      <c r="F431" s="274"/>
      <c r="G431" s="275">
        <f t="shared" si="93"/>
        <v>0</v>
      </c>
      <c r="I431" s="16">
        <f>4.08*5+4.02*5</f>
        <v>40.5</v>
      </c>
      <c r="J431" s="16">
        <f>I431*3.1</f>
        <v>125.55</v>
      </c>
    </row>
    <row r="432" spans="1:13" x14ac:dyDescent="0.2">
      <c r="A432" s="72"/>
      <c r="B432" s="154"/>
      <c r="C432" s="74"/>
      <c r="D432" s="75"/>
      <c r="E432" s="281"/>
      <c r="F432" s="274"/>
      <c r="G432" s="275"/>
      <c r="K432" s="26"/>
      <c r="L432" s="26"/>
    </row>
    <row r="433" spans="1:13" x14ac:dyDescent="0.2">
      <c r="A433" s="76" t="s">
        <v>173</v>
      </c>
      <c r="B433" s="153" t="s">
        <v>275</v>
      </c>
      <c r="C433" s="78"/>
      <c r="D433" s="79"/>
      <c r="E433" s="291"/>
      <c r="F433" s="292"/>
      <c r="G433" s="275"/>
    </row>
    <row r="434" spans="1:13" ht="24" x14ac:dyDescent="0.2">
      <c r="A434" s="115" t="s">
        <v>182</v>
      </c>
      <c r="B434" s="73" t="s">
        <v>416</v>
      </c>
      <c r="C434" s="74" t="s">
        <v>137</v>
      </c>
      <c r="D434" s="75">
        <v>39</v>
      </c>
      <c r="E434" s="281"/>
      <c r="F434" s="274"/>
      <c r="G434" s="275">
        <f t="shared" ref="G434" si="94">(D434*E434)+(D434*F434)</f>
        <v>0</v>
      </c>
      <c r="I434" s="16">
        <f>4.08*5+4.02*5</f>
        <v>40.5</v>
      </c>
      <c r="J434" s="16">
        <f>I434*3.1</f>
        <v>125.55</v>
      </c>
    </row>
    <row r="435" spans="1:13" x14ac:dyDescent="0.2">
      <c r="A435" s="72"/>
      <c r="B435" s="154"/>
      <c r="C435" s="74"/>
      <c r="D435" s="75"/>
      <c r="E435" s="281"/>
      <c r="F435" s="274"/>
      <c r="G435" s="275"/>
      <c r="K435" s="26"/>
      <c r="L435" s="26"/>
    </row>
    <row r="436" spans="1:13" x14ac:dyDescent="0.2">
      <c r="A436" s="68" t="s">
        <v>148</v>
      </c>
      <c r="B436" s="152" t="s">
        <v>363</v>
      </c>
      <c r="C436" s="70"/>
      <c r="D436" s="71"/>
      <c r="E436" s="291"/>
      <c r="F436" s="292"/>
      <c r="G436" s="293"/>
    </row>
    <row r="437" spans="1:13" x14ac:dyDescent="0.2">
      <c r="A437" s="76" t="s">
        <v>161</v>
      </c>
      <c r="B437" s="153" t="s">
        <v>276</v>
      </c>
      <c r="C437" s="78"/>
      <c r="D437" s="79"/>
      <c r="E437" s="291"/>
      <c r="F437" s="292"/>
      <c r="G437" s="275"/>
    </row>
    <row r="438" spans="1:13" ht="24" x14ac:dyDescent="0.2">
      <c r="A438" s="115" t="s">
        <v>182</v>
      </c>
      <c r="B438" s="73" t="s">
        <v>419</v>
      </c>
      <c r="C438" s="74" t="s">
        <v>137</v>
      </c>
      <c r="D438" s="75">
        <v>239.66000000000003</v>
      </c>
      <c r="E438" s="281"/>
      <c r="F438" s="274"/>
      <c r="G438" s="275">
        <f t="shared" ref="G438:G440" si="95">(D438*E438)+(D438*F438)</f>
        <v>0</v>
      </c>
      <c r="I438" s="16">
        <f>3*19+4.02*2+4.08*2</f>
        <v>73.199999999999989</v>
      </c>
      <c r="J438" s="16">
        <f>I438*3.1</f>
        <v>226.91999999999996</v>
      </c>
      <c r="K438" s="42">
        <v>85</v>
      </c>
      <c r="L438" s="16">
        <f>J438-K438</f>
        <v>141.91999999999996</v>
      </c>
      <c r="M438" s="16">
        <f>L438*103%</f>
        <v>146.17759999999996</v>
      </c>
    </row>
    <row r="439" spans="1:13" x14ac:dyDescent="0.2">
      <c r="A439" s="76" t="s">
        <v>162</v>
      </c>
      <c r="B439" s="153" t="s">
        <v>275</v>
      </c>
      <c r="C439" s="78"/>
      <c r="D439" s="79"/>
      <c r="E439" s="291"/>
      <c r="F439" s="292"/>
      <c r="G439" s="275"/>
    </row>
    <row r="440" spans="1:13" ht="24" x14ac:dyDescent="0.2">
      <c r="A440" s="115" t="s">
        <v>182</v>
      </c>
      <c r="B440" s="73" t="s">
        <v>419</v>
      </c>
      <c r="C440" s="74" t="s">
        <v>137</v>
      </c>
      <c r="D440" s="75">
        <v>267.27999999999997</v>
      </c>
      <c r="E440" s="281"/>
      <c r="F440" s="274"/>
      <c r="G440" s="275">
        <f t="shared" si="95"/>
        <v>0</v>
      </c>
      <c r="I440" s="16">
        <f>4.08*5+4.02*5</f>
        <v>40.5</v>
      </c>
      <c r="J440" s="16">
        <f>I440*3.1</f>
        <v>125.55</v>
      </c>
    </row>
    <row r="441" spans="1:13" x14ac:dyDescent="0.2">
      <c r="A441" s="72"/>
      <c r="B441" s="154"/>
      <c r="C441" s="74"/>
      <c r="D441" s="75"/>
      <c r="E441" s="281"/>
      <c r="F441" s="274"/>
      <c r="G441" s="275"/>
      <c r="K441" s="26"/>
      <c r="L441" s="26"/>
    </row>
    <row r="442" spans="1:13" x14ac:dyDescent="0.2">
      <c r="A442" s="76" t="s">
        <v>173</v>
      </c>
      <c r="B442" s="153" t="s">
        <v>275</v>
      </c>
      <c r="C442" s="78"/>
      <c r="D442" s="79"/>
      <c r="E442" s="291"/>
      <c r="F442" s="292"/>
      <c r="G442" s="275"/>
    </row>
    <row r="443" spans="1:13" ht="24" x14ac:dyDescent="0.2">
      <c r="A443" s="115" t="s">
        <v>182</v>
      </c>
      <c r="B443" s="73" t="s">
        <v>418</v>
      </c>
      <c r="C443" s="74" t="s">
        <v>137</v>
      </c>
      <c r="D443" s="75">
        <v>39</v>
      </c>
      <c r="E443" s="281"/>
      <c r="F443" s="274"/>
      <c r="G443" s="275">
        <f t="shared" ref="G443" si="96">(D443*E443)+(D443*F443)</f>
        <v>0</v>
      </c>
      <c r="I443" s="16">
        <f>4.08*5+4.02*5</f>
        <v>40.5</v>
      </c>
      <c r="J443" s="16">
        <f>I443*3.1</f>
        <v>125.55</v>
      </c>
    </row>
    <row r="444" spans="1:13" x14ac:dyDescent="0.2">
      <c r="A444" s="72"/>
      <c r="B444" s="154"/>
      <c r="C444" s="74"/>
      <c r="D444" s="75"/>
      <c r="E444" s="281"/>
      <c r="F444" s="274"/>
      <c r="G444" s="275"/>
      <c r="K444" s="26"/>
      <c r="L444" s="26"/>
    </row>
    <row r="445" spans="1:13" x14ac:dyDescent="0.2">
      <c r="A445" s="68" t="s">
        <v>149</v>
      </c>
      <c r="B445" s="152" t="s">
        <v>409</v>
      </c>
      <c r="C445" s="70"/>
      <c r="D445" s="71"/>
      <c r="E445" s="291"/>
      <c r="F445" s="292"/>
      <c r="G445" s="293"/>
    </row>
    <row r="446" spans="1:13" x14ac:dyDescent="0.2">
      <c r="A446" s="76" t="s">
        <v>161</v>
      </c>
      <c r="B446" s="153" t="s">
        <v>276</v>
      </c>
      <c r="C446" s="78"/>
      <c r="D446" s="79"/>
      <c r="E446" s="291"/>
      <c r="F446" s="292"/>
      <c r="G446" s="275"/>
    </row>
    <row r="447" spans="1:13" ht="24" x14ac:dyDescent="0.2">
      <c r="A447" s="115" t="s">
        <v>182</v>
      </c>
      <c r="B447" s="73" t="s">
        <v>419</v>
      </c>
      <c r="C447" s="74" t="s">
        <v>137</v>
      </c>
      <c r="D447" s="75">
        <v>239.66000000000003</v>
      </c>
      <c r="E447" s="281"/>
      <c r="F447" s="274"/>
      <c r="G447" s="275">
        <f t="shared" ref="G447:G449" si="97">(D447*E447)+(D447*F447)</f>
        <v>0</v>
      </c>
      <c r="I447" s="16">
        <f>3*19+4.02*2+4.08*2</f>
        <v>73.199999999999989</v>
      </c>
      <c r="J447" s="16">
        <f>I447*3.1</f>
        <v>226.91999999999996</v>
      </c>
      <c r="K447" s="42">
        <v>85</v>
      </c>
      <c r="L447" s="16">
        <f>J447-K447</f>
        <v>141.91999999999996</v>
      </c>
      <c r="M447" s="16">
        <f>L447*103%</f>
        <v>146.17759999999996</v>
      </c>
    </row>
    <row r="448" spans="1:13" x14ac:dyDescent="0.2">
      <c r="A448" s="76" t="s">
        <v>162</v>
      </c>
      <c r="B448" s="153" t="s">
        <v>275</v>
      </c>
      <c r="C448" s="78"/>
      <c r="D448" s="79"/>
      <c r="E448" s="291"/>
      <c r="F448" s="292"/>
      <c r="G448" s="275"/>
    </row>
    <row r="449" spans="1:12" ht="24" x14ac:dyDescent="0.2">
      <c r="A449" s="115" t="s">
        <v>182</v>
      </c>
      <c r="B449" s="73" t="s">
        <v>419</v>
      </c>
      <c r="C449" s="74" t="s">
        <v>137</v>
      </c>
      <c r="D449" s="75">
        <v>267.27999999999997</v>
      </c>
      <c r="E449" s="281"/>
      <c r="F449" s="274"/>
      <c r="G449" s="275">
        <f t="shared" si="97"/>
        <v>0</v>
      </c>
      <c r="I449" s="16">
        <f>4.08*5+4.02*5</f>
        <v>40.5</v>
      </c>
      <c r="J449" s="16">
        <f>I449*3.1</f>
        <v>125.55</v>
      </c>
    </row>
    <row r="450" spans="1:12" x14ac:dyDescent="0.2">
      <c r="A450" s="72"/>
      <c r="B450" s="154"/>
      <c r="C450" s="74"/>
      <c r="D450" s="75"/>
      <c r="E450" s="281"/>
      <c r="F450" s="274"/>
      <c r="G450" s="275"/>
      <c r="K450" s="26"/>
      <c r="L450" s="26"/>
    </row>
    <row r="451" spans="1:12" x14ac:dyDescent="0.2">
      <c r="A451" s="76" t="s">
        <v>173</v>
      </c>
      <c r="B451" s="153" t="s">
        <v>275</v>
      </c>
      <c r="C451" s="78"/>
      <c r="D451" s="79"/>
      <c r="E451" s="291"/>
      <c r="F451" s="292"/>
      <c r="G451" s="275"/>
    </row>
    <row r="452" spans="1:12" ht="24" x14ac:dyDescent="0.2">
      <c r="A452" s="115" t="s">
        <v>182</v>
      </c>
      <c r="B452" s="73" t="s">
        <v>418</v>
      </c>
      <c r="C452" s="74" t="s">
        <v>137</v>
      </c>
      <c r="D452" s="75">
        <v>39</v>
      </c>
      <c r="E452" s="281"/>
      <c r="F452" s="274"/>
      <c r="G452" s="275">
        <f t="shared" ref="G452" si="98">(D452*E452)+(D452*F452)</f>
        <v>0</v>
      </c>
      <c r="I452" s="16">
        <f>4.08*5+4.02*5</f>
        <v>40.5</v>
      </c>
      <c r="J452" s="16">
        <f>I452*3.1</f>
        <v>125.55</v>
      </c>
    </row>
    <row r="453" spans="1:12" x14ac:dyDescent="0.2">
      <c r="A453" s="72"/>
      <c r="B453" s="154"/>
      <c r="C453" s="74"/>
      <c r="D453" s="75"/>
      <c r="E453" s="281"/>
      <c r="F453" s="274"/>
      <c r="G453" s="275"/>
      <c r="K453" s="26"/>
      <c r="L453" s="26"/>
    </row>
    <row r="454" spans="1:12" x14ac:dyDescent="0.2">
      <c r="A454" s="68" t="s">
        <v>149</v>
      </c>
      <c r="B454" s="152" t="s">
        <v>277</v>
      </c>
      <c r="C454" s="70"/>
      <c r="D454" s="71"/>
      <c r="E454" s="291"/>
      <c r="F454" s="292"/>
      <c r="G454" s="293"/>
      <c r="K454" s="26"/>
    </row>
    <row r="455" spans="1:12" x14ac:dyDescent="0.2">
      <c r="A455" s="76" t="s">
        <v>161</v>
      </c>
      <c r="B455" s="153" t="s">
        <v>278</v>
      </c>
      <c r="C455" s="78"/>
      <c r="D455" s="79"/>
      <c r="E455" s="291"/>
      <c r="F455" s="292"/>
      <c r="G455" s="275"/>
      <c r="K455" s="26"/>
    </row>
    <row r="456" spans="1:12" ht="13.5" x14ac:dyDescent="0.2">
      <c r="A456" s="72"/>
      <c r="B456" s="73" t="s">
        <v>274</v>
      </c>
      <c r="C456" s="74" t="s">
        <v>137</v>
      </c>
      <c r="D456" s="75">
        <v>12</v>
      </c>
      <c r="E456" s="281"/>
      <c r="F456" s="274"/>
      <c r="G456" s="275">
        <f t="shared" ref="G456" si="99">(D456*E456)+(D456*F456)</f>
        <v>0</v>
      </c>
      <c r="I456" s="16">
        <f>(5.487+1.95)*2</f>
        <v>14.874000000000001</v>
      </c>
      <c r="K456" s="26"/>
      <c r="L456" s="26"/>
    </row>
    <row r="457" spans="1:12" x14ac:dyDescent="0.2">
      <c r="A457" s="72"/>
      <c r="B457" s="154"/>
      <c r="C457" s="74"/>
      <c r="D457" s="75"/>
      <c r="E457" s="281"/>
      <c r="F457" s="274"/>
      <c r="G457" s="275"/>
      <c r="K457" s="26"/>
    </row>
    <row r="458" spans="1:12" ht="13.5" customHeight="1" thickBot="1" x14ac:dyDescent="0.25">
      <c r="A458" s="236"/>
      <c r="B458" s="240"/>
      <c r="C458" s="206"/>
      <c r="D458" s="238"/>
      <c r="E458" s="281"/>
      <c r="F458" s="274"/>
      <c r="G458" s="275"/>
      <c r="K458" s="26"/>
    </row>
    <row r="459" spans="1:12" ht="13.5" customHeight="1" x14ac:dyDescent="0.2">
      <c r="A459" s="72"/>
      <c r="B459" s="154"/>
      <c r="C459" s="74"/>
      <c r="D459" s="75"/>
      <c r="E459" s="281"/>
      <c r="F459" s="274"/>
      <c r="G459" s="275"/>
      <c r="K459" s="26"/>
    </row>
    <row r="460" spans="1:12" s="322" customFormat="1" ht="12" customHeight="1" x14ac:dyDescent="0.2">
      <c r="A460" s="326">
        <v>4.3</v>
      </c>
      <c r="B460" s="333" t="s">
        <v>104</v>
      </c>
      <c r="C460" s="331"/>
      <c r="D460" s="294"/>
      <c r="E460" s="271"/>
      <c r="F460" s="294"/>
      <c r="G460" s="302"/>
      <c r="K460" s="334"/>
    </row>
    <row r="461" spans="1:12" ht="105.75" customHeight="1" x14ac:dyDescent="0.2">
      <c r="A461" s="56"/>
      <c r="B461" s="104" t="s">
        <v>195</v>
      </c>
      <c r="C461" s="104"/>
      <c r="D461" s="104"/>
      <c r="E461" s="298"/>
      <c r="F461" s="298"/>
      <c r="G461" s="301"/>
    </row>
    <row r="462" spans="1:12" ht="24.75" customHeight="1" x14ac:dyDescent="0.2">
      <c r="A462" s="56"/>
      <c r="B462" s="104" t="s">
        <v>154</v>
      </c>
      <c r="C462" s="104"/>
      <c r="D462" s="104"/>
      <c r="E462" s="298"/>
      <c r="F462" s="300"/>
      <c r="G462" s="301"/>
    </row>
    <row r="463" spans="1:12" ht="52.5" customHeight="1" x14ac:dyDescent="0.2">
      <c r="A463" s="56"/>
      <c r="B463" s="104" t="s">
        <v>249</v>
      </c>
      <c r="C463" s="104"/>
      <c r="D463" s="104"/>
      <c r="E463" s="298"/>
      <c r="F463" s="300"/>
      <c r="G463" s="301"/>
    </row>
    <row r="464" spans="1:12" x14ac:dyDescent="0.2">
      <c r="A464" s="68" t="s">
        <v>146</v>
      </c>
      <c r="B464" s="152" t="s">
        <v>131</v>
      </c>
      <c r="C464" s="70"/>
      <c r="D464" s="71"/>
      <c r="E464" s="291"/>
      <c r="F464" s="292"/>
      <c r="G464" s="293"/>
    </row>
    <row r="465" spans="1:17" ht="12" customHeight="1" x14ac:dyDescent="0.2">
      <c r="A465" s="72" t="s">
        <v>161</v>
      </c>
      <c r="B465" s="151" t="s">
        <v>417</v>
      </c>
      <c r="C465" s="78"/>
      <c r="D465" s="79"/>
      <c r="E465" s="291"/>
      <c r="F465" s="292"/>
      <c r="G465" s="275"/>
    </row>
    <row r="466" spans="1:17" ht="12.75" customHeight="1" x14ac:dyDescent="0.2">
      <c r="A466" s="72"/>
      <c r="B466" s="154" t="s">
        <v>241</v>
      </c>
      <c r="C466" s="74" t="s">
        <v>137</v>
      </c>
      <c r="D466" s="75">
        <v>426.24000000000007</v>
      </c>
      <c r="E466" s="281"/>
      <c r="F466" s="274"/>
      <c r="G466" s="275">
        <f t="shared" ref="G466" si="100">(D466*E466)+(D466*F466)</f>
        <v>0</v>
      </c>
    </row>
    <row r="467" spans="1:17" ht="12.75" customHeight="1" x14ac:dyDescent="0.2">
      <c r="A467" s="68" t="s">
        <v>147</v>
      </c>
      <c r="B467" s="152" t="s">
        <v>65</v>
      </c>
      <c r="C467" s="70"/>
      <c r="D467" s="71"/>
      <c r="E467" s="291"/>
      <c r="F467" s="292"/>
      <c r="G467" s="293"/>
    </row>
    <row r="468" spans="1:17" ht="12.75" customHeight="1" x14ac:dyDescent="0.2">
      <c r="A468" s="76" t="s">
        <v>161</v>
      </c>
      <c r="B468" s="153" t="s">
        <v>238</v>
      </c>
      <c r="C468" s="78"/>
      <c r="D468" s="79"/>
      <c r="E468" s="291"/>
      <c r="F468" s="303"/>
      <c r="G468" s="275"/>
      <c r="H468" s="43"/>
      <c r="I468" s="16">
        <f>32.2*2+8.7*2</f>
        <v>81.800000000000011</v>
      </c>
      <c r="J468" s="16">
        <f>I468*3.875</f>
        <v>316.97500000000002</v>
      </c>
      <c r="K468" s="42">
        <v>81</v>
      </c>
      <c r="L468" s="42">
        <f>J468-K468</f>
        <v>235.97500000000002</v>
      </c>
      <c r="M468" s="42">
        <f>L468*103%</f>
        <v>243.05425000000002</v>
      </c>
      <c r="N468" s="16">
        <f>1.5*3.875</f>
        <v>5.8125</v>
      </c>
      <c r="O468" s="42">
        <f>M468-N468</f>
        <v>237.24175000000002</v>
      </c>
      <c r="P468" s="16">
        <f>33.2+4</f>
        <v>37.200000000000003</v>
      </c>
      <c r="Q468" s="16">
        <f>P468*0.65</f>
        <v>24.180000000000003</v>
      </c>
    </row>
    <row r="469" spans="1:17" ht="12.75" customHeight="1" x14ac:dyDescent="0.2">
      <c r="A469" s="72"/>
      <c r="B469" s="154" t="s">
        <v>133</v>
      </c>
      <c r="C469" s="74" t="s">
        <v>137</v>
      </c>
      <c r="D469" s="75">
        <v>149.66000000000003</v>
      </c>
      <c r="E469" s="281"/>
      <c r="F469" s="274"/>
      <c r="G469" s="275">
        <f t="shared" ref="G469" si="101">(D469*E469)+(D469*F469)</f>
        <v>0</v>
      </c>
      <c r="I469" s="16">
        <f>0.45*1.725*9</f>
        <v>6.986250000000001</v>
      </c>
      <c r="P469" s="16">
        <f>0.8*11*3.05</f>
        <v>26.84</v>
      </c>
      <c r="Q469" s="42">
        <f>Q468+O468+P469</f>
        <v>288.26175000000001</v>
      </c>
    </row>
    <row r="470" spans="1:17" ht="12.75" customHeight="1" x14ac:dyDescent="0.2">
      <c r="A470" s="72"/>
      <c r="B470" s="154"/>
      <c r="C470" s="74"/>
      <c r="D470" s="75"/>
      <c r="E470" s="281"/>
      <c r="F470" s="274"/>
      <c r="G470" s="275"/>
    </row>
    <row r="471" spans="1:17" ht="12.75" customHeight="1" x14ac:dyDescent="0.2">
      <c r="A471" s="114" t="s">
        <v>162</v>
      </c>
      <c r="B471" s="118" t="s">
        <v>239</v>
      </c>
      <c r="C471" s="78"/>
      <c r="D471" s="79"/>
      <c r="E471" s="291"/>
      <c r="F471" s="292"/>
      <c r="G471" s="275"/>
      <c r="I471" s="16">
        <f>8.3*5</f>
        <v>41.5</v>
      </c>
      <c r="J471" s="16">
        <f>I471*3.35*2</f>
        <v>278.05</v>
      </c>
      <c r="L471" s="16">
        <f>6.225*8+3*3+8.5*2</f>
        <v>75.8</v>
      </c>
      <c r="M471" s="16">
        <f>L471*3.35</f>
        <v>253.93</v>
      </c>
      <c r="N471" s="42">
        <f>M471-K468</f>
        <v>172.93</v>
      </c>
    </row>
    <row r="472" spans="1:17" ht="25.5" customHeight="1" x14ac:dyDescent="0.2">
      <c r="A472" s="72"/>
      <c r="B472" s="73" t="s">
        <v>240</v>
      </c>
      <c r="C472" s="74" t="s">
        <v>137</v>
      </c>
      <c r="D472" s="75">
        <v>559.16000000000008</v>
      </c>
      <c r="E472" s="281"/>
      <c r="F472" s="274"/>
      <c r="G472" s="275">
        <f t="shared" ref="G472" si="102">(D472*E472)+(D472*F472)</f>
        <v>0</v>
      </c>
      <c r="I472" s="16">
        <f>3.45+2.75+1.55*5+2.7</f>
        <v>16.649999999999999</v>
      </c>
      <c r="J472" s="16">
        <f>I472*3.35*2</f>
        <v>111.55499999999999</v>
      </c>
      <c r="K472" s="16">
        <f>0.78*2*4</f>
        <v>6.24</v>
      </c>
      <c r="L472" s="16">
        <f>J472-K472</f>
        <v>105.315</v>
      </c>
      <c r="N472" s="42">
        <f>N471+L472+J471</f>
        <v>556.29500000000007</v>
      </c>
      <c r="O472" s="42">
        <f>N472*103%</f>
        <v>572.98385000000007</v>
      </c>
    </row>
    <row r="473" spans="1:17" ht="12.75" customHeight="1" x14ac:dyDescent="0.2">
      <c r="A473" s="114"/>
      <c r="B473" s="118"/>
      <c r="C473" s="78"/>
      <c r="D473" s="79"/>
      <c r="E473" s="291"/>
      <c r="F473" s="292"/>
      <c r="G473" s="275"/>
    </row>
    <row r="474" spans="1:17" ht="12.75" customHeight="1" x14ac:dyDescent="0.2">
      <c r="A474" s="68" t="s">
        <v>55</v>
      </c>
      <c r="B474" s="152" t="s">
        <v>67</v>
      </c>
      <c r="C474" s="70"/>
      <c r="D474" s="71"/>
      <c r="E474" s="291"/>
      <c r="F474" s="292"/>
      <c r="G474" s="293"/>
      <c r="I474" s="16">
        <f>32.2*2+8.7*2</f>
        <v>81.800000000000011</v>
      </c>
      <c r="J474" s="16">
        <f>I474*3.5</f>
        <v>286.30000000000007</v>
      </c>
      <c r="K474" s="42">
        <v>85</v>
      </c>
      <c r="L474" s="42">
        <f>J474-K474</f>
        <v>201.30000000000007</v>
      </c>
      <c r="M474" s="42">
        <f>L474*103%</f>
        <v>207.33900000000008</v>
      </c>
      <c r="N474" s="16">
        <f>3*3.05</f>
        <v>9.1499999999999986</v>
      </c>
      <c r="O474" s="42">
        <f>M474-N474</f>
        <v>198.18900000000008</v>
      </c>
      <c r="P474" s="16">
        <f>33.2+4</f>
        <v>37.200000000000003</v>
      </c>
      <c r="Q474" s="16">
        <f>P474*0.65</f>
        <v>24.180000000000003</v>
      </c>
    </row>
    <row r="475" spans="1:17" ht="12.75" customHeight="1" x14ac:dyDescent="0.2">
      <c r="A475" s="76" t="s">
        <v>161</v>
      </c>
      <c r="B475" s="153" t="s">
        <v>238</v>
      </c>
      <c r="C475" s="78"/>
      <c r="D475" s="79"/>
      <c r="E475" s="291"/>
      <c r="F475" s="303"/>
      <c r="G475" s="275"/>
      <c r="I475" s="16">
        <f>0.45*1.725*9</f>
        <v>6.986250000000001</v>
      </c>
      <c r="M475" s="16">
        <f>33.6*1.8</f>
        <v>60.480000000000004</v>
      </c>
      <c r="N475" s="42">
        <f>M475+Q475</f>
        <v>309.68900000000008</v>
      </c>
      <c r="P475" s="16">
        <f>0.8*11*3.05</f>
        <v>26.84</v>
      </c>
      <c r="Q475" s="42">
        <f>Q474+O474+P475</f>
        <v>249.20900000000009</v>
      </c>
    </row>
    <row r="476" spans="1:17" ht="12.75" customHeight="1" x14ac:dyDescent="0.2">
      <c r="A476" s="72"/>
      <c r="B476" s="154" t="s">
        <v>371</v>
      </c>
      <c r="C476" s="74" t="s">
        <v>137</v>
      </c>
      <c r="D476" s="75">
        <v>149.66000000000003</v>
      </c>
      <c r="E476" s="281"/>
      <c r="F476" s="274"/>
      <c r="G476" s="275">
        <f t="shared" ref="G476:G478" si="103">(D476*E476)+(D476*F476)</f>
        <v>0</v>
      </c>
    </row>
    <row r="477" spans="1:17" ht="12.75" customHeight="1" x14ac:dyDescent="0.2">
      <c r="A477" s="114" t="s">
        <v>162</v>
      </c>
      <c r="B477" s="118" t="s">
        <v>239</v>
      </c>
      <c r="C477" s="78"/>
      <c r="D477" s="79"/>
      <c r="E477" s="291"/>
      <c r="F477" s="292"/>
      <c r="G477" s="275"/>
      <c r="I477" s="16">
        <f>8.3*5</f>
        <v>41.5</v>
      </c>
      <c r="J477" s="16">
        <f>I477*3.5*2</f>
        <v>290.5</v>
      </c>
      <c r="L477" s="16">
        <f>6.225*8+3*3+8.5*2</f>
        <v>75.8</v>
      </c>
      <c r="M477" s="16">
        <f>L477*3.5</f>
        <v>265.3</v>
      </c>
      <c r="N477" s="42">
        <f>M477-K474</f>
        <v>180.3</v>
      </c>
    </row>
    <row r="478" spans="1:17" ht="24" customHeight="1" x14ac:dyDescent="0.2">
      <c r="A478" s="72"/>
      <c r="B478" s="73" t="s">
        <v>240</v>
      </c>
      <c r="C478" s="74" t="s">
        <v>137</v>
      </c>
      <c r="D478" s="75">
        <v>552.22</v>
      </c>
      <c r="E478" s="281"/>
      <c r="F478" s="274"/>
      <c r="G478" s="275">
        <f t="shared" si="103"/>
        <v>0</v>
      </c>
      <c r="I478" s="16">
        <f>3.45+2.75+1.55*5+3</f>
        <v>16.95</v>
      </c>
      <c r="J478" s="16">
        <f>I478*3.5*2</f>
        <v>118.64999999999999</v>
      </c>
      <c r="K478" s="16">
        <f>0.78*2*4+0.95*2.83</f>
        <v>8.9284999999999997</v>
      </c>
      <c r="L478" s="16">
        <f>J478-K478</f>
        <v>109.72149999999999</v>
      </c>
      <c r="N478" s="42">
        <f>N477+L478+J477</f>
        <v>580.52150000000006</v>
      </c>
      <c r="O478" s="42">
        <f>N478*103%</f>
        <v>597.9371450000001</v>
      </c>
    </row>
    <row r="479" spans="1:17" ht="12.75" customHeight="1" x14ac:dyDescent="0.2">
      <c r="A479" s="72"/>
      <c r="B479" s="73"/>
      <c r="C479" s="74"/>
      <c r="D479" s="75"/>
      <c r="E479" s="281"/>
      <c r="F479" s="274"/>
      <c r="G479" s="275"/>
      <c r="O479" s="26"/>
      <c r="P479" s="26"/>
    </row>
    <row r="480" spans="1:17" ht="12.75" customHeight="1" x14ac:dyDescent="0.2">
      <c r="A480" s="68" t="s">
        <v>55</v>
      </c>
      <c r="B480" s="152" t="s">
        <v>363</v>
      </c>
      <c r="C480" s="70"/>
      <c r="D480" s="71"/>
      <c r="E480" s="291"/>
      <c r="F480" s="292"/>
      <c r="G480" s="293"/>
      <c r="I480" s="16">
        <f>32.2*2+8.7*2</f>
        <v>81.800000000000011</v>
      </c>
      <c r="J480" s="16">
        <f>I480*3.5</f>
        <v>286.30000000000007</v>
      </c>
      <c r="K480" s="42">
        <v>85</v>
      </c>
      <c r="L480" s="42">
        <f>J480-K480</f>
        <v>201.30000000000007</v>
      </c>
      <c r="M480" s="42">
        <f>L480*103%</f>
        <v>207.33900000000008</v>
      </c>
      <c r="N480" s="16">
        <f>3*3.05</f>
        <v>9.1499999999999986</v>
      </c>
      <c r="O480" s="42">
        <f>M480-N480</f>
        <v>198.18900000000008</v>
      </c>
      <c r="P480" s="16">
        <f>33.2+4</f>
        <v>37.200000000000003</v>
      </c>
      <c r="Q480" s="16">
        <f>P480*0.65</f>
        <v>24.180000000000003</v>
      </c>
    </row>
    <row r="481" spans="1:17" ht="12.75" customHeight="1" x14ac:dyDescent="0.2">
      <c r="A481" s="76" t="s">
        <v>161</v>
      </c>
      <c r="B481" s="153" t="s">
        <v>238</v>
      </c>
      <c r="C481" s="78"/>
      <c r="D481" s="79"/>
      <c r="E481" s="291"/>
      <c r="F481" s="303"/>
      <c r="G481" s="275"/>
      <c r="I481" s="16">
        <f>0.45*1.725*9</f>
        <v>6.986250000000001</v>
      </c>
      <c r="M481" s="16">
        <f>33.6*1.8</f>
        <v>60.480000000000004</v>
      </c>
      <c r="N481" s="42">
        <f>M481+Q481</f>
        <v>309.68900000000008</v>
      </c>
      <c r="P481" s="16">
        <f>0.8*11*3.05</f>
        <v>26.84</v>
      </c>
      <c r="Q481" s="42">
        <f>Q480+O480+P481</f>
        <v>249.20900000000009</v>
      </c>
    </row>
    <row r="482" spans="1:17" ht="12.75" customHeight="1" x14ac:dyDescent="0.2">
      <c r="A482" s="72"/>
      <c r="B482" s="154" t="s">
        <v>371</v>
      </c>
      <c r="C482" s="74" t="s">
        <v>137</v>
      </c>
      <c r="D482" s="75">
        <v>239.66000000000003</v>
      </c>
      <c r="E482" s="281"/>
      <c r="F482" s="274"/>
      <c r="G482" s="275">
        <f t="shared" ref="G482:G484" si="104">(D482*E482)+(D482*F482)</f>
        <v>0</v>
      </c>
    </row>
    <row r="483" spans="1:17" ht="12.75" customHeight="1" x14ac:dyDescent="0.2">
      <c r="A483" s="114" t="s">
        <v>162</v>
      </c>
      <c r="B483" s="118" t="s">
        <v>239</v>
      </c>
      <c r="C483" s="78"/>
      <c r="D483" s="79"/>
      <c r="E483" s="291"/>
      <c r="F483" s="292"/>
      <c r="G483" s="275"/>
      <c r="I483" s="16">
        <f>8.3*5</f>
        <v>41.5</v>
      </c>
      <c r="J483" s="16">
        <f>I483*3.5*2</f>
        <v>290.5</v>
      </c>
      <c r="L483" s="16">
        <f>6.225*8+3*3+8.5*2</f>
        <v>75.8</v>
      </c>
      <c r="M483" s="16">
        <f>L483*3.5</f>
        <v>265.3</v>
      </c>
      <c r="N483" s="42">
        <f>M483-K480</f>
        <v>180.3</v>
      </c>
    </row>
    <row r="484" spans="1:17" ht="24" customHeight="1" x14ac:dyDescent="0.2">
      <c r="A484" s="72"/>
      <c r="B484" s="73" t="s">
        <v>240</v>
      </c>
      <c r="C484" s="74" t="s">
        <v>137</v>
      </c>
      <c r="D484" s="75">
        <v>852.22</v>
      </c>
      <c r="E484" s="281"/>
      <c r="F484" s="274"/>
      <c r="G484" s="275">
        <f t="shared" si="104"/>
        <v>0</v>
      </c>
      <c r="I484" s="16">
        <f>3.45+2.75+1.55*5+3</f>
        <v>16.95</v>
      </c>
      <c r="J484" s="16">
        <f>I484*3.5*2</f>
        <v>118.64999999999999</v>
      </c>
      <c r="K484" s="16">
        <f>0.78*2*4+0.95*2.83</f>
        <v>8.9284999999999997</v>
      </c>
      <c r="L484" s="16">
        <f>J484-K484</f>
        <v>109.72149999999999</v>
      </c>
      <c r="N484" s="42">
        <f>N483+L484+J483</f>
        <v>580.52150000000006</v>
      </c>
      <c r="O484" s="42">
        <f>N484*103%</f>
        <v>597.9371450000001</v>
      </c>
    </row>
    <row r="485" spans="1:17" ht="12.75" customHeight="1" x14ac:dyDescent="0.2">
      <c r="A485" s="72"/>
      <c r="B485" s="73"/>
      <c r="C485" s="74"/>
      <c r="D485" s="75"/>
      <c r="E485" s="281"/>
      <c r="F485" s="274"/>
      <c r="G485" s="275"/>
      <c r="O485" s="26"/>
      <c r="P485" s="26"/>
    </row>
    <row r="486" spans="1:17" ht="12.75" customHeight="1" x14ac:dyDescent="0.2">
      <c r="A486" s="68" t="s">
        <v>148</v>
      </c>
      <c r="B486" s="152" t="s">
        <v>409</v>
      </c>
      <c r="C486" s="70"/>
      <c r="D486" s="71"/>
      <c r="E486" s="291"/>
      <c r="F486" s="292"/>
      <c r="G486" s="293"/>
      <c r="I486" s="16">
        <f>32.2*2+8.7*2</f>
        <v>81.800000000000011</v>
      </c>
      <c r="J486" s="16">
        <f>I486*3.5</f>
        <v>286.30000000000007</v>
      </c>
      <c r="K486" s="42">
        <v>85</v>
      </c>
      <c r="L486" s="42">
        <f>J486-K486</f>
        <v>201.30000000000007</v>
      </c>
      <c r="M486" s="42">
        <f>L486*103%</f>
        <v>207.33900000000008</v>
      </c>
      <c r="N486" s="16">
        <f>3*3.05</f>
        <v>9.1499999999999986</v>
      </c>
      <c r="O486" s="42">
        <f>M486-N486</f>
        <v>198.18900000000008</v>
      </c>
      <c r="P486" s="16">
        <f>33.2+4</f>
        <v>37.200000000000003</v>
      </c>
      <c r="Q486" s="16">
        <f>P486*0.65</f>
        <v>24.180000000000003</v>
      </c>
    </row>
    <row r="487" spans="1:17" ht="12.75" customHeight="1" x14ac:dyDescent="0.2">
      <c r="A487" s="76" t="s">
        <v>161</v>
      </c>
      <c r="B487" s="153" t="s">
        <v>238</v>
      </c>
      <c r="C487" s="78"/>
      <c r="D487" s="79"/>
      <c r="E487" s="291"/>
      <c r="F487" s="303"/>
      <c r="G487" s="275"/>
      <c r="I487" s="16">
        <f>0.45*1.725*9</f>
        <v>6.986250000000001</v>
      </c>
      <c r="M487" s="16">
        <f>33.6*1.8</f>
        <v>60.480000000000004</v>
      </c>
      <c r="N487" s="42">
        <f>M487+Q487</f>
        <v>309.68900000000008</v>
      </c>
      <c r="P487" s="16">
        <f>0.8*11*3.05</f>
        <v>26.84</v>
      </c>
      <c r="Q487" s="42">
        <f>Q486+O486+P487</f>
        <v>249.20900000000009</v>
      </c>
    </row>
    <row r="488" spans="1:17" ht="12.75" customHeight="1" x14ac:dyDescent="0.2">
      <c r="A488" s="72"/>
      <c r="B488" s="154" t="s">
        <v>371</v>
      </c>
      <c r="C488" s="74" t="s">
        <v>137</v>
      </c>
      <c r="D488" s="75">
        <v>239.66000000000003</v>
      </c>
      <c r="E488" s="281"/>
      <c r="F488" s="274"/>
      <c r="G488" s="275">
        <f t="shared" ref="G488:G490" si="105">(D488*E488)+(D488*F488)</f>
        <v>0</v>
      </c>
    </row>
    <row r="489" spans="1:17" ht="12.75" customHeight="1" x14ac:dyDescent="0.2">
      <c r="A489" s="114" t="s">
        <v>162</v>
      </c>
      <c r="B489" s="118" t="s">
        <v>239</v>
      </c>
      <c r="C489" s="78"/>
      <c r="D489" s="79"/>
      <c r="E489" s="291"/>
      <c r="F489" s="292"/>
      <c r="G489" s="275"/>
      <c r="I489" s="16">
        <f>8.3*5</f>
        <v>41.5</v>
      </c>
      <c r="J489" s="16">
        <f>I489*3.5*2</f>
        <v>290.5</v>
      </c>
      <c r="L489" s="16">
        <f>6.225*8+3*3+8.5*2</f>
        <v>75.8</v>
      </c>
      <c r="M489" s="16">
        <f>L489*3.5</f>
        <v>265.3</v>
      </c>
      <c r="N489" s="42">
        <f>M489-K486</f>
        <v>180.3</v>
      </c>
    </row>
    <row r="490" spans="1:17" ht="24" customHeight="1" x14ac:dyDescent="0.2">
      <c r="A490" s="72"/>
      <c r="B490" s="73" t="s">
        <v>240</v>
      </c>
      <c r="C490" s="74" t="s">
        <v>137</v>
      </c>
      <c r="D490" s="75">
        <v>852.22</v>
      </c>
      <c r="E490" s="281"/>
      <c r="F490" s="274"/>
      <c r="G490" s="275">
        <f t="shared" si="105"/>
        <v>0</v>
      </c>
      <c r="I490" s="16">
        <f>3.45+2.75+1.55*5+3</f>
        <v>16.95</v>
      </c>
      <c r="J490" s="16">
        <f>I490*3.5*2</f>
        <v>118.64999999999999</v>
      </c>
      <c r="K490" s="16">
        <f>0.78*2*4+0.95*2.83</f>
        <v>8.9284999999999997</v>
      </c>
      <c r="L490" s="16">
        <f>J490-K490</f>
        <v>109.72149999999999</v>
      </c>
      <c r="N490" s="42">
        <f>N489+L490+J489</f>
        <v>580.52150000000006</v>
      </c>
      <c r="O490" s="42">
        <f>N490*103%</f>
        <v>597.9371450000001</v>
      </c>
    </row>
    <row r="491" spans="1:17" ht="12.75" customHeight="1" x14ac:dyDescent="0.2">
      <c r="A491" s="72"/>
      <c r="B491" s="73"/>
      <c r="C491" s="74"/>
      <c r="D491" s="75"/>
      <c r="E491" s="281"/>
      <c r="F491" s="274"/>
      <c r="G491" s="275"/>
      <c r="O491" s="26"/>
      <c r="P491" s="26"/>
    </row>
    <row r="492" spans="1:17" ht="12.75" customHeight="1" x14ac:dyDescent="0.2">
      <c r="A492" s="68" t="s">
        <v>149</v>
      </c>
      <c r="B492" s="152" t="s">
        <v>251</v>
      </c>
      <c r="C492" s="70"/>
      <c r="D492" s="71"/>
      <c r="E492" s="291"/>
      <c r="F492" s="292"/>
      <c r="G492" s="293"/>
      <c r="K492" s="26"/>
    </row>
    <row r="493" spans="1:17" ht="12.75" customHeight="1" x14ac:dyDescent="0.2">
      <c r="A493" s="76" t="s">
        <v>161</v>
      </c>
      <c r="B493" s="153" t="s">
        <v>238</v>
      </c>
      <c r="C493" s="78"/>
      <c r="D493" s="79"/>
      <c r="E493" s="291"/>
      <c r="F493" s="303"/>
      <c r="G493" s="275"/>
      <c r="K493" s="26"/>
    </row>
    <row r="494" spans="1:17" ht="12.75" customHeight="1" x14ac:dyDescent="0.2">
      <c r="A494" s="72"/>
      <c r="B494" s="154" t="s">
        <v>133</v>
      </c>
      <c r="C494" s="74" t="s">
        <v>137</v>
      </c>
      <c r="D494" s="75">
        <v>12</v>
      </c>
      <c r="E494" s="281"/>
      <c r="F494" s="274"/>
      <c r="G494" s="275">
        <f t="shared" ref="G494:G496" si="106">(D494*E494)+(D494*F494)</f>
        <v>0</v>
      </c>
      <c r="K494" s="26"/>
      <c r="L494" s="26"/>
      <c r="O494" s="26"/>
    </row>
    <row r="495" spans="1:17" ht="12.75" customHeight="1" x14ac:dyDescent="0.2">
      <c r="A495" s="114" t="s">
        <v>162</v>
      </c>
      <c r="B495" s="118" t="s">
        <v>239</v>
      </c>
      <c r="C495" s="78"/>
      <c r="D495" s="79"/>
      <c r="E495" s="291"/>
      <c r="F495" s="292"/>
      <c r="G495" s="275"/>
      <c r="K495" s="26"/>
    </row>
    <row r="496" spans="1:17" ht="12.75" customHeight="1" x14ac:dyDescent="0.2">
      <c r="A496" s="72"/>
      <c r="B496" s="73" t="s">
        <v>279</v>
      </c>
      <c r="C496" s="74" t="s">
        <v>137</v>
      </c>
      <c r="D496" s="75">
        <v>12</v>
      </c>
      <c r="E496" s="281"/>
      <c r="F496" s="274"/>
      <c r="G496" s="275">
        <f t="shared" si="106"/>
        <v>0</v>
      </c>
      <c r="K496" s="16">
        <f>1.69*2.45*6</f>
        <v>24.843000000000004</v>
      </c>
      <c r="L496" s="26">
        <f>0.95*2.83*6</f>
        <v>16.131</v>
      </c>
      <c r="M496" s="26">
        <f>1.575*2*6</f>
        <v>18.899999999999999</v>
      </c>
      <c r="N496" s="26">
        <f>1.24*1.69</f>
        <v>2.0956000000000001</v>
      </c>
      <c r="O496" s="16">
        <f>0.7*0.55*2</f>
        <v>0.77</v>
      </c>
      <c r="P496" s="16">
        <f>SUM(K496:O496)</f>
        <v>62.739600000000003</v>
      </c>
    </row>
    <row r="497" spans="1:13" x14ac:dyDescent="0.2">
      <c r="A497" s="114"/>
      <c r="B497" s="118"/>
      <c r="C497" s="74"/>
      <c r="D497" s="75"/>
      <c r="E497" s="281"/>
      <c r="F497" s="274"/>
      <c r="G497" s="275"/>
    </row>
    <row r="498" spans="1:13" ht="12.75" thickBot="1" x14ac:dyDescent="0.25">
      <c r="A498" s="114"/>
      <c r="B498" s="118"/>
      <c r="C498" s="74"/>
      <c r="D498" s="75"/>
      <c r="E498" s="281"/>
      <c r="F498" s="274"/>
      <c r="G498" s="275"/>
    </row>
    <row r="499" spans="1:13" x14ac:dyDescent="0.2">
      <c r="A499" s="226"/>
      <c r="B499" s="227" t="s">
        <v>144</v>
      </c>
      <c r="C499" s="234"/>
      <c r="D499" s="229"/>
      <c r="E499" s="352"/>
      <c r="F499" s="353"/>
      <c r="G499" s="354"/>
    </row>
    <row r="500" spans="1:13" ht="12.75" thickBot="1" x14ac:dyDescent="0.25">
      <c r="A500" s="230"/>
      <c r="B500" s="231" t="s">
        <v>196</v>
      </c>
      <c r="C500" s="235"/>
      <c r="D500" s="233"/>
      <c r="E500" s="349"/>
      <c r="F500" s="355"/>
      <c r="G500" s="356">
        <f>SUM(G413:G497)</f>
        <v>0</v>
      </c>
    </row>
    <row r="501" spans="1:13" x14ac:dyDescent="0.2">
      <c r="A501" s="56"/>
      <c r="B501" s="155"/>
      <c r="C501" s="58"/>
      <c r="D501" s="59"/>
      <c r="E501" s="271"/>
      <c r="F501" s="274"/>
      <c r="G501" s="293"/>
    </row>
    <row r="502" spans="1:13" x14ac:dyDescent="0.2">
      <c r="A502" s="130"/>
      <c r="B502" s="131" t="s">
        <v>105</v>
      </c>
      <c r="C502" s="132"/>
      <c r="D502" s="84"/>
      <c r="E502" s="271"/>
      <c r="F502" s="274"/>
      <c r="G502" s="275"/>
    </row>
    <row r="503" spans="1:13" x14ac:dyDescent="0.2">
      <c r="A503" s="130"/>
      <c r="B503" s="133" t="s">
        <v>106</v>
      </c>
      <c r="C503" s="132"/>
      <c r="D503" s="84"/>
      <c r="E503" s="271"/>
      <c r="F503" s="274"/>
      <c r="G503" s="275"/>
    </row>
    <row r="504" spans="1:13" x14ac:dyDescent="0.2">
      <c r="A504" s="121" t="s">
        <v>107</v>
      </c>
      <c r="B504" s="85" t="s">
        <v>40</v>
      </c>
      <c r="C504" s="83"/>
      <c r="D504" s="84"/>
      <c r="E504" s="271"/>
      <c r="F504" s="274"/>
      <c r="G504" s="275"/>
    </row>
    <row r="505" spans="1:13" ht="48" x14ac:dyDescent="0.2">
      <c r="A505" s="121"/>
      <c r="B505" s="104" t="s">
        <v>134</v>
      </c>
      <c r="C505" s="104"/>
      <c r="D505" s="104"/>
      <c r="E505" s="298"/>
      <c r="F505" s="298"/>
      <c r="G505" s="299"/>
    </row>
    <row r="506" spans="1:13" s="322" customFormat="1" x14ac:dyDescent="0.2">
      <c r="A506" s="324" t="s">
        <v>139</v>
      </c>
      <c r="B506" s="335" t="s">
        <v>201</v>
      </c>
      <c r="C506" s="336"/>
      <c r="D506" s="337"/>
      <c r="E506" s="271"/>
      <c r="F506" s="274"/>
      <c r="G506" s="275"/>
    </row>
    <row r="507" spans="1:13" ht="12.75" x14ac:dyDescent="0.2">
      <c r="A507" s="134"/>
      <c r="B507" s="135" t="s">
        <v>210</v>
      </c>
      <c r="C507" s="136"/>
      <c r="D507" s="137"/>
      <c r="E507" s="271"/>
      <c r="F507" s="274"/>
      <c r="G507" s="275"/>
    </row>
    <row r="508" spans="1:13" ht="12.75" x14ac:dyDescent="0.2">
      <c r="A508" s="138" t="s">
        <v>146</v>
      </c>
      <c r="B508" s="139" t="s">
        <v>65</v>
      </c>
      <c r="C508" s="140"/>
      <c r="D508" s="141"/>
      <c r="E508" s="281"/>
      <c r="F508" s="274"/>
      <c r="G508" s="275"/>
    </row>
    <row r="509" spans="1:13" ht="15.75" x14ac:dyDescent="0.2">
      <c r="A509" s="134"/>
      <c r="B509" s="142" t="s">
        <v>372</v>
      </c>
      <c r="C509" s="136" t="s">
        <v>211</v>
      </c>
      <c r="D509" s="137">
        <v>77.94</v>
      </c>
      <c r="E509" s="281"/>
      <c r="F509" s="274"/>
      <c r="G509" s="275">
        <f t="shared" ref="G509:G514" si="107">(D509*E509)+(D509*F509)</f>
        <v>0</v>
      </c>
      <c r="I509" s="16">
        <f>51.46*4</f>
        <v>205.84</v>
      </c>
    </row>
    <row r="510" spans="1:13" ht="15.75" x14ac:dyDescent="0.2">
      <c r="A510" s="134"/>
      <c r="B510" s="142" t="s">
        <v>421</v>
      </c>
      <c r="C510" s="136" t="s">
        <v>211</v>
      </c>
      <c r="D510" s="137">
        <v>162.39999999999998</v>
      </c>
      <c r="E510" s="281"/>
      <c r="F510" s="274"/>
      <c r="G510" s="275">
        <f t="shared" si="107"/>
        <v>0</v>
      </c>
      <c r="I510" s="16">
        <f>32.2*1.85</f>
        <v>59.570000000000007</v>
      </c>
      <c r="J510" s="16">
        <f>8.5*1.35</f>
        <v>11.475000000000001</v>
      </c>
      <c r="K510" s="16">
        <f>1.65*0.8</f>
        <v>1.32</v>
      </c>
      <c r="L510" s="16">
        <f>1.65*1.5</f>
        <v>2.4749999999999996</v>
      </c>
      <c r="M510" s="16">
        <f>SUM(I510:L510)</f>
        <v>74.84</v>
      </c>
    </row>
    <row r="511" spans="1:13" ht="15.75" x14ac:dyDescent="0.2">
      <c r="A511" s="134"/>
      <c r="B511" s="142" t="s">
        <v>281</v>
      </c>
      <c r="C511" s="136" t="s">
        <v>211</v>
      </c>
      <c r="D511" s="137">
        <v>8</v>
      </c>
      <c r="E511" s="281"/>
      <c r="F511" s="274"/>
      <c r="G511" s="275">
        <f t="shared" si="107"/>
        <v>0</v>
      </c>
      <c r="I511" s="42">
        <f>7.825*3.05</f>
        <v>23.866250000000001</v>
      </c>
    </row>
    <row r="512" spans="1:13" ht="15.75" x14ac:dyDescent="0.2">
      <c r="A512" s="134"/>
      <c r="B512" s="142" t="s">
        <v>420</v>
      </c>
      <c r="C512" s="136" t="s">
        <v>211</v>
      </c>
      <c r="D512" s="137">
        <v>5</v>
      </c>
      <c r="E512" s="281"/>
      <c r="F512" s="274"/>
      <c r="G512" s="275">
        <f t="shared" ref="G512" si="108">(D512*E512)+(D512*F512)</f>
        <v>0</v>
      </c>
      <c r="I512" s="42">
        <f>2.45*1.5</f>
        <v>3.6750000000000003</v>
      </c>
    </row>
    <row r="513" spans="1:13" ht="15.75" x14ac:dyDescent="0.2">
      <c r="A513" s="134"/>
      <c r="B513" s="142" t="s">
        <v>329</v>
      </c>
      <c r="C513" s="136" t="s">
        <v>211</v>
      </c>
      <c r="D513" s="137">
        <v>29.4</v>
      </c>
      <c r="E513" s="281"/>
      <c r="F513" s="274"/>
      <c r="G513" s="275">
        <f>(D513*E513)+(D513*F513)</f>
        <v>0</v>
      </c>
      <c r="I513" s="26">
        <f>1.5*3</f>
        <v>4.5</v>
      </c>
    </row>
    <row r="514" spans="1:13" ht="15.75" x14ac:dyDescent="0.2">
      <c r="A514" s="134"/>
      <c r="B514" s="142" t="s">
        <v>282</v>
      </c>
      <c r="C514" s="136" t="s">
        <v>211</v>
      </c>
      <c r="D514" s="137">
        <v>20</v>
      </c>
      <c r="E514" s="281"/>
      <c r="F514" s="274"/>
      <c r="G514" s="275">
        <f t="shared" si="107"/>
        <v>0</v>
      </c>
      <c r="I514" s="26">
        <f>4.12*3</f>
        <v>12.36</v>
      </c>
      <c r="J514" s="16">
        <f>2.15*1.5</f>
        <v>3.2249999999999996</v>
      </c>
      <c r="K514" s="26">
        <f>1.5*0.15*23</f>
        <v>5.1749999999999998</v>
      </c>
      <c r="L514" s="26">
        <f>SUM(I514:K514)</f>
        <v>20.759999999999998</v>
      </c>
    </row>
    <row r="515" spans="1:13" ht="12.75" x14ac:dyDescent="0.2">
      <c r="A515" s="138" t="s">
        <v>147</v>
      </c>
      <c r="B515" s="139" t="s">
        <v>67</v>
      </c>
      <c r="C515" s="140"/>
      <c r="D515" s="141"/>
      <c r="E515" s="281"/>
      <c r="F515" s="274"/>
      <c r="G515" s="275"/>
    </row>
    <row r="516" spans="1:13" ht="15.75" x14ac:dyDescent="0.2">
      <c r="A516" s="134"/>
      <c r="B516" s="142" t="s">
        <v>372</v>
      </c>
      <c r="C516" s="136" t="s">
        <v>211</v>
      </c>
      <c r="D516" s="137">
        <v>76</v>
      </c>
      <c r="E516" s="281"/>
      <c r="F516" s="274"/>
      <c r="G516" s="275">
        <f t="shared" ref="G516:G518" si="109">(D516*E516)+(D516*F516)</f>
        <v>0</v>
      </c>
      <c r="I516" s="16">
        <f>32.2*1.85</f>
        <v>59.570000000000007</v>
      </c>
      <c r="J516" s="16">
        <f>8.5*1.35</f>
        <v>11.475000000000001</v>
      </c>
      <c r="K516" s="16">
        <f>1.65*0.8</f>
        <v>1.32</v>
      </c>
      <c r="L516" s="16">
        <f>1.65*1.5</f>
        <v>2.4749999999999996</v>
      </c>
      <c r="M516" s="16">
        <f>SUM(I516:L516)</f>
        <v>74.84</v>
      </c>
    </row>
    <row r="517" spans="1:13" ht="15.75" x14ac:dyDescent="0.2">
      <c r="A517" s="134"/>
      <c r="B517" s="142" t="s">
        <v>421</v>
      </c>
      <c r="C517" s="136" t="s">
        <v>211</v>
      </c>
      <c r="D517" s="137">
        <v>163.5</v>
      </c>
      <c r="E517" s="281"/>
      <c r="F517" s="274"/>
      <c r="G517" s="275">
        <f t="shared" si="109"/>
        <v>0</v>
      </c>
      <c r="I517" s="42">
        <f>7.825*3.05</f>
        <v>23.866250000000001</v>
      </c>
    </row>
    <row r="518" spans="1:13" ht="15.75" x14ac:dyDescent="0.2">
      <c r="A518" s="134"/>
      <c r="B518" s="142" t="s">
        <v>281</v>
      </c>
      <c r="C518" s="136" t="s">
        <v>211</v>
      </c>
      <c r="D518" s="137">
        <v>8</v>
      </c>
      <c r="E518" s="281"/>
      <c r="F518" s="274"/>
      <c r="G518" s="275">
        <f t="shared" si="109"/>
        <v>0</v>
      </c>
      <c r="I518" s="42">
        <f>2.45*1.5</f>
        <v>3.6750000000000003</v>
      </c>
    </row>
    <row r="519" spans="1:13" ht="15.75" x14ac:dyDescent="0.2">
      <c r="A519" s="134"/>
      <c r="B519" s="142" t="s">
        <v>420</v>
      </c>
      <c r="C519" s="136" t="s">
        <v>211</v>
      </c>
      <c r="D519" s="137">
        <v>11.58</v>
      </c>
      <c r="E519" s="281"/>
      <c r="F519" s="274"/>
      <c r="G519" s="275">
        <f>(D519*E519)+(D519*F519)</f>
        <v>0</v>
      </c>
      <c r="I519" s="26">
        <f>1.5*3</f>
        <v>4.5</v>
      </c>
    </row>
    <row r="520" spans="1:13" ht="15.75" x14ac:dyDescent="0.2">
      <c r="A520" s="134"/>
      <c r="B520" s="142" t="s">
        <v>329</v>
      </c>
      <c r="C520" s="136" t="s">
        <v>211</v>
      </c>
      <c r="D520" s="137">
        <v>23</v>
      </c>
      <c r="E520" s="281"/>
      <c r="F520" s="274"/>
      <c r="G520" s="275">
        <f>(D520*E520)+(D520*F520)</f>
        <v>0</v>
      </c>
      <c r="I520" s="26">
        <f>1.5*3</f>
        <v>4.5</v>
      </c>
    </row>
    <row r="521" spans="1:13" ht="15.75" x14ac:dyDescent="0.2">
      <c r="A521" s="134"/>
      <c r="B521" s="142" t="s">
        <v>282</v>
      </c>
      <c r="C521" s="136" t="s">
        <v>211</v>
      </c>
      <c r="D521" s="137">
        <v>20</v>
      </c>
      <c r="E521" s="281"/>
      <c r="F521" s="274"/>
      <c r="G521" s="275">
        <f t="shared" ref="G521:G532" si="110">(D521*E521)+(D521*F521)</f>
        <v>0</v>
      </c>
      <c r="I521" s="26">
        <f>4.12*3</f>
        <v>12.36</v>
      </c>
      <c r="J521" s="16">
        <f>2.15*1.5</f>
        <v>3.2249999999999996</v>
      </c>
      <c r="K521" s="26">
        <f>1.5*0.15*23</f>
        <v>5.1749999999999998</v>
      </c>
      <c r="L521" s="26">
        <f>SUM(I521:K521)</f>
        <v>20.759999999999998</v>
      </c>
    </row>
    <row r="522" spans="1:13" ht="12.75" x14ac:dyDescent="0.2">
      <c r="A522" s="138" t="s">
        <v>55</v>
      </c>
      <c r="B522" s="139" t="s">
        <v>363</v>
      </c>
      <c r="C522" s="140"/>
      <c r="D522" s="141"/>
      <c r="E522" s="281"/>
      <c r="F522" s="274"/>
      <c r="G522" s="275"/>
    </row>
    <row r="523" spans="1:13" ht="15.75" x14ac:dyDescent="0.2">
      <c r="A523" s="134"/>
      <c r="B523" s="142" t="s">
        <v>372</v>
      </c>
      <c r="C523" s="136" t="s">
        <v>211</v>
      </c>
      <c r="D523" s="137">
        <v>76</v>
      </c>
      <c r="E523" s="281"/>
      <c r="F523" s="274"/>
      <c r="G523" s="275">
        <f t="shared" si="110"/>
        <v>0</v>
      </c>
      <c r="I523" s="16">
        <f>32.2*1.85</f>
        <v>59.570000000000007</v>
      </c>
      <c r="J523" s="16">
        <f>8.5*1.35</f>
        <v>11.475000000000001</v>
      </c>
      <c r="K523" s="16">
        <f>1.65*0.8</f>
        <v>1.32</v>
      </c>
      <c r="L523" s="16">
        <f>1.65*1.5</f>
        <v>2.4749999999999996</v>
      </c>
      <c r="M523" s="16">
        <f>SUM(I523:L523)</f>
        <v>74.84</v>
      </c>
    </row>
    <row r="524" spans="1:13" ht="15.75" x14ac:dyDescent="0.2">
      <c r="A524" s="134"/>
      <c r="B524" s="142" t="s">
        <v>421</v>
      </c>
      <c r="C524" s="136" t="s">
        <v>211</v>
      </c>
      <c r="D524" s="137">
        <v>163.5</v>
      </c>
      <c r="E524" s="281"/>
      <c r="F524" s="274"/>
      <c r="G524" s="275">
        <f t="shared" si="110"/>
        <v>0</v>
      </c>
      <c r="I524" s="42">
        <f>7.825*3.05</f>
        <v>23.866250000000001</v>
      </c>
    </row>
    <row r="525" spans="1:13" ht="15.75" x14ac:dyDescent="0.2">
      <c r="A525" s="134"/>
      <c r="B525" s="142" t="s">
        <v>281</v>
      </c>
      <c r="C525" s="136" t="s">
        <v>211</v>
      </c>
      <c r="D525" s="137">
        <v>8</v>
      </c>
      <c r="E525" s="281"/>
      <c r="F525" s="274"/>
      <c r="G525" s="275">
        <f t="shared" si="110"/>
        <v>0</v>
      </c>
      <c r="I525" s="42">
        <f>2.45*1.5</f>
        <v>3.6750000000000003</v>
      </c>
    </row>
    <row r="526" spans="1:13" ht="15.75" x14ac:dyDescent="0.2">
      <c r="A526" s="134"/>
      <c r="B526" s="142" t="s">
        <v>420</v>
      </c>
      <c r="C526" s="136" t="s">
        <v>211</v>
      </c>
      <c r="D526" s="137">
        <v>11.58</v>
      </c>
      <c r="E526" s="281"/>
      <c r="F526" s="274"/>
      <c r="G526" s="275">
        <f>(D526*E526)+(D526*F526)</f>
        <v>0</v>
      </c>
      <c r="I526" s="26">
        <f>1.5*3</f>
        <v>4.5</v>
      </c>
    </row>
    <row r="527" spans="1:13" ht="15.75" x14ac:dyDescent="0.2">
      <c r="A527" s="134"/>
      <c r="B527" s="142" t="s">
        <v>329</v>
      </c>
      <c r="C527" s="136" t="s">
        <v>211</v>
      </c>
      <c r="D527" s="137">
        <v>23</v>
      </c>
      <c r="E527" s="281"/>
      <c r="F527" s="274"/>
      <c r="G527" s="275">
        <f>(D527*E527)+(D527*F527)</f>
        <v>0</v>
      </c>
      <c r="I527" s="26">
        <f>1.5*3</f>
        <v>4.5</v>
      </c>
    </row>
    <row r="528" spans="1:13" ht="15.75" x14ac:dyDescent="0.2">
      <c r="A528" s="134"/>
      <c r="B528" s="142" t="s">
        <v>282</v>
      </c>
      <c r="C528" s="136" t="s">
        <v>211</v>
      </c>
      <c r="D528" s="137">
        <v>20</v>
      </c>
      <c r="E528" s="281"/>
      <c r="F528" s="274"/>
      <c r="G528" s="275">
        <f t="shared" ref="G528" si="111">(D528*E528)+(D528*F528)</f>
        <v>0</v>
      </c>
      <c r="I528" s="26">
        <f>4.12*3</f>
        <v>12.36</v>
      </c>
      <c r="J528" s="16">
        <f>2.15*1.5</f>
        <v>3.2249999999999996</v>
      </c>
      <c r="K528" s="26">
        <f>1.5*0.15*23</f>
        <v>5.1749999999999998</v>
      </c>
      <c r="L528" s="26">
        <f>SUM(I528:K528)</f>
        <v>20.759999999999998</v>
      </c>
    </row>
    <row r="529" spans="1:19" ht="12.75" x14ac:dyDescent="0.2">
      <c r="A529" s="138" t="s">
        <v>148</v>
      </c>
      <c r="B529" s="139" t="s">
        <v>409</v>
      </c>
      <c r="C529" s="140"/>
      <c r="D529" s="141"/>
      <c r="E529" s="281"/>
      <c r="F529" s="274"/>
      <c r="G529" s="275"/>
    </row>
    <row r="530" spans="1:19" ht="15.75" x14ac:dyDescent="0.2">
      <c r="A530" s="134"/>
      <c r="B530" s="142" t="s">
        <v>372</v>
      </c>
      <c r="C530" s="136" t="s">
        <v>211</v>
      </c>
      <c r="D530" s="137">
        <v>76</v>
      </c>
      <c r="E530" s="281"/>
      <c r="F530" s="274"/>
      <c r="G530" s="275">
        <f t="shared" si="110"/>
        <v>0</v>
      </c>
      <c r="I530" s="16">
        <f>51.46*4</f>
        <v>205.84</v>
      </c>
    </row>
    <row r="531" spans="1:19" ht="15.75" x14ac:dyDescent="0.2">
      <c r="A531" s="134"/>
      <c r="B531" s="142" t="s">
        <v>421</v>
      </c>
      <c r="C531" s="136" t="s">
        <v>211</v>
      </c>
      <c r="D531" s="137">
        <v>163.5</v>
      </c>
      <c r="E531" s="281"/>
      <c r="F531" s="274"/>
      <c r="G531" s="275">
        <f t="shared" si="110"/>
        <v>0</v>
      </c>
      <c r="I531" s="16">
        <f>32.2*1.85</f>
        <v>59.570000000000007</v>
      </c>
      <c r="J531" s="16">
        <f>8.5*1.35</f>
        <v>11.475000000000001</v>
      </c>
      <c r="K531" s="16">
        <f>1.65*0.8</f>
        <v>1.32</v>
      </c>
      <c r="L531" s="16">
        <f>1.65*1.5</f>
        <v>2.4749999999999996</v>
      </c>
      <c r="M531" s="16">
        <f>SUM(I531:L531)</f>
        <v>74.84</v>
      </c>
    </row>
    <row r="532" spans="1:19" ht="15.75" x14ac:dyDescent="0.2">
      <c r="A532" s="134"/>
      <c r="B532" s="142" t="s">
        <v>281</v>
      </c>
      <c r="C532" s="136" t="s">
        <v>211</v>
      </c>
      <c r="D532" s="137">
        <v>8</v>
      </c>
      <c r="E532" s="281"/>
      <c r="F532" s="274"/>
      <c r="G532" s="275">
        <f t="shared" si="110"/>
        <v>0</v>
      </c>
      <c r="I532" s="42">
        <f>7.825*3.05</f>
        <v>23.866250000000001</v>
      </c>
    </row>
    <row r="533" spans="1:19" ht="15.75" x14ac:dyDescent="0.2">
      <c r="A533" s="134"/>
      <c r="B533" s="142" t="s">
        <v>420</v>
      </c>
      <c r="C533" s="136" t="s">
        <v>211</v>
      </c>
      <c r="D533" s="137">
        <v>11.58</v>
      </c>
      <c r="E533" s="281"/>
      <c r="F533" s="274"/>
      <c r="G533" s="275">
        <f>(D533*E533)+(D533*F533)</f>
        <v>0</v>
      </c>
      <c r="I533" s="26">
        <f>1.5*3</f>
        <v>4.5</v>
      </c>
    </row>
    <row r="534" spans="1:19" ht="15.75" x14ac:dyDescent="0.2">
      <c r="A534" s="134"/>
      <c r="B534" s="142" t="s">
        <v>329</v>
      </c>
      <c r="C534" s="136" t="s">
        <v>211</v>
      </c>
      <c r="D534" s="137">
        <v>23</v>
      </c>
      <c r="E534" s="281"/>
      <c r="F534" s="274"/>
      <c r="G534" s="275">
        <f t="shared" ref="G534" si="112">(D534*E534)+(D534*F534)</f>
        <v>0</v>
      </c>
      <c r="I534" s="26">
        <f>4.12*3</f>
        <v>12.36</v>
      </c>
      <c r="J534" s="16">
        <f>2.15*1.5</f>
        <v>3.2249999999999996</v>
      </c>
      <c r="K534" s="26">
        <f>1.5*0.15*23</f>
        <v>5.1749999999999998</v>
      </c>
      <c r="L534" s="26">
        <f>SUM(I534:K534)</f>
        <v>20.759999999999998</v>
      </c>
    </row>
    <row r="535" spans="1:19" ht="12" customHeight="1" x14ac:dyDescent="0.2">
      <c r="A535" s="134"/>
      <c r="B535" s="142" t="s">
        <v>282</v>
      </c>
      <c r="C535" s="136" t="s">
        <v>211</v>
      </c>
      <c r="D535" s="137">
        <v>20</v>
      </c>
      <c r="E535" s="281"/>
      <c r="F535" s="274"/>
      <c r="G535" s="275"/>
    </row>
    <row r="536" spans="1:19" ht="12" customHeight="1" x14ac:dyDescent="0.2">
      <c r="A536" s="134"/>
      <c r="B536" s="142"/>
      <c r="C536" s="136"/>
      <c r="D536" s="137"/>
      <c r="E536" s="281"/>
      <c r="F536" s="274"/>
      <c r="G536" s="275"/>
    </row>
    <row r="537" spans="1:19" ht="12" customHeight="1" x14ac:dyDescent="0.2">
      <c r="A537" s="134"/>
      <c r="B537" s="142"/>
      <c r="C537" s="136"/>
      <c r="D537" s="137"/>
      <c r="E537" s="281"/>
      <c r="F537" s="274"/>
      <c r="G537" s="275"/>
    </row>
    <row r="538" spans="1:19" ht="12" customHeight="1" x14ac:dyDescent="0.2">
      <c r="A538" s="134"/>
      <c r="B538" s="142"/>
      <c r="C538" s="136"/>
      <c r="D538" s="137"/>
      <c r="E538" s="281"/>
      <c r="F538" s="274"/>
      <c r="G538" s="275"/>
    </row>
    <row r="539" spans="1:19" s="322" customFormat="1" ht="12" customHeight="1" x14ac:dyDescent="0.2">
      <c r="A539" s="324" t="s">
        <v>140</v>
      </c>
      <c r="B539" s="335" t="s">
        <v>141</v>
      </c>
      <c r="C539" s="331"/>
      <c r="D539" s="294"/>
      <c r="E539" s="271"/>
      <c r="F539" s="274"/>
      <c r="G539" s="275"/>
    </row>
    <row r="540" spans="1:19" ht="48" x14ac:dyDescent="0.2">
      <c r="A540" s="121"/>
      <c r="B540" s="104" t="s">
        <v>227</v>
      </c>
      <c r="C540" s="104"/>
      <c r="D540" s="104"/>
      <c r="E540" s="298"/>
      <c r="F540" s="298"/>
      <c r="G540" s="299"/>
    </row>
    <row r="541" spans="1:19" ht="24" x14ac:dyDescent="0.2">
      <c r="A541" s="144"/>
      <c r="B541" s="104" t="s">
        <v>228</v>
      </c>
      <c r="C541" s="104"/>
      <c r="D541" s="104"/>
      <c r="E541" s="298"/>
      <c r="F541" s="298"/>
      <c r="G541" s="299"/>
    </row>
    <row r="542" spans="1:19" ht="39.75" customHeight="1" x14ac:dyDescent="0.2">
      <c r="A542" s="324"/>
      <c r="B542" s="298" t="s">
        <v>375</v>
      </c>
      <c r="C542" s="298"/>
      <c r="D542" s="298"/>
      <c r="E542" s="298"/>
      <c r="F542" s="298"/>
      <c r="G542" s="299"/>
    </row>
    <row r="543" spans="1:19" s="43" customFormat="1" ht="15" customHeight="1" x14ac:dyDescent="0.2">
      <c r="A543" s="138" t="s">
        <v>146</v>
      </c>
      <c r="B543" s="139" t="s">
        <v>65</v>
      </c>
      <c r="C543" s="140"/>
      <c r="D543" s="141"/>
      <c r="E543" s="271"/>
      <c r="F543" s="274"/>
      <c r="G543" s="275"/>
      <c r="H543" s="16"/>
      <c r="I543" s="16"/>
      <c r="J543" s="16"/>
      <c r="K543" s="16"/>
      <c r="L543" s="16"/>
      <c r="M543" s="16"/>
      <c r="N543" s="16"/>
      <c r="O543" s="16"/>
      <c r="P543" s="16"/>
      <c r="Q543" s="16"/>
      <c r="R543" s="16"/>
      <c r="S543" s="16"/>
    </row>
    <row r="544" spans="1:19" ht="12.75" x14ac:dyDescent="0.2">
      <c r="A544" s="134" t="s">
        <v>229</v>
      </c>
      <c r="B544" s="145" t="s">
        <v>225</v>
      </c>
      <c r="C544" s="136"/>
      <c r="D544" s="137"/>
      <c r="E544" s="281"/>
      <c r="F544" s="274"/>
      <c r="G544" s="275"/>
      <c r="I544" s="51"/>
      <c r="J544" s="22"/>
      <c r="K544" s="20"/>
    </row>
    <row r="545" spans="1:18" ht="12" customHeight="1" x14ac:dyDescent="0.2">
      <c r="A545" s="134" t="s">
        <v>161</v>
      </c>
      <c r="B545" s="142" t="str">
        <f>B509</f>
        <v xml:space="preserve">Corridor </v>
      </c>
      <c r="C545" s="136" t="s">
        <v>211</v>
      </c>
      <c r="D545" s="137">
        <v>77.94</v>
      </c>
      <c r="E545" s="281"/>
      <c r="F545" s="274"/>
      <c r="G545" s="275">
        <f t="shared" ref="G545:G548" si="113">(D545*E545)+(D545*F545)</f>
        <v>0</v>
      </c>
      <c r="I545" s="51"/>
      <c r="J545" s="22"/>
      <c r="K545" s="20"/>
    </row>
    <row r="546" spans="1:18" ht="12" customHeight="1" x14ac:dyDescent="0.2">
      <c r="A546" s="134" t="s">
        <v>162</v>
      </c>
      <c r="B546" s="142" t="str">
        <f t="shared" ref="B546:B550" si="114">B510</f>
        <v>Classroom</v>
      </c>
      <c r="C546" s="136" t="s">
        <v>211</v>
      </c>
      <c r="D546" s="137">
        <v>162.39999999999998</v>
      </c>
      <c r="E546" s="281"/>
      <c r="F546" s="274"/>
      <c r="G546" s="275">
        <f t="shared" si="113"/>
        <v>0</v>
      </c>
      <c r="I546" s="51"/>
      <c r="J546" s="22"/>
      <c r="K546" s="20"/>
    </row>
    <row r="547" spans="1:18" ht="12" customHeight="1" x14ac:dyDescent="0.2">
      <c r="A547" s="134" t="s">
        <v>173</v>
      </c>
      <c r="B547" s="142" t="str">
        <f t="shared" si="114"/>
        <v>Store</v>
      </c>
      <c r="C547" s="136" t="s">
        <v>211</v>
      </c>
      <c r="D547" s="137">
        <v>8</v>
      </c>
      <c r="E547" s="281"/>
      <c r="F547" s="274"/>
      <c r="G547" s="275">
        <f t="shared" si="113"/>
        <v>0</v>
      </c>
      <c r="I547" s="51"/>
      <c r="J547" s="22"/>
      <c r="K547" s="20"/>
    </row>
    <row r="548" spans="1:18" ht="12" customHeight="1" x14ac:dyDescent="0.2">
      <c r="A548" s="134" t="s">
        <v>174</v>
      </c>
      <c r="B548" s="142" t="str">
        <f t="shared" si="114"/>
        <v>Cleaner closet</v>
      </c>
      <c r="C548" s="136" t="s">
        <v>211</v>
      </c>
      <c r="D548" s="137">
        <v>5</v>
      </c>
      <c r="E548" s="281"/>
      <c r="F548" s="274"/>
      <c r="G548" s="275">
        <f t="shared" si="113"/>
        <v>0</v>
      </c>
      <c r="I548" s="51"/>
      <c r="J548" s="22"/>
      <c r="K548" s="20"/>
    </row>
    <row r="549" spans="1:18" ht="12" customHeight="1" x14ac:dyDescent="0.2">
      <c r="A549" s="134" t="s">
        <v>175</v>
      </c>
      <c r="B549" s="142" t="str">
        <f t="shared" si="114"/>
        <v xml:space="preserve">Toilet </v>
      </c>
      <c r="C549" s="136" t="s">
        <v>211</v>
      </c>
      <c r="D549" s="137">
        <v>29.4</v>
      </c>
      <c r="E549" s="281"/>
      <c r="F549" s="274"/>
      <c r="G549" s="275">
        <f t="shared" ref="G549:G550" si="115">(D549*E549)+(D549*F549)</f>
        <v>0</v>
      </c>
      <c r="I549" s="51"/>
      <c r="J549" s="22"/>
      <c r="K549" s="20"/>
    </row>
    <row r="550" spans="1:18" ht="12" customHeight="1" x14ac:dyDescent="0.2">
      <c r="A550" s="134" t="s">
        <v>287</v>
      </c>
      <c r="B550" s="142" t="str">
        <f t="shared" si="114"/>
        <v>Staircase</v>
      </c>
      <c r="C550" s="136" t="s">
        <v>211</v>
      </c>
      <c r="D550" s="137">
        <v>20</v>
      </c>
      <c r="E550" s="281"/>
      <c r="F550" s="274"/>
      <c r="G550" s="275">
        <f t="shared" si="115"/>
        <v>0</v>
      </c>
      <c r="I550" s="51"/>
      <c r="J550" s="22"/>
      <c r="K550" s="20"/>
    </row>
    <row r="551" spans="1:18" ht="12" customHeight="1" x14ac:dyDescent="0.2">
      <c r="A551" s="134"/>
      <c r="B551" s="142"/>
      <c r="C551" s="136"/>
      <c r="D551" s="137"/>
      <c r="E551" s="281"/>
      <c r="F551" s="274"/>
      <c r="G551" s="275"/>
    </row>
    <row r="552" spans="1:18" ht="12.75" x14ac:dyDescent="0.2">
      <c r="A552" s="134" t="s">
        <v>230</v>
      </c>
      <c r="B552" s="145" t="s">
        <v>226</v>
      </c>
      <c r="C552" s="136"/>
      <c r="D552" s="137"/>
      <c r="E552" s="281"/>
      <c r="F552" s="274"/>
      <c r="G552" s="275"/>
      <c r="I552" s="51"/>
      <c r="J552" s="22"/>
      <c r="K552" s="20"/>
      <c r="L552" s="32"/>
      <c r="M552" s="24"/>
      <c r="N552" s="24"/>
      <c r="O552" s="24"/>
      <c r="P552" s="25"/>
    </row>
    <row r="553" spans="1:18" ht="15.75" x14ac:dyDescent="0.2">
      <c r="A553" s="134"/>
      <c r="B553" s="142" t="s">
        <v>319</v>
      </c>
      <c r="C553" s="136" t="s">
        <v>211</v>
      </c>
      <c r="D553" s="137">
        <v>132</v>
      </c>
      <c r="E553" s="281"/>
      <c r="F553" s="274"/>
      <c r="G553" s="275">
        <f t="shared" ref="G553" si="116">(D553*E553)+(D553*F553)</f>
        <v>0</v>
      </c>
      <c r="I553" s="26">
        <f>1.5*6+1*6</f>
        <v>15</v>
      </c>
      <c r="J553" s="42">
        <f>I553*3</f>
        <v>45</v>
      </c>
      <c r="K553" s="42">
        <f>0.6*2*3</f>
        <v>3.5999999999999996</v>
      </c>
      <c r="L553" s="42">
        <f>J553-K553</f>
        <v>41.4</v>
      </c>
      <c r="P553" s="42"/>
    </row>
    <row r="554" spans="1:18" ht="12.75" x14ac:dyDescent="0.2">
      <c r="A554" s="134"/>
      <c r="B554" s="142"/>
      <c r="C554" s="136"/>
      <c r="D554" s="137"/>
      <c r="E554" s="281"/>
      <c r="F554" s="274"/>
      <c r="G554" s="275"/>
      <c r="I554" s="26">
        <f>1.5+1.65*2</f>
        <v>4.8</v>
      </c>
      <c r="J554" s="42">
        <f>I554*1.8</f>
        <v>8.64</v>
      </c>
      <c r="K554" s="42"/>
      <c r="L554" s="42"/>
      <c r="M554" s="42"/>
      <c r="N554" s="42"/>
      <c r="O554" s="42"/>
      <c r="P554" s="42"/>
      <c r="Q554" s="42"/>
      <c r="R554" s="42"/>
    </row>
    <row r="555" spans="1:18" ht="12.75" x14ac:dyDescent="0.2">
      <c r="A555" s="138" t="s">
        <v>147</v>
      </c>
      <c r="B555" s="139" t="s">
        <v>67</v>
      </c>
      <c r="C555" s="140"/>
      <c r="D555" s="141"/>
      <c r="E555" s="271"/>
      <c r="F555" s="274"/>
      <c r="G555" s="275"/>
    </row>
    <row r="556" spans="1:18" ht="12" customHeight="1" x14ac:dyDescent="0.2">
      <c r="A556" s="134" t="s">
        <v>229</v>
      </c>
      <c r="B556" s="145" t="s">
        <v>225</v>
      </c>
      <c r="C556" s="136"/>
      <c r="D556" s="137"/>
      <c r="E556" s="281"/>
      <c r="F556" s="274"/>
      <c r="G556" s="275"/>
    </row>
    <row r="557" spans="1:18" ht="12" customHeight="1" x14ac:dyDescent="0.2">
      <c r="A557" s="134" t="s">
        <v>161</v>
      </c>
      <c r="B557" s="142" t="str">
        <f>B516</f>
        <v xml:space="preserve">Corridor </v>
      </c>
      <c r="C557" s="136" t="s">
        <v>211</v>
      </c>
      <c r="D557" s="137">
        <v>76</v>
      </c>
      <c r="E557" s="281"/>
      <c r="F557" s="274"/>
      <c r="G557" s="275">
        <f t="shared" ref="G557:G562" si="117">(D557*E557)+(D557*F557)</f>
        <v>0</v>
      </c>
      <c r="I557" s="51"/>
      <c r="J557" s="22"/>
      <c r="K557" s="20"/>
    </row>
    <row r="558" spans="1:18" ht="12" customHeight="1" x14ac:dyDescent="0.2">
      <c r="A558" s="134" t="s">
        <v>162</v>
      </c>
      <c r="B558" s="142" t="str">
        <f t="shared" ref="B558:B562" si="118">B517</f>
        <v>Classroom</v>
      </c>
      <c r="C558" s="136" t="s">
        <v>211</v>
      </c>
      <c r="D558" s="137">
        <v>163.5</v>
      </c>
      <c r="E558" s="281"/>
      <c r="F558" s="274"/>
      <c r="G558" s="275">
        <f t="shared" si="117"/>
        <v>0</v>
      </c>
      <c r="I558" s="51"/>
      <c r="J558" s="22"/>
      <c r="K558" s="20"/>
    </row>
    <row r="559" spans="1:18" ht="12" customHeight="1" x14ac:dyDescent="0.2">
      <c r="A559" s="134" t="s">
        <v>173</v>
      </c>
      <c r="B559" s="142" t="str">
        <f t="shared" si="118"/>
        <v>Store</v>
      </c>
      <c r="C559" s="136" t="s">
        <v>211</v>
      </c>
      <c r="D559" s="137">
        <v>8</v>
      </c>
      <c r="E559" s="281"/>
      <c r="F559" s="274"/>
      <c r="G559" s="275">
        <f t="shared" si="117"/>
        <v>0</v>
      </c>
      <c r="I559" s="51"/>
      <c r="J559" s="22"/>
      <c r="K559" s="20"/>
    </row>
    <row r="560" spans="1:18" ht="12" customHeight="1" x14ac:dyDescent="0.2">
      <c r="A560" s="134" t="s">
        <v>174</v>
      </c>
      <c r="B560" s="142" t="str">
        <f t="shared" si="118"/>
        <v>Cleaner closet</v>
      </c>
      <c r="C560" s="136" t="s">
        <v>211</v>
      </c>
      <c r="D560" s="137">
        <v>11.58</v>
      </c>
      <c r="E560" s="281"/>
      <c r="F560" s="274"/>
      <c r="G560" s="275">
        <f t="shared" si="117"/>
        <v>0</v>
      </c>
      <c r="I560" s="51"/>
      <c r="J560" s="22"/>
      <c r="K560" s="20"/>
    </row>
    <row r="561" spans="1:19" ht="12" customHeight="1" x14ac:dyDescent="0.2">
      <c r="A561" s="134" t="s">
        <v>175</v>
      </c>
      <c r="B561" s="142" t="str">
        <f t="shared" si="118"/>
        <v xml:space="preserve">Toilet </v>
      </c>
      <c r="C561" s="136" t="s">
        <v>211</v>
      </c>
      <c r="D561" s="137">
        <v>23</v>
      </c>
      <c r="E561" s="281"/>
      <c r="F561" s="274"/>
      <c r="G561" s="275">
        <f t="shared" si="117"/>
        <v>0</v>
      </c>
      <c r="I561" s="51"/>
      <c r="J561" s="22"/>
      <c r="K561" s="20"/>
    </row>
    <row r="562" spans="1:19" ht="12" customHeight="1" x14ac:dyDescent="0.2">
      <c r="A562" s="134" t="s">
        <v>287</v>
      </c>
      <c r="B562" s="142" t="str">
        <f t="shared" si="118"/>
        <v>Staircase</v>
      </c>
      <c r="C562" s="136" t="s">
        <v>211</v>
      </c>
      <c r="D562" s="137">
        <v>20</v>
      </c>
      <c r="E562" s="281"/>
      <c r="F562" s="274"/>
      <c r="G562" s="275">
        <f t="shared" si="117"/>
        <v>0</v>
      </c>
      <c r="I562" s="51"/>
      <c r="J562" s="22"/>
      <c r="K562" s="20"/>
    </row>
    <row r="563" spans="1:19" ht="12" customHeight="1" x14ac:dyDescent="0.2">
      <c r="A563" s="134"/>
      <c r="B563" s="142"/>
      <c r="C563" s="136"/>
      <c r="D563" s="137"/>
      <c r="E563" s="281"/>
      <c r="F563" s="274"/>
      <c r="G563" s="275"/>
      <c r="I563" s="51"/>
      <c r="J563" s="22"/>
      <c r="K563" s="20"/>
    </row>
    <row r="564" spans="1:19" ht="12.75" x14ac:dyDescent="0.2">
      <c r="A564" s="134" t="s">
        <v>230</v>
      </c>
      <c r="B564" s="145" t="s">
        <v>226</v>
      </c>
      <c r="C564" s="136"/>
      <c r="D564" s="137"/>
      <c r="E564" s="281"/>
      <c r="F564" s="274"/>
      <c r="G564" s="275"/>
      <c r="I564" s="51"/>
      <c r="J564" s="22"/>
      <c r="K564" s="20"/>
      <c r="L564" s="32"/>
      <c r="M564" s="24"/>
      <c r="N564" s="24"/>
      <c r="O564" s="24"/>
      <c r="P564" s="25"/>
    </row>
    <row r="565" spans="1:19" ht="15.75" x14ac:dyDescent="0.2">
      <c r="A565" s="134"/>
      <c r="B565" s="142" t="s">
        <v>319</v>
      </c>
      <c r="C565" s="136" t="s">
        <v>211</v>
      </c>
      <c r="D565" s="137">
        <v>132</v>
      </c>
      <c r="E565" s="281"/>
      <c r="F565" s="274"/>
      <c r="G565" s="275">
        <f t="shared" ref="G565" si="119">(D565*E565)+(D565*F565)</f>
        <v>0</v>
      </c>
      <c r="I565" s="26">
        <f>1.5*6+1*6</f>
        <v>15</v>
      </c>
      <c r="J565" s="42">
        <f>I565*3</f>
        <v>45</v>
      </c>
      <c r="K565" s="42">
        <f>0.6*2*3</f>
        <v>3.5999999999999996</v>
      </c>
      <c r="L565" s="42">
        <f>J565-K565</f>
        <v>41.4</v>
      </c>
      <c r="P565" s="42"/>
    </row>
    <row r="566" spans="1:19" ht="12.75" x14ac:dyDescent="0.2">
      <c r="A566" s="134"/>
      <c r="B566" s="145"/>
      <c r="C566" s="136"/>
      <c r="D566" s="137"/>
      <c r="E566" s="281"/>
      <c r="F566" s="274"/>
      <c r="G566" s="275"/>
    </row>
    <row r="567" spans="1:19" s="43" customFormat="1" ht="15" customHeight="1" x14ac:dyDescent="0.2">
      <c r="A567" s="138" t="s">
        <v>55</v>
      </c>
      <c r="B567" s="139" t="s">
        <v>363</v>
      </c>
      <c r="C567" s="140"/>
      <c r="D567" s="141"/>
      <c r="E567" s="271"/>
      <c r="F567" s="274"/>
      <c r="G567" s="275"/>
      <c r="H567" s="16"/>
      <c r="I567" s="16"/>
      <c r="J567" s="16"/>
      <c r="K567" s="16"/>
      <c r="L567" s="16"/>
      <c r="M567" s="16"/>
      <c r="N567" s="16"/>
      <c r="O567" s="16"/>
      <c r="P567" s="16"/>
      <c r="Q567" s="16"/>
      <c r="R567" s="16"/>
      <c r="S567" s="16"/>
    </row>
    <row r="568" spans="1:19" ht="12.75" x14ac:dyDescent="0.2">
      <c r="A568" s="134" t="s">
        <v>229</v>
      </c>
      <c r="B568" s="145" t="s">
        <v>225</v>
      </c>
      <c r="C568" s="136"/>
      <c r="D568" s="137"/>
      <c r="E568" s="281"/>
      <c r="F568" s="274"/>
      <c r="G568" s="275"/>
      <c r="I568" s="51"/>
      <c r="J568" s="22"/>
      <c r="K568" s="20"/>
    </row>
    <row r="569" spans="1:19" ht="12" customHeight="1" x14ac:dyDescent="0.2">
      <c r="A569" s="134" t="s">
        <v>161</v>
      </c>
      <c r="B569" s="142" t="str">
        <f>B523</f>
        <v xml:space="preserve">Corridor </v>
      </c>
      <c r="C569" s="136" t="s">
        <v>211</v>
      </c>
      <c r="D569" s="137">
        <v>76</v>
      </c>
      <c r="E569" s="281"/>
      <c r="F569" s="274"/>
      <c r="G569" s="275">
        <f t="shared" ref="G569:G574" si="120">(D569*E569)+(D569*F569)</f>
        <v>0</v>
      </c>
      <c r="I569" s="51"/>
      <c r="J569" s="22"/>
      <c r="K569" s="20"/>
    </row>
    <row r="570" spans="1:19" ht="12" customHeight="1" x14ac:dyDescent="0.2">
      <c r="A570" s="134" t="s">
        <v>162</v>
      </c>
      <c r="B570" s="142" t="str">
        <f t="shared" ref="B570:B574" si="121">B524</f>
        <v>Classroom</v>
      </c>
      <c r="C570" s="136" t="s">
        <v>211</v>
      </c>
      <c r="D570" s="137">
        <v>163.5</v>
      </c>
      <c r="E570" s="281"/>
      <c r="F570" s="274"/>
      <c r="G570" s="275">
        <f t="shared" si="120"/>
        <v>0</v>
      </c>
      <c r="I570" s="51"/>
      <c r="J570" s="22"/>
      <c r="K570" s="20"/>
    </row>
    <row r="571" spans="1:19" ht="12" customHeight="1" x14ac:dyDescent="0.2">
      <c r="A571" s="134" t="s">
        <v>173</v>
      </c>
      <c r="B571" s="142" t="str">
        <f t="shared" si="121"/>
        <v>Store</v>
      </c>
      <c r="C571" s="136" t="s">
        <v>211</v>
      </c>
      <c r="D571" s="137">
        <v>8</v>
      </c>
      <c r="E571" s="281"/>
      <c r="F571" s="274"/>
      <c r="G571" s="275">
        <f t="shared" si="120"/>
        <v>0</v>
      </c>
      <c r="I571" s="51"/>
      <c r="J571" s="22"/>
      <c r="K571" s="20"/>
    </row>
    <row r="572" spans="1:19" ht="12" customHeight="1" x14ac:dyDescent="0.2">
      <c r="A572" s="134" t="s">
        <v>174</v>
      </c>
      <c r="B572" s="142" t="str">
        <f t="shared" si="121"/>
        <v>Cleaner closet</v>
      </c>
      <c r="C572" s="136" t="s">
        <v>211</v>
      </c>
      <c r="D572" s="137">
        <v>11.58</v>
      </c>
      <c r="E572" s="281"/>
      <c r="F572" s="274"/>
      <c r="G572" s="275">
        <f t="shared" si="120"/>
        <v>0</v>
      </c>
      <c r="I572" s="51"/>
      <c r="J572" s="22"/>
      <c r="K572" s="20"/>
    </row>
    <row r="573" spans="1:19" ht="12" customHeight="1" x14ac:dyDescent="0.2">
      <c r="A573" s="134" t="s">
        <v>175</v>
      </c>
      <c r="B573" s="142" t="str">
        <f t="shared" si="121"/>
        <v xml:space="preserve">Toilet </v>
      </c>
      <c r="C573" s="136" t="s">
        <v>211</v>
      </c>
      <c r="D573" s="137">
        <v>23</v>
      </c>
      <c r="E573" s="281"/>
      <c r="F573" s="274"/>
      <c r="G573" s="275">
        <f t="shared" si="120"/>
        <v>0</v>
      </c>
      <c r="I573" s="51"/>
      <c r="J573" s="22"/>
      <c r="K573" s="20"/>
    </row>
    <row r="574" spans="1:19" ht="12" customHeight="1" x14ac:dyDescent="0.2">
      <c r="A574" s="134" t="s">
        <v>287</v>
      </c>
      <c r="B574" s="142" t="str">
        <f t="shared" si="121"/>
        <v>Staircase</v>
      </c>
      <c r="C574" s="136" t="s">
        <v>211</v>
      </c>
      <c r="D574" s="137">
        <v>20</v>
      </c>
      <c r="E574" s="281"/>
      <c r="F574" s="274"/>
      <c r="G574" s="275">
        <f t="shared" si="120"/>
        <v>0</v>
      </c>
      <c r="I574" s="51"/>
      <c r="J574" s="22"/>
      <c r="K574" s="20"/>
    </row>
    <row r="575" spans="1:19" ht="12" customHeight="1" x14ac:dyDescent="0.2">
      <c r="A575" s="134"/>
      <c r="B575" s="142"/>
      <c r="C575" s="136"/>
      <c r="D575" s="137"/>
      <c r="E575" s="281"/>
      <c r="F575" s="274"/>
      <c r="G575" s="275"/>
    </row>
    <row r="576" spans="1:19" ht="12.75" x14ac:dyDescent="0.2">
      <c r="A576" s="134" t="s">
        <v>230</v>
      </c>
      <c r="B576" s="145" t="s">
        <v>226</v>
      </c>
      <c r="C576" s="136"/>
      <c r="D576" s="137"/>
      <c r="E576" s="281"/>
      <c r="F576" s="274"/>
      <c r="G576" s="275"/>
      <c r="I576" s="51"/>
      <c r="J576" s="22"/>
      <c r="K576" s="20"/>
      <c r="L576" s="32"/>
      <c r="M576" s="24"/>
      <c r="N576" s="24"/>
      <c r="O576" s="24"/>
      <c r="P576" s="25"/>
    </row>
    <row r="577" spans="1:19" ht="15.75" x14ac:dyDescent="0.2">
      <c r="A577" s="134"/>
      <c r="B577" s="142" t="s">
        <v>319</v>
      </c>
      <c r="C577" s="136" t="s">
        <v>211</v>
      </c>
      <c r="D577" s="137">
        <v>132</v>
      </c>
      <c r="E577" s="281"/>
      <c r="F577" s="274"/>
      <c r="G577" s="275">
        <f t="shared" ref="G577" si="122">(D577*E577)+(D577*F577)</f>
        <v>0</v>
      </c>
      <c r="I577" s="26">
        <f>1.5*6+1*6</f>
        <v>15</v>
      </c>
      <c r="J577" s="42">
        <f>I577*3</f>
        <v>45</v>
      </c>
      <c r="K577" s="42">
        <f>0.6*2*3</f>
        <v>3.5999999999999996</v>
      </c>
      <c r="L577" s="42">
        <f>J577-K577</f>
        <v>41.4</v>
      </c>
      <c r="P577" s="42"/>
    </row>
    <row r="578" spans="1:19" ht="12.75" x14ac:dyDescent="0.2">
      <c r="A578" s="134"/>
      <c r="B578" s="142"/>
      <c r="C578" s="136"/>
      <c r="D578" s="137"/>
      <c r="E578" s="281"/>
      <c r="F578" s="274"/>
      <c r="G578" s="275"/>
    </row>
    <row r="579" spans="1:19" s="43" customFormat="1" ht="15" customHeight="1" x14ac:dyDescent="0.2">
      <c r="A579" s="138" t="s">
        <v>148</v>
      </c>
      <c r="B579" s="139" t="s">
        <v>409</v>
      </c>
      <c r="C579" s="140"/>
      <c r="D579" s="141"/>
      <c r="E579" s="271"/>
      <c r="F579" s="274"/>
      <c r="G579" s="275"/>
      <c r="H579" s="16"/>
      <c r="I579" s="16"/>
      <c r="J579" s="16"/>
      <c r="K579" s="16"/>
      <c r="L579" s="16"/>
      <c r="M579" s="16"/>
      <c r="N579" s="16"/>
      <c r="O579" s="16"/>
      <c r="P579" s="16"/>
      <c r="Q579" s="16"/>
      <c r="R579" s="16"/>
      <c r="S579" s="16"/>
    </row>
    <row r="580" spans="1:19" ht="12.75" x14ac:dyDescent="0.2">
      <c r="A580" s="134" t="s">
        <v>229</v>
      </c>
      <c r="B580" s="145" t="s">
        <v>225</v>
      </c>
      <c r="C580" s="136"/>
      <c r="D580" s="137"/>
      <c r="E580" s="281"/>
      <c r="F580" s="274"/>
      <c r="G580" s="275"/>
      <c r="I580" s="51"/>
      <c r="J580" s="22"/>
      <c r="K580" s="20"/>
    </row>
    <row r="581" spans="1:19" ht="12" customHeight="1" x14ac:dyDescent="0.2">
      <c r="A581" s="134" t="s">
        <v>161</v>
      </c>
      <c r="B581" s="142" t="str">
        <f>B530</f>
        <v xml:space="preserve">Corridor </v>
      </c>
      <c r="C581" s="136" t="s">
        <v>211</v>
      </c>
      <c r="D581" s="137">
        <v>76</v>
      </c>
      <c r="E581" s="281"/>
      <c r="F581" s="274"/>
      <c r="G581" s="275">
        <f t="shared" ref="G581" si="123">(D581*E581)+(D581*F581)</f>
        <v>0</v>
      </c>
      <c r="I581" s="51"/>
      <c r="J581" s="22"/>
      <c r="K581" s="20"/>
    </row>
    <row r="582" spans="1:19" ht="12" customHeight="1" x14ac:dyDescent="0.2">
      <c r="A582" s="134" t="s">
        <v>162</v>
      </c>
      <c r="B582" s="142" t="str">
        <f t="shared" ref="B582:B586" si="124">B531</f>
        <v>Classroom</v>
      </c>
      <c r="C582" s="136" t="s">
        <v>211</v>
      </c>
      <c r="D582" s="137">
        <v>163.5</v>
      </c>
      <c r="E582" s="281"/>
      <c r="F582" s="274"/>
      <c r="G582" s="275">
        <f t="shared" ref="G582" si="125">(D582*E582)+(D582*F582)</f>
        <v>0</v>
      </c>
      <c r="I582" s="51"/>
      <c r="J582" s="22"/>
      <c r="K582" s="20"/>
    </row>
    <row r="583" spans="1:19" ht="12" customHeight="1" x14ac:dyDescent="0.2">
      <c r="A583" s="134" t="s">
        <v>173</v>
      </c>
      <c r="B583" s="142" t="str">
        <f t="shared" si="124"/>
        <v>Store</v>
      </c>
      <c r="C583" s="136" t="s">
        <v>211</v>
      </c>
      <c r="D583" s="137">
        <v>8</v>
      </c>
      <c r="E583" s="281"/>
      <c r="F583" s="274"/>
      <c r="G583" s="275">
        <f t="shared" ref="G583:G586" si="126">(D583*E583)+(D583*F583)</f>
        <v>0</v>
      </c>
      <c r="I583" s="51"/>
      <c r="J583" s="22"/>
      <c r="K583" s="20"/>
    </row>
    <row r="584" spans="1:19" ht="12" customHeight="1" x14ac:dyDescent="0.2">
      <c r="A584" s="134" t="s">
        <v>174</v>
      </c>
      <c r="B584" s="142" t="str">
        <f t="shared" si="124"/>
        <v>Cleaner closet</v>
      </c>
      <c r="C584" s="136" t="s">
        <v>211</v>
      </c>
      <c r="D584" s="137">
        <v>11.58</v>
      </c>
      <c r="E584" s="281"/>
      <c r="F584" s="274"/>
      <c r="G584" s="275">
        <f t="shared" si="126"/>
        <v>0</v>
      </c>
      <c r="I584" s="51"/>
      <c r="J584" s="22"/>
      <c r="K584" s="20"/>
    </row>
    <row r="585" spans="1:19" ht="12" customHeight="1" x14ac:dyDescent="0.2">
      <c r="A585" s="134" t="s">
        <v>175</v>
      </c>
      <c r="B585" s="142" t="str">
        <f t="shared" si="124"/>
        <v xml:space="preserve">Toilet </v>
      </c>
      <c r="C585" s="136" t="s">
        <v>211</v>
      </c>
      <c r="D585" s="137">
        <v>23</v>
      </c>
      <c r="E585" s="281"/>
      <c r="F585" s="274"/>
      <c r="G585" s="275">
        <f t="shared" si="126"/>
        <v>0</v>
      </c>
      <c r="I585" s="51"/>
      <c r="J585" s="22"/>
      <c r="K585" s="20"/>
    </row>
    <row r="586" spans="1:19" ht="12" customHeight="1" x14ac:dyDescent="0.2">
      <c r="A586" s="134" t="s">
        <v>287</v>
      </c>
      <c r="B586" s="142" t="str">
        <f t="shared" si="124"/>
        <v>Staircase</v>
      </c>
      <c r="C586" s="136" t="s">
        <v>211</v>
      </c>
      <c r="D586" s="137">
        <v>20</v>
      </c>
      <c r="E586" s="281"/>
      <c r="F586" s="274"/>
      <c r="G586" s="275">
        <f t="shared" si="126"/>
        <v>0</v>
      </c>
      <c r="I586" s="51"/>
      <c r="J586" s="22"/>
      <c r="K586" s="20"/>
    </row>
    <row r="587" spans="1:19" ht="12" customHeight="1" x14ac:dyDescent="0.2">
      <c r="A587" s="134"/>
      <c r="B587" s="142"/>
      <c r="C587" s="136"/>
      <c r="D587" s="137"/>
      <c r="E587" s="281"/>
      <c r="F587" s="274"/>
      <c r="G587" s="275"/>
    </row>
    <row r="588" spans="1:19" ht="12.75" x14ac:dyDescent="0.2">
      <c r="A588" s="134" t="s">
        <v>230</v>
      </c>
      <c r="B588" s="145" t="s">
        <v>226</v>
      </c>
      <c r="C588" s="136"/>
      <c r="D588" s="137"/>
      <c r="E588" s="281"/>
      <c r="F588" s="274"/>
      <c r="G588" s="275"/>
      <c r="I588" s="51"/>
      <c r="J588" s="22"/>
      <c r="K588" s="20"/>
      <c r="L588" s="32"/>
      <c r="M588" s="24"/>
      <c r="N588" s="24"/>
      <c r="O588" s="24"/>
      <c r="P588" s="25"/>
    </row>
    <row r="589" spans="1:19" ht="15.75" x14ac:dyDescent="0.2">
      <c r="A589" s="134"/>
      <c r="B589" s="142" t="s">
        <v>319</v>
      </c>
      <c r="C589" s="136" t="s">
        <v>211</v>
      </c>
      <c r="D589" s="137">
        <v>132</v>
      </c>
      <c r="E589" s="281"/>
      <c r="F589" s="274"/>
      <c r="G589" s="275">
        <f t="shared" ref="G589" si="127">(D589*E589)+(D589*F589)</f>
        <v>0</v>
      </c>
      <c r="I589" s="26">
        <f>1.5*6+1*6</f>
        <v>15</v>
      </c>
      <c r="J589" s="42">
        <f>I589*3</f>
        <v>45</v>
      </c>
      <c r="K589" s="42">
        <f>0.6*2*3</f>
        <v>3.5999999999999996</v>
      </c>
      <c r="L589" s="42">
        <f>J589-K589</f>
        <v>41.4</v>
      </c>
      <c r="P589" s="42"/>
    </row>
    <row r="590" spans="1:19" ht="12.75" x14ac:dyDescent="0.2">
      <c r="A590" s="134"/>
      <c r="B590" s="142"/>
      <c r="C590" s="136"/>
      <c r="D590" s="137"/>
      <c r="E590" s="281"/>
      <c r="F590" s="274"/>
      <c r="G590" s="275"/>
    </row>
    <row r="591" spans="1:19" s="322" customFormat="1" x14ac:dyDescent="0.2">
      <c r="A591" s="324" t="s">
        <v>164</v>
      </c>
      <c r="B591" s="335" t="s">
        <v>202</v>
      </c>
      <c r="C591" s="331"/>
      <c r="D591" s="294"/>
      <c r="E591" s="271"/>
      <c r="F591" s="274"/>
      <c r="G591" s="275"/>
    </row>
    <row r="592" spans="1:19" ht="24" x14ac:dyDescent="0.2">
      <c r="A592" s="146"/>
      <c r="B592" s="147" t="s">
        <v>376</v>
      </c>
      <c r="C592" s="148"/>
      <c r="D592" s="59"/>
      <c r="E592" s="281"/>
      <c r="F592" s="274"/>
      <c r="G592" s="275"/>
    </row>
    <row r="593" spans="1:13" x14ac:dyDescent="0.2">
      <c r="A593" s="146"/>
      <c r="B593" s="147" t="s">
        <v>320</v>
      </c>
      <c r="C593" s="113" t="s">
        <v>14</v>
      </c>
      <c r="D593" s="59">
        <v>1</v>
      </c>
      <c r="E593" s="281"/>
      <c r="F593" s="274"/>
      <c r="G593" s="275">
        <f>(D593*E593)+(D593*F593)</f>
        <v>0</v>
      </c>
      <c r="I593" s="42">
        <f>D593/2.5</f>
        <v>0.4</v>
      </c>
      <c r="J593" s="42">
        <f>I593*800</f>
        <v>320</v>
      </c>
      <c r="K593" s="42">
        <f>J593/D593</f>
        <v>320</v>
      </c>
    </row>
    <row r="594" spans="1:13" x14ac:dyDescent="0.2">
      <c r="A594" s="146"/>
      <c r="B594" s="147" t="s">
        <v>280</v>
      </c>
      <c r="C594" s="113" t="s">
        <v>14</v>
      </c>
      <c r="D594" s="59">
        <v>1</v>
      </c>
      <c r="E594" s="281"/>
      <c r="F594" s="274"/>
      <c r="G594" s="275">
        <f>(D594*E594)+(D594*F594)</f>
        <v>0</v>
      </c>
      <c r="I594" s="26"/>
      <c r="L594" s="26"/>
    </row>
    <row r="595" spans="1:13" x14ac:dyDescent="0.2">
      <c r="A595" s="146"/>
      <c r="B595" s="147"/>
      <c r="C595" s="113"/>
      <c r="D595" s="59"/>
      <c r="E595" s="281"/>
      <c r="F595" s="274"/>
      <c r="G595" s="275"/>
    </row>
    <row r="596" spans="1:13" s="322" customFormat="1" x14ac:dyDescent="0.2">
      <c r="A596" s="324" t="s">
        <v>165</v>
      </c>
      <c r="B596" s="335" t="s">
        <v>212</v>
      </c>
      <c r="C596" s="331"/>
      <c r="D596" s="294"/>
      <c r="E596" s="271"/>
      <c r="F596" s="274"/>
      <c r="G596" s="275"/>
    </row>
    <row r="597" spans="1:13" ht="24" x14ac:dyDescent="0.2">
      <c r="A597" s="149" t="s">
        <v>161</v>
      </c>
      <c r="B597" s="147" t="s">
        <v>377</v>
      </c>
      <c r="C597" s="113" t="s">
        <v>14</v>
      </c>
      <c r="D597" s="59">
        <v>1</v>
      </c>
      <c r="E597" s="281"/>
      <c r="F597" s="274"/>
      <c r="G597" s="275">
        <f>(D597*E597)+(D597*F597)</f>
        <v>0</v>
      </c>
      <c r="J597" s="42"/>
      <c r="K597" s="42"/>
      <c r="L597" s="42"/>
      <c r="M597" s="42"/>
    </row>
    <row r="598" spans="1:13" x14ac:dyDescent="0.2">
      <c r="A598" s="146"/>
      <c r="B598" s="147"/>
      <c r="C598" s="113"/>
      <c r="D598" s="59"/>
      <c r="E598" s="281"/>
      <c r="F598" s="274"/>
      <c r="G598" s="275"/>
    </row>
    <row r="599" spans="1:13" x14ac:dyDescent="0.2">
      <c r="A599" s="146"/>
      <c r="B599" s="147"/>
      <c r="C599" s="113"/>
      <c r="D599" s="59"/>
      <c r="E599" s="281"/>
      <c r="F599" s="274"/>
      <c r="G599" s="275"/>
    </row>
    <row r="600" spans="1:13" x14ac:dyDescent="0.2">
      <c r="A600" s="146"/>
      <c r="B600" s="147"/>
      <c r="C600" s="113"/>
      <c r="D600" s="59"/>
      <c r="E600" s="281"/>
      <c r="F600" s="274"/>
      <c r="G600" s="275"/>
    </row>
    <row r="601" spans="1:13" x14ac:dyDescent="0.2">
      <c r="A601" s="146"/>
      <c r="B601" s="147"/>
      <c r="C601" s="113"/>
      <c r="D601" s="59"/>
      <c r="E601" s="281"/>
      <c r="F601" s="274"/>
      <c r="G601" s="275"/>
    </row>
    <row r="602" spans="1:13" x14ac:dyDescent="0.2">
      <c r="A602" s="146"/>
      <c r="B602" s="147"/>
      <c r="C602" s="113"/>
      <c r="D602" s="59"/>
      <c r="E602" s="281"/>
      <c r="F602" s="274"/>
      <c r="G602" s="275"/>
    </row>
    <row r="603" spans="1:13" ht="12" customHeight="1" x14ac:dyDescent="0.2">
      <c r="A603" s="146"/>
      <c r="B603" s="147"/>
      <c r="C603" s="113"/>
      <c r="D603" s="59"/>
      <c r="E603" s="281"/>
      <c r="F603" s="274"/>
      <c r="G603" s="275"/>
    </row>
    <row r="604" spans="1:13" ht="12" customHeight="1" x14ac:dyDescent="0.2">
      <c r="A604" s="146"/>
      <c r="B604" s="147"/>
      <c r="C604" s="113"/>
      <c r="D604" s="59"/>
      <c r="E604" s="281"/>
      <c r="F604" s="274"/>
      <c r="G604" s="275"/>
    </row>
    <row r="605" spans="1:13" ht="12" customHeight="1" x14ac:dyDescent="0.2">
      <c r="A605" s="146"/>
      <c r="B605" s="147"/>
      <c r="C605" s="113"/>
      <c r="D605" s="59"/>
      <c r="E605" s="281"/>
      <c r="F605" s="274"/>
      <c r="G605" s="275"/>
    </row>
    <row r="606" spans="1:13" ht="12" customHeight="1" thickBot="1" x14ac:dyDescent="0.25">
      <c r="A606" s="146"/>
      <c r="B606" s="147"/>
      <c r="C606" s="113"/>
      <c r="D606" s="59"/>
      <c r="E606" s="281"/>
      <c r="F606" s="274"/>
      <c r="G606" s="275"/>
    </row>
    <row r="607" spans="1:13" ht="12" customHeight="1" x14ac:dyDescent="0.2">
      <c r="A607" s="226"/>
      <c r="B607" s="227" t="s">
        <v>142</v>
      </c>
      <c r="C607" s="234"/>
      <c r="D607" s="229"/>
      <c r="E607" s="352"/>
      <c r="F607" s="353"/>
      <c r="G607" s="354"/>
    </row>
    <row r="608" spans="1:13" ht="12" customHeight="1" thickBot="1" x14ac:dyDescent="0.25">
      <c r="A608" s="230"/>
      <c r="B608" s="231" t="s">
        <v>143</v>
      </c>
      <c r="C608" s="235"/>
      <c r="D608" s="233"/>
      <c r="E608" s="349"/>
      <c r="F608" s="355"/>
      <c r="G608" s="356">
        <f>SUM(G508:G607)</f>
        <v>0</v>
      </c>
    </row>
    <row r="609" spans="1:19" x14ac:dyDescent="0.2">
      <c r="A609" s="156"/>
      <c r="B609" s="241"/>
      <c r="C609" s="147"/>
      <c r="D609" s="147"/>
      <c r="E609" s="281"/>
      <c r="F609" s="274"/>
      <c r="G609" s="275"/>
    </row>
    <row r="610" spans="1:19" x14ac:dyDescent="0.2">
      <c r="A610" s="156"/>
      <c r="B610" s="157" t="s">
        <v>186</v>
      </c>
      <c r="C610" s="147"/>
      <c r="D610" s="147"/>
      <c r="E610" s="281"/>
      <c r="F610" s="274"/>
      <c r="G610" s="275"/>
    </row>
    <row r="611" spans="1:19" x14ac:dyDescent="0.2">
      <c r="A611" s="156"/>
      <c r="B611" s="158" t="s">
        <v>108</v>
      </c>
      <c r="C611" s="147"/>
      <c r="D611" s="147"/>
      <c r="E611" s="281"/>
      <c r="F611" s="274"/>
      <c r="G611" s="275"/>
    </row>
    <row r="612" spans="1:19" x14ac:dyDescent="0.2">
      <c r="A612" s="159" t="s">
        <v>166</v>
      </c>
      <c r="B612" s="160" t="s">
        <v>40</v>
      </c>
      <c r="C612" s="147"/>
      <c r="D612" s="147"/>
      <c r="E612" s="281"/>
      <c r="F612" s="274"/>
      <c r="G612" s="275"/>
    </row>
    <row r="613" spans="1:19" ht="36" x14ac:dyDescent="0.2">
      <c r="A613" s="156"/>
      <c r="B613" s="147" t="s">
        <v>254</v>
      </c>
      <c r="C613" s="147"/>
      <c r="D613" s="147"/>
      <c r="E613" s="281"/>
      <c r="F613" s="274"/>
      <c r="G613" s="275"/>
    </row>
    <row r="614" spans="1:19" ht="48" x14ac:dyDescent="0.2">
      <c r="A614" s="156"/>
      <c r="B614" s="147" t="s">
        <v>253</v>
      </c>
      <c r="C614" s="147"/>
      <c r="D614" s="147"/>
      <c r="E614" s="281"/>
      <c r="F614" s="274"/>
      <c r="G614" s="275"/>
    </row>
    <row r="615" spans="1:19" ht="30.75" customHeight="1" x14ac:dyDescent="0.2">
      <c r="A615" s="156"/>
      <c r="B615" s="147" t="s">
        <v>330</v>
      </c>
      <c r="C615" s="147"/>
      <c r="D615" s="147"/>
      <c r="E615" s="281"/>
      <c r="F615" s="274"/>
      <c r="G615" s="275"/>
    </row>
    <row r="616" spans="1:19" ht="27" customHeight="1" x14ac:dyDescent="0.2">
      <c r="A616" s="156"/>
      <c r="B616" s="147" t="s">
        <v>252</v>
      </c>
      <c r="C616" s="147"/>
      <c r="D616" s="147"/>
      <c r="E616" s="281"/>
      <c r="F616" s="274"/>
      <c r="G616" s="275"/>
    </row>
    <row r="617" spans="1:19" ht="24" x14ac:dyDescent="0.2">
      <c r="A617" s="56"/>
      <c r="B617" s="147" t="s">
        <v>209</v>
      </c>
      <c r="C617" s="147"/>
      <c r="D617" s="147"/>
      <c r="E617" s="281"/>
      <c r="F617" s="274"/>
      <c r="G617" s="275"/>
    </row>
    <row r="618" spans="1:19" ht="14.25" customHeight="1" x14ac:dyDescent="0.2">
      <c r="A618" s="156"/>
      <c r="B618" s="147"/>
      <c r="C618" s="147"/>
      <c r="D618" s="147"/>
      <c r="E618" s="281"/>
      <c r="F618" s="274"/>
      <c r="G618" s="275"/>
    </row>
    <row r="619" spans="1:19" x14ac:dyDescent="0.2">
      <c r="A619" s="124" t="s">
        <v>146</v>
      </c>
      <c r="B619" s="125" t="s">
        <v>110</v>
      </c>
      <c r="C619" s="126"/>
      <c r="D619" s="127"/>
      <c r="E619" s="281"/>
      <c r="F619" s="274"/>
      <c r="G619" s="275"/>
    </row>
    <row r="620" spans="1:19" s="322" customFormat="1" x14ac:dyDescent="0.2">
      <c r="A620" s="326"/>
      <c r="B620" s="330" t="s">
        <v>301</v>
      </c>
      <c r="C620" s="331"/>
      <c r="D620" s="294"/>
      <c r="E620" s="271"/>
      <c r="F620" s="274"/>
      <c r="G620" s="275"/>
    </row>
    <row r="621" spans="1:19" x14ac:dyDescent="0.2">
      <c r="A621" s="63"/>
      <c r="B621" s="375" t="s">
        <v>429</v>
      </c>
      <c r="C621" s="129"/>
      <c r="D621" s="59"/>
      <c r="E621" s="271"/>
      <c r="F621" s="283"/>
      <c r="G621" s="284"/>
      <c r="H621" s="43"/>
      <c r="I621" s="52">
        <f>0.95*2.83</f>
        <v>2.6884999999999999</v>
      </c>
      <c r="J621" s="50">
        <f>I621*D621</f>
        <v>0</v>
      </c>
      <c r="K621" s="52">
        <f>J621+J625+J626+J627</f>
        <v>26.383000000000003</v>
      </c>
      <c r="L621" s="43"/>
      <c r="M621" s="43"/>
      <c r="N621" s="43"/>
      <c r="O621" s="43"/>
      <c r="P621" s="43"/>
      <c r="Q621" s="43"/>
      <c r="R621" s="43"/>
      <c r="S621" s="43"/>
    </row>
    <row r="622" spans="1:19" x14ac:dyDescent="0.2">
      <c r="A622" s="63" t="s">
        <v>161</v>
      </c>
      <c r="B622" s="128" t="s">
        <v>422</v>
      </c>
      <c r="C622" s="129" t="s">
        <v>111</v>
      </c>
      <c r="D622" s="59">
        <v>6</v>
      </c>
      <c r="E622" s="271"/>
      <c r="F622" s="283"/>
      <c r="G622" s="284">
        <f t="shared" ref="G622:G624" si="128">(D622*E622)+(D622*F622)</f>
        <v>0</v>
      </c>
      <c r="H622" s="43"/>
      <c r="I622" s="52">
        <f>0.95*2.15</f>
        <v>2.0425</v>
      </c>
      <c r="J622" s="50">
        <f>I622*D622</f>
        <v>12.254999999999999</v>
      </c>
      <c r="K622" s="52"/>
      <c r="L622" s="43"/>
      <c r="M622" s="43"/>
      <c r="N622" s="43"/>
      <c r="O622" s="43"/>
      <c r="P622" s="43"/>
      <c r="Q622" s="43"/>
      <c r="R622" s="43"/>
      <c r="S622" s="43"/>
    </row>
    <row r="623" spans="1:19" x14ac:dyDescent="0.2">
      <c r="A623" s="63" t="s">
        <v>162</v>
      </c>
      <c r="B623" s="128" t="s">
        <v>423</v>
      </c>
      <c r="C623" s="129" t="s">
        <v>111</v>
      </c>
      <c r="D623" s="59">
        <v>2</v>
      </c>
      <c r="E623" s="271"/>
      <c r="F623" s="283"/>
      <c r="G623" s="284">
        <f t="shared" si="128"/>
        <v>0</v>
      </c>
      <c r="H623" s="43"/>
      <c r="I623" s="50">
        <f>0.78*2</f>
        <v>1.56</v>
      </c>
      <c r="J623" s="50">
        <f>I623*D623</f>
        <v>3.12</v>
      </c>
      <c r="K623" s="52"/>
      <c r="L623" s="43"/>
      <c r="M623" s="43"/>
      <c r="N623" s="43"/>
      <c r="O623" s="43"/>
      <c r="P623" s="43"/>
      <c r="Q623" s="43"/>
      <c r="R623" s="43"/>
      <c r="S623" s="43"/>
    </row>
    <row r="624" spans="1:19" x14ac:dyDescent="0.2">
      <c r="A624" s="63" t="s">
        <v>173</v>
      </c>
      <c r="B624" s="128" t="s">
        <v>424</v>
      </c>
      <c r="C624" s="129" t="s">
        <v>111</v>
      </c>
      <c r="D624" s="59">
        <v>2</v>
      </c>
      <c r="E624" s="271"/>
      <c r="F624" s="274"/>
      <c r="G624" s="275">
        <f t="shared" si="128"/>
        <v>0</v>
      </c>
      <c r="I624" s="26"/>
      <c r="J624" s="50"/>
      <c r="K624" s="42"/>
      <c r="L624" s="42">
        <f>J623+I622</f>
        <v>5.1624999999999996</v>
      </c>
    </row>
    <row r="625" spans="1:19" x14ac:dyDescent="0.2">
      <c r="A625" s="63" t="s">
        <v>174</v>
      </c>
      <c r="B625" s="128" t="s">
        <v>425</v>
      </c>
      <c r="C625" s="129" t="s">
        <v>111</v>
      </c>
      <c r="D625" s="59">
        <v>6</v>
      </c>
      <c r="E625" s="271"/>
      <c r="F625" s="283"/>
      <c r="G625" s="284">
        <f t="shared" ref="G625:G627" si="129">(D625*E625)+(D625*F625)</f>
        <v>0</v>
      </c>
      <c r="I625" s="26">
        <f>2.45*1.69</f>
        <v>4.1405000000000003</v>
      </c>
      <c r="J625" s="50">
        <f t="shared" ref="J625:J629" si="130">I625*D625</f>
        <v>24.843000000000004</v>
      </c>
      <c r="K625" s="42"/>
    </row>
    <row r="626" spans="1:19" x14ac:dyDescent="0.2">
      <c r="A626" s="63"/>
      <c r="B626" s="375" t="s">
        <v>430</v>
      </c>
      <c r="C626" s="129"/>
      <c r="D626" s="59"/>
      <c r="E626" s="271"/>
      <c r="F626" s="283"/>
      <c r="G626" s="284"/>
      <c r="I626" s="26"/>
      <c r="J626" s="50"/>
      <c r="K626" s="42"/>
    </row>
    <row r="627" spans="1:19" x14ac:dyDescent="0.2">
      <c r="A627" s="63" t="s">
        <v>175</v>
      </c>
      <c r="B627" s="128" t="s">
        <v>427</v>
      </c>
      <c r="C627" s="129" t="s">
        <v>111</v>
      </c>
      <c r="D627" s="59">
        <v>4</v>
      </c>
      <c r="E627" s="271"/>
      <c r="F627" s="283"/>
      <c r="G627" s="284">
        <f t="shared" si="129"/>
        <v>0</v>
      </c>
      <c r="I627" s="26">
        <f>0.7*0.55</f>
        <v>0.38500000000000001</v>
      </c>
      <c r="J627" s="50">
        <f t="shared" si="130"/>
        <v>1.54</v>
      </c>
      <c r="K627" s="42"/>
    </row>
    <row r="628" spans="1:19" x14ac:dyDescent="0.2">
      <c r="A628" s="63" t="s">
        <v>176</v>
      </c>
      <c r="B628" s="128" t="s">
        <v>426</v>
      </c>
      <c r="C628" s="129" t="s">
        <v>111</v>
      </c>
      <c r="D628" s="59">
        <v>4</v>
      </c>
      <c r="E628" s="271"/>
      <c r="F628" s="283"/>
      <c r="G628" s="284">
        <f t="shared" ref="G628:G629" si="131">(D628*E628)+(D628*F628)</f>
        <v>0</v>
      </c>
      <c r="I628" s="26">
        <f>2.45*1.69</f>
        <v>4.1405000000000003</v>
      </c>
      <c r="J628" s="50">
        <f t="shared" si="130"/>
        <v>16.562000000000001</v>
      </c>
      <c r="K628" s="42"/>
    </row>
    <row r="629" spans="1:19" x14ac:dyDescent="0.2">
      <c r="A629" s="63" t="s">
        <v>177</v>
      </c>
      <c r="B629" s="128" t="s">
        <v>428</v>
      </c>
      <c r="C629" s="129" t="s">
        <v>111</v>
      </c>
      <c r="D629" s="59">
        <v>1</v>
      </c>
      <c r="E629" s="271"/>
      <c r="F629" s="283"/>
      <c r="G629" s="284">
        <f t="shared" si="131"/>
        <v>0</v>
      </c>
      <c r="I629" s="26">
        <f>1.575*2</f>
        <v>3.15</v>
      </c>
      <c r="J629" s="50">
        <f t="shared" si="130"/>
        <v>3.15</v>
      </c>
      <c r="K629" s="42"/>
    </row>
    <row r="630" spans="1:19" x14ac:dyDescent="0.2">
      <c r="A630" s="124" t="s">
        <v>147</v>
      </c>
      <c r="B630" s="125" t="s">
        <v>67</v>
      </c>
      <c r="C630" s="126"/>
      <c r="D630" s="127"/>
      <c r="E630" s="271"/>
      <c r="F630" s="274"/>
      <c r="G630" s="275"/>
      <c r="J630" s="26"/>
      <c r="K630" s="26"/>
    </row>
    <row r="631" spans="1:19" s="322" customFormat="1" x14ac:dyDescent="0.2">
      <c r="A631" s="326"/>
      <c r="B631" s="330" t="s">
        <v>301</v>
      </c>
      <c r="C631" s="331"/>
      <c r="D631" s="294"/>
      <c r="E631" s="271"/>
      <c r="F631" s="274"/>
      <c r="G631" s="275"/>
      <c r="K631" s="334"/>
    </row>
    <row r="632" spans="1:19" x14ac:dyDescent="0.2">
      <c r="A632" s="63"/>
      <c r="B632" s="375" t="s">
        <v>429</v>
      </c>
      <c r="C632" s="129"/>
      <c r="D632" s="59"/>
      <c r="E632" s="271"/>
      <c r="F632" s="283"/>
      <c r="G632" s="284"/>
      <c r="H632" s="43"/>
      <c r="I632" s="52"/>
      <c r="J632" s="50"/>
      <c r="K632" s="52"/>
      <c r="L632" s="43"/>
      <c r="M632" s="43"/>
      <c r="N632" s="43"/>
      <c r="O632" s="43"/>
      <c r="P632" s="43"/>
      <c r="Q632" s="43"/>
      <c r="R632" s="43"/>
      <c r="S632" s="43"/>
    </row>
    <row r="633" spans="1:19" x14ac:dyDescent="0.2">
      <c r="A633" s="63" t="s">
        <v>161</v>
      </c>
      <c r="B633" s="128" t="s">
        <v>422</v>
      </c>
      <c r="C633" s="129" t="s">
        <v>111</v>
      </c>
      <c r="D633" s="59">
        <v>6</v>
      </c>
      <c r="E633" s="271"/>
      <c r="F633" s="283"/>
      <c r="G633" s="284">
        <f t="shared" ref="G633:G635" si="132">(D633*E633)+(D633*F633)</f>
        <v>0</v>
      </c>
      <c r="H633" s="43"/>
      <c r="I633" s="52">
        <f>0.95*2.15</f>
        <v>2.0425</v>
      </c>
      <c r="J633" s="50">
        <f>I633*D633</f>
        <v>12.254999999999999</v>
      </c>
      <c r="K633" s="52"/>
      <c r="L633" s="43"/>
      <c r="M633" s="43"/>
      <c r="N633" s="43"/>
      <c r="O633" s="43"/>
      <c r="P633" s="43"/>
      <c r="Q633" s="43"/>
      <c r="R633" s="43"/>
      <c r="S633" s="43"/>
    </row>
    <row r="634" spans="1:19" x14ac:dyDescent="0.2">
      <c r="A634" s="63" t="s">
        <v>162</v>
      </c>
      <c r="B634" s="128" t="s">
        <v>423</v>
      </c>
      <c r="C634" s="129" t="s">
        <v>111</v>
      </c>
      <c r="D634" s="59">
        <v>2</v>
      </c>
      <c r="E634" s="271"/>
      <c r="F634" s="283"/>
      <c r="G634" s="284">
        <f t="shared" si="132"/>
        <v>0</v>
      </c>
      <c r="H634" s="43"/>
      <c r="I634" s="50">
        <f>0.78*2</f>
        <v>1.56</v>
      </c>
      <c r="J634" s="50">
        <f>I634*D634</f>
        <v>3.12</v>
      </c>
      <c r="K634" s="52"/>
      <c r="L634" s="43"/>
      <c r="M634" s="43"/>
      <c r="N634" s="43"/>
      <c r="O634" s="43"/>
      <c r="P634" s="43"/>
      <c r="Q634" s="43"/>
      <c r="R634" s="43"/>
      <c r="S634" s="43"/>
    </row>
    <row r="635" spans="1:19" x14ac:dyDescent="0.2">
      <c r="A635" s="63" t="s">
        <v>173</v>
      </c>
      <c r="B635" s="128" t="s">
        <v>424</v>
      </c>
      <c r="C635" s="129" t="s">
        <v>111</v>
      </c>
      <c r="D635" s="59">
        <v>2</v>
      </c>
      <c r="E635" s="271"/>
      <c r="F635" s="274"/>
      <c r="G635" s="275">
        <f t="shared" si="132"/>
        <v>0</v>
      </c>
      <c r="I635" s="26"/>
      <c r="J635" s="50"/>
      <c r="K635" s="42"/>
      <c r="L635" s="42">
        <f>J634+I633</f>
        <v>5.1624999999999996</v>
      </c>
    </row>
    <row r="636" spans="1:19" x14ac:dyDescent="0.2">
      <c r="A636" s="63" t="s">
        <v>174</v>
      </c>
      <c r="B636" s="128" t="s">
        <v>425</v>
      </c>
      <c r="C636" s="129" t="s">
        <v>111</v>
      </c>
      <c r="D636" s="59">
        <v>6</v>
      </c>
      <c r="E636" s="271"/>
      <c r="F636" s="283"/>
      <c r="G636" s="284">
        <f t="shared" ref="G636" si="133">(D636*E636)+(D636*F636)</f>
        <v>0</v>
      </c>
      <c r="I636" s="26">
        <f>2.45*1.69</f>
        <v>4.1405000000000003</v>
      </c>
      <c r="J636" s="50">
        <f>I636*D636</f>
        <v>24.843000000000004</v>
      </c>
      <c r="K636" s="42"/>
    </row>
    <row r="637" spans="1:19" x14ac:dyDescent="0.2">
      <c r="A637" s="63"/>
      <c r="B637" s="375" t="s">
        <v>430</v>
      </c>
      <c r="C637" s="129"/>
      <c r="D637" s="59"/>
      <c r="E637" s="271"/>
      <c r="F637" s="283"/>
      <c r="G637" s="284"/>
      <c r="I637" s="26">
        <f>1.575*2</f>
        <v>3.15</v>
      </c>
      <c r="J637" s="50">
        <f>I637*D637</f>
        <v>0</v>
      </c>
      <c r="K637" s="42"/>
    </row>
    <row r="638" spans="1:19" x14ac:dyDescent="0.2">
      <c r="A638" s="63" t="s">
        <v>175</v>
      </c>
      <c r="B638" s="128" t="s">
        <v>427</v>
      </c>
      <c r="C638" s="129"/>
      <c r="D638" s="59"/>
      <c r="E638" s="271"/>
      <c r="F638" s="283"/>
      <c r="G638" s="284"/>
      <c r="I638" s="26"/>
      <c r="J638" s="50"/>
      <c r="K638" s="42"/>
    </row>
    <row r="639" spans="1:19" x14ac:dyDescent="0.2">
      <c r="A639" s="63" t="s">
        <v>176</v>
      </c>
      <c r="B639" s="128" t="s">
        <v>426</v>
      </c>
      <c r="C639" s="129"/>
      <c r="D639" s="59"/>
      <c r="E639" s="271"/>
      <c r="F639" s="283"/>
      <c r="G639" s="284"/>
      <c r="I639" s="26"/>
      <c r="J639" s="50"/>
      <c r="K639" s="42"/>
    </row>
    <row r="640" spans="1:19" x14ac:dyDescent="0.2">
      <c r="A640" s="124" t="s">
        <v>55</v>
      </c>
      <c r="B640" s="125" t="s">
        <v>363</v>
      </c>
      <c r="C640" s="126"/>
      <c r="D640" s="127"/>
      <c r="E640" s="271"/>
      <c r="F640" s="274"/>
      <c r="G640" s="275"/>
      <c r="J640" s="26"/>
      <c r="K640" s="26"/>
    </row>
    <row r="641" spans="1:19" s="322" customFormat="1" x14ac:dyDescent="0.2">
      <c r="A641" s="326"/>
      <c r="B641" s="330" t="s">
        <v>301</v>
      </c>
      <c r="C641" s="331"/>
      <c r="D641" s="294"/>
      <c r="E641" s="271"/>
      <c r="F641" s="274"/>
      <c r="G641" s="275"/>
      <c r="K641" s="334"/>
    </row>
    <row r="642" spans="1:19" x14ac:dyDescent="0.2">
      <c r="A642" s="63"/>
      <c r="B642" s="375" t="s">
        <v>429</v>
      </c>
      <c r="C642" s="129" t="s">
        <v>111</v>
      </c>
      <c r="D642" s="59">
        <v>6</v>
      </c>
      <c r="E642" s="271"/>
      <c r="F642" s="283"/>
      <c r="G642" s="284">
        <f t="shared" ref="G642:G644" si="134">(D642*E642)+(D642*F642)</f>
        <v>0</v>
      </c>
      <c r="H642" s="43"/>
      <c r="I642" s="52">
        <f>0.95*2.83</f>
        <v>2.6884999999999999</v>
      </c>
      <c r="J642" s="50">
        <f>I642*D642</f>
        <v>16.131</v>
      </c>
      <c r="K642" s="52">
        <f>J642+J646+J647+J648</f>
        <v>42.514000000000003</v>
      </c>
      <c r="L642" s="43"/>
      <c r="M642" s="43"/>
      <c r="N642" s="43"/>
      <c r="O642" s="43"/>
      <c r="P642" s="43"/>
      <c r="Q642" s="43"/>
      <c r="R642" s="43"/>
      <c r="S642" s="43"/>
    </row>
    <row r="643" spans="1:19" x14ac:dyDescent="0.2">
      <c r="A643" s="63" t="s">
        <v>161</v>
      </c>
      <c r="B643" s="128" t="s">
        <v>422</v>
      </c>
      <c r="C643" s="129" t="s">
        <v>111</v>
      </c>
      <c r="D643" s="59">
        <v>6</v>
      </c>
      <c r="E643" s="271"/>
      <c r="F643" s="283"/>
      <c r="G643" s="284">
        <f t="shared" si="134"/>
        <v>0</v>
      </c>
      <c r="H643" s="43"/>
      <c r="I643" s="52">
        <f>0.95*2.15</f>
        <v>2.0425</v>
      </c>
      <c r="J643" s="50">
        <f>I643*D643</f>
        <v>12.254999999999999</v>
      </c>
      <c r="K643" s="52"/>
      <c r="L643" s="43"/>
      <c r="M643" s="43"/>
      <c r="N643" s="43"/>
      <c r="O643" s="43"/>
      <c r="P643" s="43"/>
      <c r="Q643" s="43"/>
      <c r="R643" s="43"/>
      <c r="S643" s="43"/>
    </row>
    <row r="644" spans="1:19" x14ac:dyDescent="0.2">
      <c r="A644" s="63" t="s">
        <v>162</v>
      </c>
      <c r="B644" s="128" t="s">
        <v>423</v>
      </c>
      <c r="C644" s="129" t="s">
        <v>111</v>
      </c>
      <c r="D644" s="59">
        <v>2</v>
      </c>
      <c r="E644" s="271"/>
      <c r="F644" s="283"/>
      <c r="G644" s="284">
        <f t="shared" si="134"/>
        <v>0</v>
      </c>
      <c r="H644" s="43"/>
      <c r="I644" s="50">
        <f>0.78*2</f>
        <v>1.56</v>
      </c>
      <c r="J644" s="50">
        <f>I644*D644</f>
        <v>3.12</v>
      </c>
      <c r="K644" s="52"/>
      <c r="L644" s="43"/>
      <c r="M644" s="43"/>
      <c r="N644" s="43"/>
      <c r="O644" s="43"/>
      <c r="P644" s="43"/>
      <c r="Q644" s="43"/>
      <c r="R644" s="43"/>
      <c r="S644" s="43"/>
    </row>
    <row r="645" spans="1:19" x14ac:dyDescent="0.2">
      <c r="A645" s="63" t="s">
        <v>173</v>
      </c>
      <c r="B645" s="128" t="s">
        <v>424</v>
      </c>
      <c r="C645" s="129" t="s">
        <v>111</v>
      </c>
      <c r="D645" s="59">
        <v>2</v>
      </c>
      <c r="E645" s="271"/>
      <c r="F645" s="274"/>
      <c r="G645" s="275"/>
      <c r="I645" s="26"/>
      <c r="J645" s="50"/>
      <c r="K645" s="42"/>
      <c r="L645" s="42">
        <f>J644+I643</f>
        <v>5.1624999999999996</v>
      </c>
    </row>
    <row r="646" spans="1:19" x14ac:dyDescent="0.2">
      <c r="A646" s="63" t="s">
        <v>174</v>
      </c>
      <c r="B646" s="128" t="s">
        <v>425</v>
      </c>
      <c r="C646" s="129" t="s">
        <v>111</v>
      </c>
      <c r="D646" s="59">
        <v>6</v>
      </c>
      <c r="E646" s="271"/>
      <c r="F646" s="283"/>
      <c r="G646" s="284">
        <f t="shared" ref="G646:G649" si="135">(D646*E646)+(D646*F646)</f>
        <v>0</v>
      </c>
      <c r="I646" s="26">
        <f>2.45*1.69</f>
        <v>4.1405000000000003</v>
      </c>
      <c r="J646" s="50">
        <f t="shared" ref="J646:J649" si="136">I646*D646</f>
        <v>24.843000000000004</v>
      </c>
      <c r="K646" s="42"/>
    </row>
    <row r="647" spans="1:19" x14ac:dyDescent="0.2">
      <c r="A647" s="63"/>
      <c r="B647" s="375" t="s">
        <v>430</v>
      </c>
      <c r="C647" s="129"/>
      <c r="D647" s="59"/>
      <c r="E647" s="271"/>
      <c r="F647" s="283"/>
      <c r="G647" s="284">
        <f t="shared" si="135"/>
        <v>0</v>
      </c>
      <c r="I647" s="26">
        <f>1.575*2</f>
        <v>3.15</v>
      </c>
      <c r="J647" s="50">
        <f t="shared" si="136"/>
        <v>0</v>
      </c>
      <c r="K647" s="42"/>
    </row>
    <row r="648" spans="1:19" x14ac:dyDescent="0.2">
      <c r="A648" s="63" t="s">
        <v>175</v>
      </c>
      <c r="B648" s="128" t="s">
        <v>427</v>
      </c>
      <c r="C648" s="129" t="s">
        <v>111</v>
      </c>
      <c r="D648" s="59">
        <v>4</v>
      </c>
      <c r="E648" s="271"/>
      <c r="F648" s="283"/>
      <c r="G648" s="284">
        <f t="shared" si="135"/>
        <v>0</v>
      </c>
      <c r="I648" s="26">
        <f>0.7*0.55</f>
        <v>0.38500000000000001</v>
      </c>
      <c r="J648" s="50">
        <f t="shared" si="136"/>
        <v>1.54</v>
      </c>
      <c r="K648" s="42"/>
    </row>
    <row r="649" spans="1:19" x14ac:dyDescent="0.2">
      <c r="A649" s="63" t="s">
        <v>176</v>
      </c>
      <c r="B649" s="128" t="s">
        <v>426</v>
      </c>
      <c r="C649" s="129" t="s">
        <v>111</v>
      </c>
      <c r="D649" s="59">
        <v>4</v>
      </c>
      <c r="E649" s="271"/>
      <c r="F649" s="283"/>
      <c r="G649" s="284">
        <f t="shared" si="135"/>
        <v>0</v>
      </c>
      <c r="I649" s="26">
        <f>2.45*1.69</f>
        <v>4.1405000000000003</v>
      </c>
      <c r="J649" s="50">
        <f t="shared" si="136"/>
        <v>16.562000000000001</v>
      </c>
      <c r="K649" s="42"/>
    </row>
    <row r="650" spans="1:19" x14ac:dyDescent="0.2">
      <c r="A650" s="124" t="s">
        <v>148</v>
      </c>
      <c r="B650" s="125" t="s">
        <v>409</v>
      </c>
      <c r="C650" s="126"/>
      <c r="D650" s="127"/>
      <c r="E650" s="271"/>
      <c r="F650" s="274"/>
      <c r="G650" s="275"/>
      <c r="J650" s="26"/>
      <c r="K650" s="26"/>
    </row>
    <row r="651" spans="1:19" s="322" customFormat="1" x14ac:dyDescent="0.2">
      <c r="A651" s="326"/>
      <c r="B651" s="330" t="s">
        <v>301</v>
      </c>
      <c r="C651" s="331"/>
      <c r="D651" s="294"/>
      <c r="E651" s="271"/>
      <c r="F651" s="274"/>
      <c r="G651" s="275"/>
      <c r="K651" s="334"/>
    </row>
    <row r="652" spans="1:19" x14ac:dyDescent="0.2">
      <c r="A652" s="63"/>
      <c r="B652" s="375" t="s">
        <v>429</v>
      </c>
      <c r="C652" s="129" t="s">
        <v>111</v>
      </c>
      <c r="D652" s="59">
        <v>6</v>
      </c>
      <c r="E652" s="271"/>
      <c r="F652" s="283"/>
      <c r="G652" s="284">
        <f t="shared" ref="G652:G655" si="137">(D652*E652)+(D652*F652)</f>
        <v>0</v>
      </c>
      <c r="H652" s="43"/>
      <c r="I652" s="52">
        <f>0.95*2.83</f>
        <v>2.6884999999999999</v>
      </c>
      <c r="J652" s="50">
        <f>I652*D652</f>
        <v>16.131</v>
      </c>
      <c r="K652" s="52">
        <f>J652+J656+J657+J658</f>
        <v>42.514000000000003</v>
      </c>
      <c r="L652" s="43"/>
      <c r="M652" s="43"/>
      <c r="N652" s="43"/>
      <c r="O652" s="43"/>
      <c r="P652" s="43"/>
      <c r="Q652" s="43"/>
      <c r="R652" s="43"/>
      <c r="S652" s="43"/>
    </row>
    <row r="653" spans="1:19" x14ac:dyDescent="0.2">
      <c r="A653" s="63" t="s">
        <v>161</v>
      </c>
      <c r="B653" s="128" t="s">
        <v>422</v>
      </c>
      <c r="C653" s="129" t="s">
        <v>111</v>
      </c>
      <c r="D653" s="59">
        <v>6</v>
      </c>
      <c r="E653" s="271"/>
      <c r="F653" s="283"/>
      <c r="G653" s="284">
        <f t="shared" si="137"/>
        <v>0</v>
      </c>
      <c r="H653" s="43"/>
      <c r="I653" s="52">
        <f>0.95*2.15</f>
        <v>2.0425</v>
      </c>
      <c r="J653" s="50">
        <f>I653*D653</f>
        <v>12.254999999999999</v>
      </c>
      <c r="K653" s="52"/>
      <c r="L653" s="43"/>
      <c r="M653" s="43"/>
      <c r="N653" s="43"/>
      <c r="O653" s="43"/>
      <c r="P653" s="43"/>
      <c r="Q653" s="43"/>
      <c r="R653" s="43"/>
      <c r="S653" s="43"/>
    </row>
    <row r="654" spans="1:19" x14ac:dyDescent="0.2">
      <c r="A654" s="63" t="s">
        <v>162</v>
      </c>
      <c r="B654" s="128" t="s">
        <v>423</v>
      </c>
      <c r="C654" s="129" t="s">
        <v>111</v>
      </c>
      <c r="D654" s="59">
        <v>2</v>
      </c>
      <c r="E654" s="271"/>
      <c r="F654" s="283"/>
      <c r="G654" s="284">
        <f t="shared" si="137"/>
        <v>0</v>
      </c>
      <c r="H654" s="43"/>
      <c r="I654" s="50">
        <f>0.78*2</f>
        <v>1.56</v>
      </c>
      <c r="J654" s="50">
        <f>I654*D654</f>
        <v>3.12</v>
      </c>
      <c r="K654" s="52"/>
      <c r="L654" s="43"/>
      <c r="M654" s="43"/>
      <c r="N654" s="43"/>
      <c r="O654" s="43"/>
      <c r="P654" s="43"/>
      <c r="Q654" s="43"/>
      <c r="R654" s="43"/>
      <c r="S654" s="43"/>
    </row>
    <row r="655" spans="1:19" x14ac:dyDescent="0.2">
      <c r="A655" s="63" t="s">
        <v>173</v>
      </c>
      <c r="B655" s="128" t="s">
        <v>424</v>
      </c>
      <c r="C655" s="129" t="s">
        <v>111</v>
      </c>
      <c r="D655" s="59">
        <v>2</v>
      </c>
      <c r="E655" s="271"/>
      <c r="F655" s="274"/>
      <c r="G655" s="284">
        <f t="shared" si="137"/>
        <v>0</v>
      </c>
      <c r="I655" s="26"/>
      <c r="J655" s="50"/>
      <c r="K655" s="42"/>
      <c r="L655" s="42">
        <f>J654+I653</f>
        <v>5.1624999999999996</v>
      </c>
    </row>
    <row r="656" spans="1:19" x14ac:dyDescent="0.2">
      <c r="A656" s="63" t="s">
        <v>174</v>
      </c>
      <c r="B656" s="128" t="s">
        <v>425</v>
      </c>
      <c r="C656" s="129" t="s">
        <v>111</v>
      </c>
      <c r="D656" s="59">
        <v>6</v>
      </c>
      <c r="E656" s="271"/>
      <c r="F656" s="283"/>
      <c r="G656" s="284">
        <f t="shared" ref="G656:G659" si="138">(D656*E656)+(D656*F656)</f>
        <v>0</v>
      </c>
      <c r="I656" s="26">
        <f>2.45*1.69</f>
        <v>4.1405000000000003</v>
      </c>
      <c r="J656" s="50">
        <f t="shared" ref="J656:J659" si="139">I656*D656</f>
        <v>24.843000000000004</v>
      </c>
      <c r="K656" s="42"/>
    </row>
    <row r="657" spans="1:19" x14ac:dyDescent="0.2">
      <c r="A657" s="63"/>
      <c r="B657" s="375" t="s">
        <v>430</v>
      </c>
      <c r="C657" s="129"/>
      <c r="D657" s="59"/>
      <c r="E657" s="271"/>
      <c r="F657" s="283"/>
      <c r="G657" s="284"/>
      <c r="I657" s="26">
        <f>1.575*2</f>
        <v>3.15</v>
      </c>
      <c r="J657" s="50">
        <f t="shared" si="139"/>
        <v>0</v>
      </c>
      <c r="K657" s="42"/>
    </row>
    <row r="658" spans="1:19" x14ac:dyDescent="0.2">
      <c r="A658" s="63" t="s">
        <v>175</v>
      </c>
      <c r="B658" s="128" t="s">
        <v>427</v>
      </c>
      <c r="C658" s="129" t="s">
        <v>111</v>
      </c>
      <c r="D658" s="59">
        <v>4</v>
      </c>
      <c r="E658" s="271"/>
      <c r="F658" s="283"/>
      <c r="G658" s="284">
        <f t="shared" si="138"/>
        <v>0</v>
      </c>
      <c r="I658" s="26">
        <f>0.7*0.55</f>
        <v>0.38500000000000001</v>
      </c>
      <c r="J658" s="50">
        <f t="shared" si="139"/>
        <v>1.54</v>
      </c>
      <c r="K658" s="42"/>
    </row>
    <row r="659" spans="1:19" x14ac:dyDescent="0.2">
      <c r="A659" s="63" t="s">
        <v>176</v>
      </c>
      <c r="B659" s="128" t="s">
        <v>426</v>
      </c>
      <c r="C659" s="129" t="s">
        <v>111</v>
      </c>
      <c r="D659" s="59">
        <v>4</v>
      </c>
      <c r="E659" s="271"/>
      <c r="F659" s="283"/>
      <c r="G659" s="284">
        <f t="shared" si="138"/>
        <v>0</v>
      </c>
      <c r="I659" s="26">
        <f>2.45*1.69</f>
        <v>4.1405000000000003</v>
      </c>
      <c r="J659" s="50">
        <f t="shared" si="139"/>
        <v>16.562000000000001</v>
      </c>
      <c r="K659" s="42"/>
    </row>
    <row r="660" spans="1:19" ht="12" customHeight="1" x14ac:dyDescent="0.2">
      <c r="A660" s="63"/>
      <c r="B660" s="128"/>
      <c r="C660" s="74"/>
      <c r="D660" s="59"/>
      <c r="E660" s="271"/>
      <c r="F660" s="274"/>
      <c r="G660" s="275"/>
      <c r="I660" s="42"/>
      <c r="J660" s="26"/>
    </row>
    <row r="661" spans="1:19" ht="12" customHeight="1" x14ac:dyDescent="0.2">
      <c r="A661" s="63"/>
      <c r="B661" s="128"/>
      <c r="C661" s="74"/>
      <c r="D661" s="59"/>
      <c r="E661" s="271"/>
      <c r="F661" s="274"/>
      <c r="G661" s="275"/>
      <c r="I661" s="42"/>
      <c r="J661" s="26"/>
    </row>
    <row r="662" spans="1:19" ht="12.75" thickBot="1" x14ac:dyDescent="0.25">
      <c r="A662" s="63"/>
      <c r="B662" s="128"/>
      <c r="C662" s="74"/>
      <c r="D662" s="59"/>
      <c r="E662" s="271"/>
      <c r="F662" s="274"/>
      <c r="G662" s="275"/>
      <c r="I662" s="42"/>
      <c r="J662" s="26"/>
    </row>
    <row r="663" spans="1:19" x14ac:dyDescent="0.2">
      <c r="A663" s="243"/>
      <c r="B663" s="244" t="s">
        <v>187</v>
      </c>
      <c r="C663" s="219"/>
      <c r="D663" s="220"/>
      <c r="E663" s="359"/>
      <c r="F663" s="360"/>
      <c r="G663" s="357"/>
    </row>
    <row r="664" spans="1:19" ht="12.75" thickBot="1" x14ac:dyDescent="0.25">
      <c r="A664" s="245"/>
      <c r="B664" s="205" t="s">
        <v>188</v>
      </c>
      <c r="C664" s="246"/>
      <c r="D664" s="247"/>
      <c r="E664" s="361"/>
      <c r="F664" s="362"/>
      <c r="G664" s="358">
        <f>SUM(G621:G663)</f>
        <v>0</v>
      </c>
    </row>
    <row r="665" spans="1:19" x14ac:dyDescent="0.2">
      <c r="A665" s="159"/>
      <c r="B665" s="241"/>
      <c r="C665" s="147"/>
      <c r="D665" s="147"/>
      <c r="E665" s="281"/>
      <c r="F665" s="274"/>
      <c r="G665" s="275"/>
    </row>
    <row r="666" spans="1:19" x14ac:dyDescent="0.2">
      <c r="A666" s="156"/>
      <c r="B666" s="157" t="s">
        <v>189</v>
      </c>
      <c r="C666" s="147"/>
      <c r="D666" s="147"/>
      <c r="E666" s="281"/>
      <c r="F666" s="274"/>
      <c r="G666" s="275"/>
    </row>
    <row r="667" spans="1:19" x14ac:dyDescent="0.2">
      <c r="A667" s="156"/>
      <c r="B667" s="158" t="s">
        <v>160</v>
      </c>
      <c r="C667" s="147"/>
      <c r="D667" s="147"/>
      <c r="E667" s="281"/>
      <c r="F667" s="274"/>
      <c r="G667" s="275"/>
    </row>
    <row r="668" spans="1:19" x14ac:dyDescent="0.2">
      <c r="A668" s="159" t="s">
        <v>109</v>
      </c>
      <c r="B668" s="161" t="s">
        <v>40</v>
      </c>
      <c r="C668" s="147"/>
      <c r="D668" s="147"/>
      <c r="E668" s="281"/>
      <c r="F668" s="274"/>
      <c r="G668" s="275"/>
    </row>
    <row r="669" spans="1:19" ht="60" x14ac:dyDescent="0.2">
      <c r="A669" s="159"/>
      <c r="B669" s="147" t="s">
        <v>242</v>
      </c>
      <c r="C669" s="147"/>
      <c r="D669" s="147"/>
      <c r="E669" s="281"/>
      <c r="F669" s="274"/>
      <c r="G669" s="275"/>
    </row>
    <row r="670" spans="1:19" ht="36" x14ac:dyDescent="0.2">
      <c r="A670" s="159"/>
      <c r="B670" s="147" t="s">
        <v>115</v>
      </c>
      <c r="C670" s="147"/>
      <c r="D670" s="147"/>
      <c r="E670" s="281"/>
      <c r="F670" s="274"/>
      <c r="G670" s="275"/>
      <c r="I670" s="26"/>
    </row>
    <row r="671" spans="1:19" ht="36" x14ac:dyDescent="0.2">
      <c r="A671" s="56"/>
      <c r="B671" s="147" t="s">
        <v>231</v>
      </c>
      <c r="C671" s="147"/>
      <c r="D671" s="147"/>
      <c r="E671" s="281"/>
      <c r="F671" s="274"/>
      <c r="G671" s="275"/>
    </row>
    <row r="672" spans="1:19" s="43" customFormat="1" ht="15" customHeight="1" x14ac:dyDescent="0.2">
      <c r="A672" s="138" t="s">
        <v>147</v>
      </c>
      <c r="B672" s="139" t="s">
        <v>65</v>
      </c>
      <c r="C672" s="140"/>
      <c r="D672" s="141"/>
      <c r="E672" s="271"/>
      <c r="F672" s="274"/>
      <c r="G672" s="275"/>
      <c r="H672" s="16"/>
      <c r="I672" s="16"/>
      <c r="J672" s="16"/>
      <c r="K672" s="16"/>
      <c r="L672" s="16"/>
      <c r="M672" s="16"/>
      <c r="N672" s="16"/>
      <c r="O672" s="16"/>
      <c r="P672" s="16"/>
      <c r="Q672" s="16"/>
      <c r="R672" s="16"/>
      <c r="S672" s="16"/>
    </row>
    <row r="673" spans="1:19" ht="12.75" x14ac:dyDescent="0.2">
      <c r="A673" s="134" t="s">
        <v>229</v>
      </c>
      <c r="B673" s="145" t="s">
        <v>90</v>
      </c>
      <c r="C673" s="136"/>
      <c r="D673" s="137"/>
      <c r="E673" s="281"/>
      <c r="F673" s="274"/>
      <c r="G673" s="275"/>
      <c r="I673" s="51"/>
      <c r="J673" s="22"/>
      <c r="K673" s="20"/>
    </row>
    <row r="674" spans="1:19" ht="12" customHeight="1" x14ac:dyDescent="0.2">
      <c r="A674" s="134" t="s">
        <v>161</v>
      </c>
      <c r="B674" s="142" t="s">
        <v>373</v>
      </c>
      <c r="C674" s="136" t="s">
        <v>211</v>
      </c>
      <c r="D674" s="137">
        <v>11.5</v>
      </c>
      <c r="E674" s="281"/>
      <c r="F674" s="274"/>
      <c r="G674" s="275">
        <f t="shared" ref="G674:G675" si="140">(D674*E674)+(D674*F674)</f>
        <v>0</v>
      </c>
      <c r="I674" s="51"/>
      <c r="J674" s="22"/>
      <c r="K674" s="20"/>
    </row>
    <row r="675" spans="1:19" ht="12" customHeight="1" x14ac:dyDescent="0.2">
      <c r="A675" s="134" t="s">
        <v>378</v>
      </c>
      <c r="B675" s="142" t="s">
        <v>374</v>
      </c>
      <c r="C675" s="136" t="s">
        <v>211</v>
      </c>
      <c r="D675" s="137">
        <v>11.5</v>
      </c>
      <c r="E675" s="281"/>
      <c r="F675" s="274"/>
      <c r="G675" s="275">
        <f t="shared" si="140"/>
        <v>0</v>
      </c>
      <c r="I675" s="51"/>
      <c r="J675" s="22"/>
      <c r="K675" s="20"/>
    </row>
    <row r="676" spans="1:19" ht="12" customHeight="1" x14ac:dyDescent="0.2">
      <c r="A676" s="134"/>
      <c r="B676" s="142"/>
      <c r="C676" s="136"/>
      <c r="D676" s="137"/>
      <c r="E676" s="281"/>
      <c r="F676" s="274"/>
      <c r="G676" s="275"/>
    </row>
    <row r="677" spans="1:19" ht="12.75" x14ac:dyDescent="0.2">
      <c r="A677" s="134"/>
      <c r="B677" s="145"/>
      <c r="C677" s="136"/>
      <c r="D677" s="137"/>
      <c r="E677" s="281"/>
      <c r="F677" s="274"/>
      <c r="G677" s="275"/>
    </row>
    <row r="678" spans="1:19" s="43" customFormat="1" ht="15" customHeight="1" x14ac:dyDescent="0.2">
      <c r="A678" s="138" t="s">
        <v>55</v>
      </c>
      <c r="B678" s="139" t="s">
        <v>67</v>
      </c>
      <c r="C678" s="140"/>
      <c r="D678" s="141"/>
      <c r="E678" s="271"/>
      <c r="F678" s="274"/>
      <c r="G678" s="275"/>
      <c r="H678" s="16"/>
      <c r="I678" s="16"/>
      <c r="J678" s="16"/>
      <c r="K678" s="16"/>
      <c r="L678" s="16"/>
      <c r="M678" s="16"/>
      <c r="N678" s="16"/>
      <c r="O678" s="16"/>
      <c r="P678" s="16"/>
      <c r="Q678" s="16"/>
      <c r="R678" s="16"/>
      <c r="S678" s="16"/>
    </row>
    <row r="679" spans="1:19" ht="12.75" x14ac:dyDescent="0.2">
      <c r="A679" s="134" t="s">
        <v>229</v>
      </c>
      <c r="B679" s="145" t="s">
        <v>90</v>
      </c>
      <c r="C679" s="136"/>
      <c r="D679" s="137"/>
      <c r="E679" s="281"/>
      <c r="F679" s="274"/>
      <c r="G679" s="275"/>
      <c r="I679" s="51"/>
      <c r="J679" s="22"/>
      <c r="K679" s="20"/>
    </row>
    <row r="680" spans="1:19" ht="12" customHeight="1" x14ac:dyDescent="0.2">
      <c r="A680" s="134" t="s">
        <v>161</v>
      </c>
      <c r="B680" s="142" t="s">
        <v>373</v>
      </c>
      <c r="C680" s="136" t="s">
        <v>211</v>
      </c>
      <c r="D680" s="137">
        <v>11.5</v>
      </c>
      <c r="E680" s="281"/>
      <c r="F680" s="274"/>
      <c r="G680" s="275">
        <f t="shared" ref="G680:G681" si="141">(D680*E680)+(D680*F680)</f>
        <v>0</v>
      </c>
      <c r="I680" s="51"/>
      <c r="J680" s="22"/>
      <c r="K680" s="20"/>
    </row>
    <row r="681" spans="1:19" ht="12" customHeight="1" x14ac:dyDescent="0.2">
      <c r="A681" s="134" t="s">
        <v>378</v>
      </c>
      <c r="B681" s="142" t="s">
        <v>374</v>
      </c>
      <c r="C681" s="136" t="s">
        <v>211</v>
      </c>
      <c r="D681" s="137">
        <v>11.5</v>
      </c>
      <c r="E681" s="281"/>
      <c r="F681" s="274"/>
      <c r="G681" s="275">
        <f t="shared" si="141"/>
        <v>0</v>
      </c>
      <c r="I681" s="51"/>
      <c r="J681" s="22"/>
      <c r="K681" s="20"/>
    </row>
    <row r="682" spans="1:19" ht="12" customHeight="1" x14ac:dyDescent="0.2">
      <c r="A682" s="134"/>
      <c r="B682" s="142"/>
      <c r="C682" s="136"/>
      <c r="D682" s="137"/>
      <c r="E682" s="281"/>
      <c r="F682" s="274"/>
      <c r="G682" s="275"/>
    </row>
    <row r="683" spans="1:19" s="43" customFormat="1" ht="15" customHeight="1" x14ac:dyDescent="0.2">
      <c r="A683" s="138" t="s">
        <v>148</v>
      </c>
      <c r="B683" s="139" t="s">
        <v>363</v>
      </c>
      <c r="C683" s="140"/>
      <c r="D683" s="141"/>
      <c r="E683" s="271"/>
      <c r="F683" s="274"/>
      <c r="G683" s="275"/>
      <c r="H683" s="16"/>
      <c r="I683" s="16"/>
      <c r="J683" s="16"/>
      <c r="K683" s="16"/>
      <c r="L683" s="16"/>
      <c r="M683" s="16"/>
      <c r="N683" s="16"/>
      <c r="O683" s="16"/>
      <c r="P683" s="16"/>
      <c r="Q683" s="16"/>
      <c r="R683" s="16"/>
      <c r="S683" s="16"/>
    </row>
    <row r="684" spans="1:19" ht="12.75" x14ac:dyDescent="0.2">
      <c r="A684" s="134" t="s">
        <v>229</v>
      </c>
      <c r="B684" s="145" t="s">
        <v>90</v>
      </c>
      <c r="C684" s="136"/>
      <c r="D684" s="137"/>
      <c r="E684" s="281"/>
      <c r="F684" s="274"/>
      <c r="G684" s="275"/>
      <c r="I684" s="51"/>
      <c r="J684" s="22"/>
      <c r="K684" s="20"/>
    </row>
    <row r="685" spans="1:19" ht="12" customHeight="1" x14ac:dyDescent="0.2">
      <c r="A685" s="134" t="s">
        <v>161</v>
      </c>
      <c r="B685" s="142" t="s">
        <v>373</v>
      </c>
      <c r="C685" s="136" t="s">
        <v>211</v>
      </c>
      <c r="D685" s="137">
        <v>11.5</v>
      </c>
      <c r="E685" s="281"/>
      <c r="F685" s="274"/>
      <c r="G685" s="275">
        <f t="shared" ref="G685:G686" si="142">(D685*E685)+(D685*F685)</f>
        <v>0</v>
      </c>
      <c r="I685" s="51"/>
      <c r="J685" s="22"/>
      <c r="K685" s="20"/>
    </row>
    <row r="686" spans="1:19" ht="12" customHeight="1" x14ac:dyDescent="0.2">
      <c r="A686" s="134" t="s">
        <v>378</v>
      </c>
      <c r="B686" s="142" t="s">
        <v>374</v>
      </c>
      <c r="C686" s="136" t="s">
        <v>211</v>
      </c>
      <c r="D686" s="137">
        <v>11.5</v>
      </c>
      <c r="E686" s="281"/>
      <c r="F686" s="274"/>
      <c r="G686" s="275">
        <f t="shared" si="142"/>
        <v>0</v>
      </c>
      <c r="I686" s="51"/>
      <c r="J686" s="22"/>
      <c r="K686" s="20"/>
    </row>
    <row r="687" spans="1:19" ht="12" customHeight="1" x14ac:dyDescent="0.2">
      <c r="A687" s="134"/>
      <c r="B687" s="142"/>
      <c r="C687" s="136"/>
      <c r="D687" s="137"/>
      <c r="E687" s="281"/>
      <c r="F687" s="274"/>
      <c r="G687" s="275"/>
    </row>
    <row r="688" spans="1:19" s="43" customFormat="1" ht="15" customHeight="1" x14ac:dyDescent="0.2">
      <c r="A688" s="138" t="s">
        <v>149</v>
      </c>
      <c r="B688" s="139" t="s">
        <v>409</v>
      </c>
      <c r="C688" s="140"/>
      <c r="D688" s="141"/>
      <c r="E688" s="271"/>
      <c r="F688" s="274"/>
      <c r="G688" s="275"/>
      <c r="H688" s="16"/>
      <c r="I688" s="16"/>
      <c r="J688" s="16"/>
      <c r="K688" s="16"/>
      <c r="L688" s="16"/>
      <c r="M688" s="16"/>
      <c r="N688" s="16"/>
      <c r="O688" s="16"/>
      <c r="P688" s="16"/>
      <c r="Q688" s="16"/>
      <c r="R688" s="16"/>
      <c r="S688" s="16"/>
    </row>
    <row r="689" spans="1:11" ht="12.75" x14ac:dyDescent="0.2">
      <c r="A689" s="134" t="s">
        <v>229</v>
      </c>
      <c r="B689" s="145" t="s">
        <v>90</v>
      </c>
      <c r="C689" s="136"/>
      <c r="D689" s="137"/>
      <c r="E689" s="281"/>
      <c r="F689" s="274"/>
      <c r="G689" s="275"/>
      <c r="I689" s="51"/>
      <c r="J689" s="22"/>
      <c r="K689" s="20"/>
    </row>
    <row r="690" spans="1:11" ht="12" customHeight="1" x14ac:dyDescent="0.2">
      <c r="A690" s="134" t="s">
        <v>381</v>
      </c>
      <c r="B690" s="142" t="s">
        <v>372</v>
      </c>
      <c r="C690" s="136" t="s">
        <v>211</v>
      </c>
      <c r="D690" s="137">
        <v>76</v>
      </c>
      <c r="E690" s="281"/>
      <c r="F690" s="274"/>
      <c r="G690" s="275">
        <f t="shared" ref="G690:G696" si="143">(D690*E690)+(D690*F690)</f>
        <v>0</v>
      </c>
      <c r="I690" s="51"/>
      <c r="J690" s="22"/>
      <c r="K690" s="20"/>
    </row>
    <row r="691" spans="1:11" ht="12" customHeight="1" x14ac:dyDescent="0.2">
      <c r="A691" s="134" t="s">
        <v>378</v>
      </c>
      <c r="B691" s="142" t="s">
        <v>421</v>
      </c>
      <c r="C691" s="136" t="s">
        <v>211</v>
      </c>
      <c r="D691" s="137">
        <v>163.5</v>
      </c>
      <c r="E691" s="281"/>
      <c r="F691" s="274"/>
      <c r="G691" s="275">
        <f t="shared" si="143"/>
        <v>0</v>
      </c>
      <c r="I691" s="51"/>
      <c r="J691" s="22"/>
      <c r="K691" s="20"/>
    </row>
    <row r="692" spans="1:11" ht="12" customHeight="1" x14ac:dyDescent="0.2">
      <c r="A692" s="134" t="s">
        <v>284</v>
      </c>
      <c r="B692" s="142" t="s">
        <v>281</v>
      </c>
      <c r="C692" s="136" t="s">
        <v>211</v>
      </c>
      <c r="D692" s="137">
        <v>8</v>
      </c>
      <c r="E692" s="281"/>
      <c r="F692" s="274"/>
      <c r="G692" s="275">
        <f t="shared" ref="G692" si="144">(D692*E692)+(D692*F692)</f>
        <v>0</v>
      </c>
      <c r="I692" s="51"/>
      <c r="J692" s="22"/>
      <c r="K692" s="20"/>
    </row>
    <row r="693" spans="1:11" ht="12" customHeight="1" x14ac:dyDescent="0.2">
      <c r="A693" s="134" t="s">
        <v>285</v>
      </c>
      <c r="B693" s="142" t="s">
        <v>420</v>
      </c>
      <c r="C693" s="136" t="s">
        <v>211</v>
      </c>
      <c r="D693" s="137">
        <v>11.58</v>
      </c>
      <c r="E693" s="281"/>
      <c r="F693" s="274"/>
      <c r="G693" s="275">
        <f t="shared" si="143"/>
        <v>0</v>
      </c>
      <c r="I693" s="51"/>
      <c r="J693" s="22"/>
      <c r="K693" s="20"/>
    </row>
    <row r="694" spans="1:11" ht="12" customHeight="1" x14ac:dyDescent="0.2">
      <c r="A694" s="134" t="s">
        <v>286</v>
      </c>
      <c r="B694" s="142" t="s">
        <v>282</v>
      </c>
      <c r="C694" s="136" t="s">
        <v>211</v>
      </c>
      <c r="D694" s="137">
        <v>20</v>
      </c>
      <c r="E694" s="281"/>
      <c r="F694" s="274"/>
      <c r="G694" s="275">
        <f t="shared" si="143"/>
        <v>0</v>
      </c>
      <c r="I694" s="51"/>
      <c r="J694" s="22"/>
      <c r="K694" s="20"/>
    </row>
    <row r="695" spans="1:11" ht="12" customHeight="1" x14ac:dyDescent="0.2">
      <c r="A695" s="134" t="s">
        <v>287</v>
      </c>
      <c r="B695" s="142" t="s">
        <v>373</v>
      </c>
      <c r="C695" s="136" t="s">
        <v>211</v>
      </c>
      <c r="D695" s="137">
        <v>11.5</v>
      </c>
      <c r="E695" s="281"/>
      <c r="F695" s="274"/>
      <c r="G695" s="275">
        <f t="shared" ref="G695" si="145">(D695*E695)+(D695*F695)</f>
        <v>0</v>
      </c>
      <c r="I695" s="51"/>
      <c r="J695" s="22"/>
      <c r="K695" s="20"/>
    </row>
    <row r="696" spans="1:11" ht="12" customHeight="1" x14ac:dyDescent="0.2">
      <c r="A696" s="134" t="s">
        <v>289</v>
      </c>
      <c r="B696" s="142" t="s">
        <v>374</v>
      </c>
      <c r="C696" s="136" t="s">
        <v>211</v>
      </c>
      <c r="D696" s="137">
        <v>11.5</v>
      </c>
      <c r="E696" s="281"/>
      <c r="F696" s="274"/>
      <c r="G696" s="275">
        <f t="shared" si="143"/>
        <v>0</v>
      </c>
      <c r="I696" s="51"/>
      <c r="J696" s="22"/>
      <c r="K696" s="20"/>
    </row>
    <row r="697" spans="1:11" x14ac:dyDescent="0.2">
      <c r="A697" s="121"/>
      <c r="B697" s="162"/>
      <c r="C697" s="163"/>
      <c r="D697" s="59"/>
      <c r="E697" s="271"/>
      <c r="F697" s="274"/>
      <c r="G697" s="275"/>
    </row>
    <row r="698" spans="1:11" s="322" customFormat="1" x14ac:dyDescent="0.2">
      <c r="A698" s="326" t="s">
        <v>167</v>
      </c>
      <c r="B698" s="338" t="s">
        <v>295</v>
      </c>
      <c r="C698" s="331"/>
      <c r="D698" s="294"/>
      <c r="E698" s="271"/>
      <c r="F698" s="294"/>
      <c r="G698" s="302"/>
    </row>
    <row r="699" spans="1:11" ht="36" x14ac:dyDescent="0.2">
      <c r="A699" s="56" t="s">
        <v>161</v>
      </c>
      <c r="B699" s="162" t="s">
        <v>296</v>
      </c>
      <c r="C699" s="163" t="s">
        <v>292</v>
      </c>
      <c r="D699" s="59">
        <v>70</v>
      </c>
      <c r="E699" s="271"/>
      <c r="F699" s="274"/>
      <c r="G699" s="275">
        <f t="shared" ref="G699" si="146">(D699*E699)+(D699*F699)</f>
        <v>0</v>
      </c>
      <c r="I699" s="16">
        <f>32.2*2</f>
        <v>64.400000000000006</v>
      </c>
    </row>
    <row r="700" spans="1:11" x14ac:dyDescent="0.2">
      <c r="A700" s="121"/>
      <c r="B700" s="162"/>
      <c r="C700" s="163"/>
      <c r="D700" s="59"/>
      <c r="E700" s="271"/>
      <c r="F700" s="274"/>
      <c r="G700" s="275"/>
    </row>
    <row r="701" spans="1:11" x14ac:dyDescent="0.2">
      <c r="A701" s="121"/>
      <c r="B701" s="162"/>
      <c r="C701" s="163"/>
      <c r="D701" s="59"/>
      <c r="E701" s="271"/>
      <c r="F701" s="274"/>
      <c r="G701" s="275"/>
    </row>
    <row r="702" spans="1:11" x14ac:dyDescent="0.2">
      <c r="A702" s="121"/>
      <c r="B702" s="162"/>
      <c r="C702" s="163"/>
      <c r="D702" s="59"/>
      <c r="E702" s="271"/>
      <c r="F702" s="274"/>
      <c r="G702" s="275"/>
    </row>
    <row r="703" spans="1:11" x14ac:dyDescent="0.2">
      <c r="A703" s="121"/>
      <c r="B703" s="162"/>
      <c r="C703" s="163"/>
      <c r="D703" s="59"/>
      <c r="E703" s="271"/>
      <c r="F703" s="274"/>
      <c r="G703" s="275"/>
    </row>
    <row r="704" spans="1:11" ht="12.75" thickBot="1" x14ac:dyDescent="0.25">
      <c r="A704" s="121"/>
      <c r="B704" s="162"/>
      <c r="C704" s="163"/>
      <c r="D704" s="59"/>
      <c r="E704" s="271"/>
      <c r="F704" s="274"/>
      <c r="G704" s="275"/>
    </row>
    <row r="705" spans="1:19" x14ac:dyDescent="0.2">
      <c r="A705" s="248"/>
      <c r="B705" s="244" t="s">
        <v>190</v>
      </c>
      <c r="C705" s="249"/>
      <c r="D705" s="250"/>
      <c r="E705" s="363"/>
      <c r="F705" s="353"/>
      <c r="G705" s="354"/>
    </row>
    <row r="706" spans="1:19" ht="12" customHeight="1" thickBot="1" x14ac:dyDescent="0.25">
      <c r="A706" s="251"/>
      <c r="B706" s="205" t="s">
        <v>112</v>
      </c>
      <c r="C706" s="252"/>
      <c r="D706" s="242"/>
      <c r="E706" s="364"/>
      <c r="F706" s="355"/>
      <c r="G706" s="356">
        <f>SUM(G671:G700)</f>
        <v>0</v>
      </c>
    </row>
    <row r="707" spans="1:19" x14ac:dyDescent="0.2">
      <c r="A707" s="56"/>
      <c r="B707" s="120" t="s">
        <v>113</v>
      </c>
      <c r="C707" s="58"/>
      <c r="D707" s="59"/>
      <c r="E707" s="271"/>
      <c r="F707" s="274"/>
      <c r="G707" s="275"/>
    </row>
    <row r="708" spans="1:19" x14ac:dyDescent="0.2">
      <c r="A708" s="56"/>
      <c r="B708" s="82" t="s">
        <v>92</v>
      </c>
      <c r="C708" s="58"/>
      <c r="D708" s="59"/>
      <c r="E708" s="271"/>
      <c r="F708" s="274"/>
      <c r="G708" s="275"/>
    </row>
    <row r="709" spans="1:19" x14ac:dyDescent="0.2">
      <c r="A709" s="121" t="s">
        <v>114</v>
      </c>
      <c r="B709" s="64" t="s">
        <v>40</v>
      </c>
      <c r="C709" s="58" t="s">
        <v>57</v>
      </c>
      <c r="D709" s="59"/>
      <c r="E709" s="271"/>
      <c r="F709" s="274"/>
      <c r="G709" s="275"/>
      <c r="I709" s="28"/>
      <c r="J709" s="23">
        <v>80.599999999999994</v>
      </c>
      <c r="K709" s="23"/>
    </row>
    <row r="710" spans="1:19" ht="72" x14ac:dyDescent="0.2">
      <c r="A710" s="63"/>
      <c r="B710" s="80" t="s">
        <v>260</v>
      </c>
      <c r="C710" s="100"/>
      <c r="D710" s="100"/>
      <c r="E710" s="286"/>
      <c r="F710" s="286"/>
      <c r="G710" s="306"/>
      <c r="H710" s="30"/>
      <c r="I710" s="28"/>
      <c r="J710" s="39"/>
      <c r="K710" s="23"/>
      <c r="L710" s="30"/>
      <c r="M710" s="30"/>
      <c r="N710" s="30"/>
      <c r="O710" s="30"/>
      <c r="P710" s="30"/>
      <c r="Q710" s="30"/>
      <c r="R710" s="30"/>
      <c r="S710" s="30"/>
    </row>
    <row r="711" spans="1:19" ht="24" x14ac:dyDescent="0.2">
      <c r="A711" s="63"/>
      <c r="B711" s="80" t="s">
        <v>259</v>
      </c>
      <c r="C711" s="100"/>
      <c r="D711" s="100"/>
      <c r="E711" s="286"/>
      <c r="F711" s="286"/>
      <c r="G711" s="306"/>
      <c r="H711" s="30"/>
      <c r="I711" s="28"/>
      <c r="J711" s="23">
        <v>168.85</v>
      </c>
      <c r="K711" s="23"/>
      <c r="L711" s="30"/>
      <c r="M711" s="30"/>
      <c r="N711" s="30"/>
      <c r="O711" s="30"/>
      <c r="P711" s="30"/>
      <c r="Q711" s="30"/>
      <c r="R711" s="30"/>
      <c r="S711" s="30"/>
    </row>
    <row r="712" spans="1:19" ht="48" x14ac:dyDescent="0.2">
      <c r="A712" s="63"/>
      <c r="B712" s="80" t="s">
        <v>321</v>
      </c>
      <c r="C712" s="100"/>
      <c r="D712" s="100"/>
      <c r="E712" s="286"/>
      <c r="F712" s="286"/>
      <c r="G712" s="306"/>
      <c r="H712" s="30"/>
      <c r="I712" s="28"/>
      <c r="J712" s="39"/>
      <c r="K712" s="23"/>
      <c r="L712" s="30"/>
      <c r="M712" s="30"/>
      <c r="N712" s="30"/>
      <c r="O712" s="30"/>
      <c r="P712" s="30"/>
      <c r="Q712" s="30"/>
      <c r="R712" s="30"/>
      <c r="S712" s="30"/>
    </row>
    <row r="713" spans="1:19" ht="72" x14ac:dyDescent="0.2">
      <c r="A713" s="63"/>
      <c r="B713" s="80" t="s">
        <v>322</v>
      </c>
      <c r="C713" s="100"/>
      <c r="D713" s="100"/>
      <c r="E713" s="286"/>
      <c r="F713" s="286"/>
      <c r="G713" s="306"/>
      <c r="H713" s="30"/>
      <c r="I713" s="36"/>
      <c r="J713" s="23">
        <v>139</v>
      </c>
      <c r="K713" s="37"/>
      <c r="L713" s="30"/>
      <c r="M713" s="30"/>
      <c r="N713" s="30"/>
      <c r="O713" s="30"/>
      <c r="P713" s="30"/>
      <c r="Q713" s="30"/>
      <c r="R713" s="30"/>
      <c r="S713" s="30"/>
    </row>
    <row r="714" spans="1:19" x14ac:dyDescent="0.2">
      <c r="A714" s="124" t="s">
        <v>146</v>
      </c>
      <c r="B714" s="125" t="s">
        <v>65</v>
      </c>
      <c r="C714" s="126"/>
      <c r="D714" s="127"/>
      <c r="E714" s="271"/>
      <c r="F714" s="274"/>
      <c r="G714" s="275"/>
      <c r="I714" s="23"/>
      <c r="J714" s="37"/>
      <c r="K714" s="23"/>
    </row>
    <row r="715" spans="1:19" ht="24" x14ac:dyDescent="0.2">
      <c r="A715" s="56"/>
      <c r="B715" s="165" t="s">
        <v>323</v>
      </c>
      <c r="C715" s="166" t="s">
        <v>138</v>
      </c>
      <c r="D715" s="59">
        <v>149.66000000000003</v>
      </c>
      <c r="E715" s="271"/>
      <c r="F715" s="274"/>
      <c r="G715" s="275">
        <f t="shared" ref="G715:G717" si="147">(D715*E715)+(D715*F715)</f>
        <v>0</v>
      </c>
      <c r="I715" s="23"/>
      <c r="J715" s="39"/>
      <c r="K715" s="23"/>
    </row>
    <row r="716" spans="1:19" ht="13.5" x14ac:dyDescent="0.2">
      <c r="A716" s="56"/>
      <c r="B716" s="165" t="s">
        <v>324</v>
      </c>
      <c r="C716" s="166" t="s">
        <v>138</v>
      </c>
      <c r="D716" s="59">
        <v>559.16000000000008</v>
      </c>
      <c r="E716" s="271"/>
      <c r="F716" s="274"/>
      <c r="G716" s="275">
        <f t="shared" si="147"/>
        <v>0</v>
      </c>
      <c r="I716" s="23"/>
      <c r="J716" s="23">
        <v>143.19999999999999</v>
      </c>
      <c r="K716" s="23"/>
    </row>
    <row r="717" spans="1:19" ht="13.5" x14ac:dyDescent="0.2">
      <c r="A717" s="56"/>
      <c r="B717" s="165" t="s">
        <v>325</v>
      </c>
      <c r="C717" s="166" t="s">
        <v>138</v>
      </c>
      <c r="D717" s="59">
        <v>302.73999999999995</v>
      </c>
      <c r="E717" s="271"/>
      <c r="F717" s="274"/>
      <c r="G717" s="275">
        <f t="shared" si="147"/>
        <v>0</v>
      </c>
      <c r="I717" s="23" t="e">
        <f>#REF!+D548+#REF!+14+D549</f>
        <v>#REF!</v>
      </c>
      <c r="J717" s="39"/>
      <c r="K717" s="23"/>
    </row>
    <row r="718" spans="1:19" x14ac:dyDescent="0.2">
      <c r="A718" s="56"/>
      <c r="B718" s="165"/>
      <c r="C718" s="166"/>
      <c r="D718" s="59"/>
      <c r="E718" s="271"/>
      <c r="F718" s="274"/>
      <c r="G718" s="275"/>
      <c r="I718" s="37"/>
      <c r="J718" s="23"/>
      <c r="K718" s="23"/>
    </row>
    <row r="719" spans="1:19" x14ac:dyDescent="0.2">
      <c r="A719" s="124" t="s">
        <v>147</v>
      </c>
      <c r="B719" s="125" t="s">
        <v>67</v>
      </c>
      <c r="C719" s="126"/>
      <c r="D719" s="127"/>
      <c r="E719" s="271"/>
      <c r="F719" s="274"/>
      <c r="G719" s="275"/>
      <c r="I719" s="23"/>
      <c r="J719" s="37"/>
      <c r="K719" s="23"/>
    </row>
    <row r="720" spans="1:19" ht="24" x14ac:dyDescent="0.2">
      <c r="A720" s="56"/>
      <c r="B720" s="165" t="s">
        <v>323</v>
      </c>
      <c r="C720" s="166" t="s">
        <v>138</v>
      </c>
      <c r="D720" s="59">
        <v>149.66000000000003</v>
      </c>
      <c r="E720" s="271"/>
      <c r="F720" s="274"/>
      <c r="G720" s="275">
        <f t="shared" ref="G720:G722" si="148">(D720*E720)+(D720*F720)</f>
        <v>0</v>
      </c>
      <c r="I720" s="23"/>
      <c r="J720" s="39"/>
      <c r="K720" s="23"/>
    </row>
    <row r="721" spans="1:11" ht="13.5" x14ac:dyDescent="0.2">
      <c r="A721" s="56"/>
      <c r="B721" s="165" t="s">
        <v>324</v>
      </c>
      <c r="C721" s="166" t="s">
        <v>138</v>
      </c>
      <c r="D721" s="59">
        <v>552.22</v>
      </c>
      <c r="E721" s="271"/>
      <c r="F721" s="274"/>
      <c r="G721" s="275">
        <f t="shared" si="148"/>
        <v>0</v>
      </c>
      <c r="I721" s="23"/>
      <c r="J721" s="23">
        <v>143.19999999999999</v>
      </c>
      <c r="K721" s="23"/>
    </row>
    <row r="722" spans="1:11" ht="13.5" x14ac:dyDescent="0.2">
      <c r="A722" s="56"/>
      <c r="B722" s="165" t="s">
        <v>325</v>
      </c>
      <c r="C722" s="166" t="s">
        <v>138</v>
      </c>
      <c r="D722" s="59">
        <v>302.08</v>
      </c>
      <c r="E722" s="271"/>
      <c r="F722" s="274"/>
      <c r="G722" s="275">
        <f t="shared" si="148"/>
        <v>0</v>
      </c>
      <c r="I722" s="42" t="e">
        <f>#REF!+#REF!+#REF!+12.5+#REF!</f>
        <v>#REF!</v>
      </c>
      <c r="J722" s="39" t="e">
        <f>#REF!</f>
        <v>#REF!</v>
      </c>
      <c r="K722" s="23"/>
    </row>
    <row r="723" spans="1:11" x14ac:dyDescent="0.2">
      <c r="A723" s="124" t="s">
        <v>147</v>
      </c>
      <c r="B723" s="125" t="s">
        <v>363</v>
      </c>
      <c r="C723" s="126"/>
      <c r="D723" s="127"/>
      <c r="E723" s="271"/>
      <c r="F723" s="274"/>
      <c r="G723" s="275"/>
      <c r="I723" s="23"/>
      <c r="J723" s="37"/>
      <c r="K723" s="23"/>
    </row>
    <row r="724" spans="1:11" ht="24" x14ac:dyDescent="0.2">
      <c r="A724" s="56"/>
      <c r="B724" s="165" t="s">
        <v>323</v>
      </c>
      <c r="C724" s="166" t="s">
        <v>138</v>
      </c>
      <c r="D724" s="59">
        <v>239.66000000000003</v>
      </c>
      <c r="E724" s="271"/>
      <c r="F724" s="274"/>
      <c r="G724" s="275">
        <f t="shared" ref="G724:G726" si="149">(D724*E724)+(D724*F724)</f>
        <v>0</v>
      </c>
      <c r="I724" s="23"/>
      <c r="J724" s="39"/>
      <c r="K724" s="23"/>
    </row>
    <row r="725" spans="1:11" ht="13.5" x14ac:dyDescent="0.2">
      <c r="A725" s="56"/>
      <c r="B725" s="165" t="s">
        <v>324</v>
      </c>
      <c r="C725" s="166" t="s">
        <v>138</v>
      </c>
      <c r="D725" s="59">
        <v>852.22</v>
      </c>
      <c r="E725" s="271"/>
      <c r="F725" s="274"/>
      <c r="G725" s="275">
        <f t="shared" si="149"/>
        <v>0</v>
      </c>
      <c r="I725" s="23"/>
      <c r="J725" s="23">
        <v>143.19999999999999</v>
      </c>
      <c r="K725" s="23"/>
    </row>
    <row r="726" spans="1:11" ht="13.5" x14ac:dyDescent="0.2">
      <c r="A726" s="56"/>
      <c r="B726" s="165" t="s">
        <v>325</v>
      </c>
      <c r="C726" s="166" t="s">
        <v>138</v>
      </c>
      <c r="D726" s="59">
        <v>302.08</v>
      </c>
      <c r="E726" s="271"/>
      <c r="F726" s="274"/>
      <c r="G726" s="275">
        <f t="shared" si="149"/>
        <v>0</v>
      </c>
      <c r="I726" s="42" t="e">
        <f>#REF!+#REF!+#REF!+12.5+#REF!</f>
        <v>#REF!</v>
      </c>
      <c r="J726" s="39" t="e">
        <f>#REF!</f>
        <v>#REF!</v>
      </c>
      <c r="K726" s="23"/>
    </row>
    <row r="727" spans="1:11" x14ac:dyDescent="0.2">
      <c r="A727" s="124" t="s">
        <v>55</v>
      </c>
      <c r="B727" s="125" t="s">
        <v>409</v>
      </c>
      <c r="C727" s="126"/>
      <c r="D727" s="127"/>
      <c r="E727" s="271"/>
      <c r="F727" s="274"/>
      <c r="G727" s="275"/>
      <c r="I727" s="23"/>
      <c r="J727" s="37"/>
      <c r="K727" s="23"/>
    </row>
    <row r="728" spans="1:11" ht="24" x14ac:dyDescent="0.2">
      <c r="A728" s="56"/>
      <c r="B728" s="165" t="s">
        <v>323</v>
      </c>
      <c r="C728" s="166" t="s">
        <v>138</v>
      </c>
      <c r="D728" s="59">
        <v>239.66000000000003</v>
      </c>
      <c r="E728" s="271"/>
      <c r="F728" s="274"/>
      <c r="G728" s="275">
        <f t="shared" ref="G728:G730" si="150">(D728*E728)+(D728*F728)</f>
        <v>0</v>
      </c>
      <c r="I728" s="23"/>
      <c r="J728" s="39"/>
      <c r="K728" s="23"/>
    </row>
    <row r="729" spans="1:11" ht="13.5" x14ac:dyDescent="0.2">
      <c r="A729" s="56"/>
      <c r="B729" s="165" t="s">
        <v>324</v>
      </c>
      <c r="C729" s="166" t="s">
        <v>138</v>
      </c>
      <c r="D729" s="59">
        <v>852.22</v>
      </c>
      <c r="E729" s="271"/>
      <c r="F729" s="274"/>
      <c r="G729" s="275">
        <f t="shared" si="150"/>
        <v>0</v>
      </c>
      <c r="I729" s="23"/>
      <c r="J729" s="23">
        <v>143.19999999999999</v>
      </c>
      <c r="K729" s="23"/>
    </row>
    <row r="730" spans="1:11" ht="13.5" x14ac:dyDescent="0.2">
      <c r="A730" s="56"/>
      <c r="B730" s="165" t="s">
        <v>325</v>
      </c>
      <c r="C730" s="166" t="s">
        <v>138</v>
      </c>
      <c r="D730" s="59">
        <v>302.08</v>
      </c>
      <c r="E730" s="271"/>
      <c r="F730" s="274"/>
      <c r="G730" s="275">
        <f t="shared" si="150"/>
        <v>0</v>
      </c>
      <c r="I730" s="42" t="e">
        <f>#REF!+#REF!+#REF!+12.5+#REF!</f>
        <v>#REF!</v>
      </c>
      <c r="J730" s="39" t="e">
        <f>#REF!</f>
        <v>#REF!</v>
      </c>
      <c r="K730" s="23"/>
    </row>
    <row r="731" spans="1:11" x14ac:dyDescent="0.2">
      <c r="A731" s="124" t="s">
        <v>148</v>
      </c>
      <c r="B731" s="125" t="s">
        <v>251</v>
      </c>
      <c r="C731" s="126"/>
      <c r="D731" s="127"/>
      <c r="E731" s="271"/>
      <c r="F731" s="274"/>
      <c r="G731" s="275"/>
      <c r="J731" s="23"/>
    </row>
    <row r="732" spans="1:11" ht="24" x14ac:dyDescent="0.2">
      <c r="A732" s="56"/>
      <c r="B732" s="165" t="s">
        <v>323</v>
      </c>
      <c r="C732" s="166" t="s">
        <v>138</v>
      </c>
      <c r="D732" s="59">
        <v>12</v>
      </c>
      <c r="E732" s="271"/>
      <c r="F732" s="274"/>
      <c r="G732" s="275">
        <f t="shared" ref="G732:G734" si="151">(D732*E732)+(D732*F732)</f>
        <v>0</v>
      </c>
      <c r="J732" s="23"/>
    </row>
    <row r="733" spans="1:11" ht="13.5" x14ac:dyDescent="0.2">
      <c r="A733" s="56"/>
      <c r="B733" s="165" t="s">
        <v>324</v>
      </c>
      <c r="C733" s="166" t="s">
        <v>138</v>
      </c>
      <c r="D733" s="59">
        <v>12</v>
      </c>
      <c r="E733" s="271"/>
      <c r="F733" s="274"/>
      <c r="G733" s="275">
        <f t="shared" si="151"/>
        <v>0</v>
      </c>
      <c r="J733" s="23"/>
    </row>
    <row r="734" spans="1:11" ht="13.5" x14ac:dyDescent="0.2">
      <c r="A734" s="56"/>
      <c r="B734" s="165" t="s">
        <v>326</v>
      </c>
      <c r="C734" s="166" t="s">
        <v>138</v>
      </c>
      <c r="D734" s="59">
        <v>70</v>
      </c>
      <c r="E734" s="271"/>
      <c r="F734" s="274"/>
      <c r="G734" s="275">
        <f t="shared" si="151"/>
        <v>0</v>
      </c>
      <c r="J734" s="23"/>
    </row>
    <row r="735" spans="1:11" x14ac:dyDescent="0.2">
      <c r="A735" s="56"/>
      <c r="B735" s="165"/>
      <c r="C735" s="166"/>
      <c r="D735" s="59"/>
      <c r="E735" s="271"/>
      <c r="F735" s="274"/>
      <c r="G735" s="275"/>
      <c r="J735" s="53"/>
    </row>
    <row r="736" spans="1:11" x14ac:dyDescent="0.2">
      <c r="A736" s="56"/>
      <c r="B736" s="165"/>
      <c r="C736" s="166"/>
      <c r="D736" s="59"/>
      <c r="E736" s="271"/>
      <c r="F736" s="274"/>
      <c r="G736" s="275"/>
      <c r="J736" s="53"/>
    </row>
    <row r="737" spans="1:19" x14ac:dyDescent="0.2">
      <c r="A737" s="56"/>
      <c r="B737" s="165"/>
      <c r="C737" s="166"/>
      <c r="D737" s="59"/>
      <c r="E737" s="271"/>
      <c r="F737" s="274"/>
      <c r="G737" s="275"/>
      <c r="J737" s="53"/>
    </row>
    <row r="738" spans="1:19" x14ac:dyDescent="0.2">
      <c r="A738" s="56"/>
      <c r="B738" s="165"/>
      <c r="C738" s="166"/>
      <c r="D738" s="59"/>
      <c r="E738" s="271"/>
      <c r="F738" s="274"/>
      <c r="G738" s="275"/>
      <c r="J738" s="53"/>
    </row>
    <row r="739" spans="1:19" x14ac:dyDescent="0.2">
      <c r="A739" s="56"/>
      <c r="B739" s="165"/>
      <c r="C739" s="166"/>
      <c r="D739" s="59"/>
      <c r="E739" s="271"/>
      <c r="F739" s="274"/>
      <c r="G739" s="275"/>
      <c r="J739" s="53"/>
    </row>
    <row r="740" spans="1:19" x14ac:dyDescent="0.2">
      <c r="A740" s="56"/>
      <c r="B740" s="165"/>
      <c r="C740" s="166"/>
      <c r="D740" s="59"/>
      <c r="E740" s="271"/>
      <c r="F740" s="274"/>
      <c r="G740" s="275"/>
      <c r="J740" s="53"/>
    </row>
    <row r="741" spans="1:19" x14ac:dyDescent="0.2">
      <c r="A741" s="56"/>
      <c r="B741" s="165"/>
      <c r="C741" s="166"/>
      <c r="D741" s="59"/>
      <c r="E741" s="271"/>
      <c r="F741" s="274"/>
      <c r="G741" s="275"/>
      <c r="J741" s="53"/>
    </row>
    <row r="742" spans="1:19" x14ac:dyDescent="0.2">
      <c r="A742" s="56"/>
      <c r="B742" s="165"/>
      <c r="C742" s="166"/>
      <c r="D742" s="59"/>
      <c r="E742" s="271"/>
      <c r="F742" s="274"/>
      <c r="G742" s="275"/>
      <c r="J742" s="53"/>
    </row>
    <row r="743" spans="1:19" ht="12.75" thickBot="1" x14ac:dyDescent="0.25">
      <c r="A743" s="56"/>
      <c r="B743" s="165"/>
      <c r="C743" s="166"/>
      <c r="D743" s="59"/>
      <c r="E743" s="271"/>
      <c r="F743" s="274"/>
      <c r="G743" s="275"/>
      <c r="J743" s="53"/>
    </row>
    <row r="744" spans="1:19" ht="12" customHeight="1" x14ac:dyDescent="0.2">
      <c r="A744" s="248"/>
      <c r="B744" s="244" t="s">
        <v>191</v>
      </c>
      <c r="C744" s="234"/>
      <c r="D744" s="229"/>
      <c r="E744" s="352"/>
      <c r="F744" s="353"/>
      <c r="G744" s="354"/>
    </row>
    <row r="745" spans="1:19" ht="12" customHeight="1" thickBot="1" x14ac:dyDescent="0.25">
      <c r="A745" s="251"/>
      <c r="B745" s="205" t="s">
        <v>116</v>
      </c>
      <c r="C745" s="235"/>
      <c r="D745" s="233"/>
      <c r="E745" s="349"/>
      <c r="F745" s="355"/>
      <c r="G745" s="356">
        <f>SUM(G715:G735)</f>
        <v>0</v>
      </c>
    </row>
    <row r="746" spans="1:19" ht="12" customHeight="1" x14ac:dyDescent="0.2">
      <c r="A746" s="56"/>
      <c r="B746" s="120" t="s">
        <v>117</v>
      </c>
      <c r="C746" s="58"/>
      <c r="D746" s="59"/>
      <c r="E746" s="271"/>
      <c r="F746" s="274"/>
      <c r="G746" s="275"/>
    </row>
    <row r="747" spans="1:19" ht="12" customHeight="1" x14ac:dyDescent="0.2">
      <c r="A747" s="56"/>
      <c r="B747" s="82" t="s">
        <v>94</v>
      </c>
      <c r="C747" s="58"/>
      <c r="D747" s="59"/>
      <c r="E747" s="271"/>
      <c r="F747" s="274"/>
      <c r="G747" s="275"/>
    </row>
    <row r="748" spans="1:19" ht="12" customHeight="1" x14ac:dyDescent="0.2">
      <c r="A748" s="121" t="s">
        <v>118</v>
      </c>
      <c r="B748" s="64" t="s">
        <v>40</v>
      </c>
      <c r="C748" s="58"/>
      <c r="D748" s="59"/>
      <c r="E748" s="271"/>
      <c r="F748" s="274"/>
      <c r="G748" s="275"/>
    </row>
    <row r="749" spans="1:19" ht="53.25" customHeight="1" x14ac:dyDescent="0.2">
      <c r="A749" s="63"/>
      <c r="B749" s="80" t="s">
        <v>135</v>
      </c>
      <c r="C749" s="80"/>
      <c r="D749" s="80"/>
      <c r="E749" s="296"/>
      <c r="F749" s="296"/>
      <c r="G749" s="297"/>
      <c r="H749" s="30"/>
      <c r="I749" s="30"/>
      <c r="J749" s="30"/>
      <c r="K749" s="30"/>
      <c r="L749" s="30"/>
      <c r="M749" s="30"/>
      <c r="N749" s="30"/>
      <c r="O749" s="30"/>
      <c r="P749" s="30"/>
      <c r="Q749" s="30"/>
      <c r="R749" s="30"/>
      <c r="S749" s="30"/>
    </row>
    <row r="750" spans="1:19" s="322" customFormat="1" x14ac:dyDescent="0.2">
      <c r="A750" s="326" t="s">
        <v>168</v>
      </c>
      <c r="B750" s="327" t="s">
        <v>121</v>
      </c>
      <c r="C750" s="331"/>
      <c r="D750" s="294"/>
      <c r="E750" s="271"/>
      <c r="F750" s="294"/>
      <c r="G750" s="302"/>
    </row>
    <row r="751" spans="1:19" x14ac:dyDescent="0.2">
      <c r="A751" s="124" t="s">
        <v>146</v>
      </c>
      <c r="B751" s="167" t="s">
        <v>65</v>
      </c>
      <c r="C751" s="168"/>
      <c r="D751" s="127"/>
      <c r="E751" s="271"/>
      <c r="F751" s="294"/>
      <c r="G751" s="307"/>
    </row>
    <row r="752" spans="1:19" s="43" customFormat="1" ht="14.25" customHeight="1" x14ac:dyDescent="0.2">
      <c r="A752" s="169" t="s">
        <v>161</v>
      </c>
      <c r="B752" s="170" t="s">
        <v>343</v>
      </c>
      <c r="C752" s="171" t="s">
        <v>111</v>
      </c>
      <c r="D752" s="172"/>
      <c r="E752" s="305"/>
      <c r="F752" s="292"/>
      <c r="G752" s="293"/>
      <c r="H752" s="16"/>
      <c r="I752" s="16"/>
      <c r="J752" s="16"/>
      <c r="K752" s="16"/>
      <c r="L752" s="16"/>
      <c r="M752" s="16"/>
      <c r="N752" s="16"/>
      <c r="O752" s="16"/>
      <c r="P752" s="16"/>
      <c r="Q752" s="16"/>
      <c r="R752" s="16"/>
      <c r="S752" s="16"/>
    </row>
    <row r="753" spans="1:19" s="43" customFormat="1" ht="25.5" customHeight="1" x14ac:dyDescent="0.2">
      <c r="A753" s="121"/>
      <c r="B753" s="128" t="s">
        <v>379</v>
      </c>
      <c r="C753" s="129" t="s">
        <v>14</v>
      </c>
      <c r="D753" s="59">
        <v>1</v>
      </c>
      <c r="E753" s="271"/>
      <c r="F753" s="274"/>
      <c r="G753" s="275">
        <f>(D753*E753)+(D753*F753)</f>
        <v>0</v>
      </c>
      <c r="H753" s="16"/>
      <c r="I753" s="16"/>
      <c r="J753" s="16"/>
      <c r="K753" s="16"/>
      <c r="L753" s="16"/>
      <c r="M753" s="16"/>
      <c r="N753" s="16"/>
      <c r="O753" s="16"/>
      <c r="P753" s="16"/>
      <c r="Q753" s="16"/>
      <c r="R753" s="16"/>
      <c r="S753" s="16"/>
    </row>
    <row r="754" spans="1:19" ht="12" customHeight="1" x14ac:dyDescent="0.2">
      <c r="A754" s="124" t="s">
        <v>147</v>
      </c>
      <c r="B754" s="167" t="s">
        <v>67</v>
      </c>
      <c r="C754" s="168"/>
      <c r="D754" s="127"/>
      <c r="E754" s="271"/>
      <c r="F754" s="294"/>
      <c r="G754" s="307"/>
    </row>
    <row r="755" spans="1:19" ht="12" customHeight="1" x14ac:dyDescent="0.2">
      <c r="A755" s="169" t="s">
        <v>161</v>
      </c>
      <c r="B755" s="170" t="s">
        <v>344</v>
      </c>
      <c r="C755" s="171" t="s">
        <v>111</v>
      </c>
      <c r="D755" s="172"/>
      <c r="E755" s="305"/>
      <c r="F755" s="292"/>
      <c r="G755" s="293"/>
    </row>
    <row r="756" spans="1:19" ht="27" customHeight="1" x14ac:dyDescent="0.2">
      <c r="A756" s="121"/>
      <c r="B756" s="128" t="s">
        <v>431</v>
      </c>
      <c r="C756" s="129" t="s">
        <v>14</v>
      </c>
      <c r="D756" s="59">
        <v>1</v>
      </c>
      <c r="E756" s="271"/>
      <c r="F756" s="274"/>
      <c r="G756" s="275">
        <f>(D756*E756)+(D756*F756)</f>
        <v>0</v>
      </c>
      <c r="I756" s="16">
        <f>3*10+1.8*2</f>
        <v>33.6</v>
      </c>
    </row>
    <row r="757" spans="1:19" s="43" customFormat="1" ht="14.25" customHeight="1" x14ac:dyDescent="0.2">
      <c r="A757" s="169" t="s">
        <v>162</v>
      </c>
      <c r="B757" s="170" t="s">
        <v>343</v>
      </c>
      <c r="C757" s="171" t="s">
        <v>111</v>
      </c>
      <c r="D757" s="172"/>
      <c r="E757" s="305"/>
      <c r="F757" s="292"/>
      <c r="G757" s="293"/>
      <c r="H757" s="16"/>
      <c r="I757" s="16"/>
      <c r="J757" s="16"/>
      <c r="K757" s="16"/>
      <c r="L757" s="16"/>
      <c r="M757" s="16"/>
      <c r="N757" s="16"/>
      <c r="O757" s="16"/>
      <c r="P757" s="16"/>
      <c r="Q757" s="16"/>
      <c r="R757" s="16"/>
      <c r="S757" s="16"/>
    </row>
    <row r="758" spans="1:19" s="43" customFormat="1" ht="25.5" customHeight="1" x14ac:dyDescent="0.2">
      <c r="A758" s="121"/>
      <c r="B758" s="128" t="s">
        <v>379</v>
      </c>
      <c r="C758" s="129" t="s">
        <v>14</v>
      </c>
      <c r="D758" s="59">
        <v>1</v>
      </c>
      <c r="E758" s="271"/>
      <c r="F758" s="274"/>
      <c r="G758" s="275">
        <f>(D758*E758)+(D758*F758)</f>
        <v>0</v>
      </c>
      <c r="H758" s="16"/>
      <c r="I758" s="16"/>
      <c r="J758" s="16"/>
      <c r="K758" s="16"/>
      <c r="L758" s="16"/>
      <c r="M758" s="16"/>
      <c r="N758" s="16"/>
      <c r="O758" s="16"/>
      <c r="P758" s="16"/>
      <c r="Q758" s="16"/>
      <c r="R758" s="16"/>
      <c r="S758" s="16"/>
    </row>
    <row r="759" spans="1:19" ht="12" customHeight="1" x14ac:dyDescent="0.2">
      <c r="A759" s="124" t="s">
        <v>55</v>
      </c>
      <c r="B759" s="167" t="s">
        <v>363</v>
      </c>
      <c r="C759" s="168"/>
      <c r="D759" s="127"/>
      <c r="E759" s="271"/>
      <c r="F759" s="294"/>
      <c r="G759" s="307"/>
    </row>
    <row r="760" spans="1:19" ht="12" customHeight="1" x14ac:dyDescent="0.2">
      <c r="A760" s="169" t="s">
        <v>161</v>
      </c>
      <c r="B760" s="170" t="s">
        <v>344</v>
      </c>
      <c r="C760" s="171" t="s">
        <v>111</v>
      </c>
      <c r="D760" s="172"/>
      <c r="E760" s="305"/>
      <c r="F760" s="292"/>
      <c r="G760" s="293"/>
    </row>
    <row r="761" spans="1:19" ht="27" customHeight="1" x14ac:dyDescent="0.2">
      <c r="A761" s="121"/>
      <c r="B761" s="128" t="s">
        <v>431</v>
      </c>
      <c r="C761" s="129" t="s">
        <v>14</v>
      </c>
      <c r="D761" s="59">
        <v>1</v>
      </c>
      <c r="E761" s="271"/>
      <c r="F761" s="274"/>
      <c r="G761" s="275">
        <f>(D761*E761)+(D761*F761)</f>
        <v>0</v>
      </c>
      <c r="I761" s="16">
        <f>3*10+1.8*2</f>
        <v>33.6</v>
      </c>
    </row>
    <row r="762" spans="1:19" s="43" customFormat="1" ht="14.25" customHeight="1" x14ac:dyDescent="0.2">
      <c r="A762" s="169" t="s">
        <v>162</v>
      </c>
      <c r="B762" s="170" t="s">
        <v>343</v>
      </c>
      <c r="C762" s="171" t="s">
        <v>111</v>
      </c>
      <c r="D762" s="172"/>
      <c r="E762" s="305"/>
      <c r="F762" s="292"/>
      <c r="G762" s="293"/>
      <c r="H762" s="16"/>
      <c r="I762" s="16"/>
      <c r="J762" s="16"/>
      <c r="K762" s="16"/>
      <c r="L762" s="16"/>
      <c r="M762" s="16"/>
      <c r="N762" s="16"/>
      <c r="O762" s="16"/>
      <c r="P762" s="16"/>
      <c r="Q762" s="16"/>
      <c r="R762" s="16"/>
      <c r="S762" s="16"/>
    </row>
    <row r="763" spans="1:19" s="43" customFormat="1" ht="25.5" customHeight="1" x14ac:dyDescent="0.2">
      <c r="A763" s="121"/>
      <c r="B763" s="128" t="s">
        <v>379</v>
      </c>
      <c r="C763" s="129" t="s">
        <v>14</v>
      </c>
      <c r="D763" s="59">
        <v>1</v>
      </c>
      <c r="E763" s="271"/>
      <c r="F763" s="274"/>
      <c r="G763" s="275">
        <f>(D763*E763)+(D763*F763)</f>
        <v>0</v>
      </c>
      <c r="H763" s="16"/>
      <c r="I763" s="16"/>
      <c r="J763" s="16"/>
      <c r="K763" s="16"/>
      <c r="L763" s="16"/>
      <c r="M763" s="16"/>
      <c r="N763" s="16"/>
      <c r="O763" s="16"/>
      <c r="P763" s="16"/>
      <c r="Q763" s="16"/>
      <c r="R763" s="16"/>
      <c r="S763" s="16"/>
    </row>
    <row r="764" spans="1:19" ht="12" customHeight="1" x14ac:dyDescent="0.2">
      <c r="A764" s="124" t="s">
        <v>148</v>
      </c>
      <c r="B764" s="167" t="s">
        <v>409</v>
      </c>
      <c r="C764" s="168"/>
      <c r="D764" s="127"/>
      <c r="E764" s="271"/>
      <c r="F764" s="294"/>
      <c r="G764" s="307"/>
    </row>
    <row r="765" spans="1:19" ht="12" customHeight="1" x14ac:dyDescent="0.2">
      <c r="A765" s="169" t="s">
        <v>161</v>
      </c>
      <c r="B765" s="170" t="s">
        <v>344</v>
      </c>
      <c r="C765" s="171" t="s">
        <v>111</v>
      </c>
      <c r="D765" s="172"/>
      <c r="E765" s="305"/>
      <c r="F765" s="292"/>
      <c r="G765" s="293"/>
    </row>
    <row r="766" spans="1:19" ht="27" customHeight="1" x14ac:dyDescent="0.2">
      <c r="A766" s="121"/>
      <c r="B766" s="128" t="s">
        <v>431</v>
      </c>
      <c r="C766" s="129" t="s">
        <v>14</v>
      </c>
      <c r="D766" s="59">
        <v>1</v>
      </c>
      <c r="E766" s="271"/>
      <c r="F766" s="274"/>
      <c r="G766" s="275">
        <f>(D766*E766)+(D766*F766)</f>
        <v>0</v>
      </c>
      <c r="I766" s="16">
        <f>3*10+1.8*2</f>
        <v>33.6</v>
      </c>
    </row>
    <row r="767" spans="1:19" s="322" customFormat="1" ht="12" customHeight="1" x14ac:dyDescent="0.2">
      <c r="A767" s="326" t="s">
        <v>168</v>
      </c>
      <c r="B767" s="327" t="s">
        <v>283</v>
      </c>
      <c r="C767" s="331"/>
      <c r="D767" s="294"/>
      <c r="E767" s="271"/>
      <c r="F767" s="294"/>
      <c r="G767" s="302"/>
    </row>
    <row r="768" spans="1:19" ht="48.75" customHeight="1" x14ac:dyDescent="0.2">
      <c r="A768" s="56"/>
      <c r="B768" s="128" t="s">
        <v>380</v>
      </c>
      <c r="C768" s="129"/>
      <c r="D768" s="59"/>
      <c r="E768" s="271"/>
      <c r="F768" s="274"/>
      <c r="G768" s="275"/>
    </row>
    <row r="769" spans="1:10" ht="13.5" customHeight="1" x14ac:dyDescent="0.2">
      <c r="A769" s="56" t="s">
        <v>381</v>
      </c>
      <c r="B769" s="128" t="s">
        <v>432</v>
      </c>
      <c r="C769" s="129" t="s">
        <v>111</v>
      </c>
      <c r="D769" s="59">
        <v>10</v>
      </c>
      <c r="E769" s="271"/>
      <c r="F769" s="274"/>
      <c r="G769" s="275">
        <f t="shared" ref="G769:G777" si="152">(D769*E769)+(D769*F769)</f>
        <v>0</v>
      </c>
    </row>
    <row r="770" spans="1:10" x14ac:dyDescent="0.2">
      <c r="A770" s="56" t="s">
        <v>378</v>
      </c>
      <c r="B770" s="128" t="s">
        <v>434</v>
      </c>
      <c r="C770" s="129" t="s">
        <v>111</v>
      </c>
      <c r="D770" s="59">
        <v>1</v>
      </c>
      <c r="E770" s="271"/>
      <c r="F770" s="274"/>
      <c r="G770" s="275">
        <f t="shared" ref="G770" si="153">(D770*E770)+(D770*F770)</f>
        <v>0</v>
      </c>
    </row>
    <row r="771" spans="1:10" ht="26.25" customHeight="1" x14ac:dyDescent="0.2">
      <c r="A771" s="56" t="s">
        <v>284</v>
      </c>
      <c r="B771" s="128" t="s">
        <v>433</v>
      </c>
      <c r="C771" s="129" t="s">
        <v>111</v>
      </c>
      <c r="D771" s="59">
        <v>16</v>
      </c>
      <c r="E771" s="271"/>
      <c r="F771" s="274"/>
      <c r="G771" s="275">
        <f t="shared" si="152"/>
        <v>0</v>
      </c>
      <c r="I771" s="16">
        <f>32.2*8*2</f>
        <v>515.20000000000005</v>
      </c>
      <c r="J771" s="16">
        <f>I771*105%</f>
        <v>540.96</v>
      </c>
    </row>
    <row r="772" spans="1:10" ht="24" x14ac:dyDescent="0.2">
      <c r="A772" s="56" t="s">
        <v>285</v>
      </c>
      <c r="B772" s="128" t="s">
        <v>290</v>
      </c>
      <c r="C772" s="166" t="s">
        <v>138</v>
      </c>
      <c r="D772" s="59">
        <v>362.5</v>
      </c>
      <c r="E772" s="271"/>
      <c r="F772" s="274"/>
      <c r="G772" s="275">
        <f t="shared" si="152"/>
        <v>0</v>
      </c>
      <c r="I772" s="16">
        <f>32.2*6.616*2</f>
        <v>426.07040000000001</v>
      </c>
    </row>
    <row r="773" spans="1:10" ht="24" x14ac:dyDescent="0.2">
      <c r="A773" s="56" t="s">
        <v>286</v>
      </c>
      <c r="B773" s="128" t="s">
        <v>435</v>
      </c>
      <c r="C773" s="166" t="s">
        <v>138</v>
      </c>
      <c r="D773" s="59">
        <v>362.5</v>
      </c>
      <c r="E773" s="271"/>
      <c r="F773" s="274"/>
      <c r="G773" s="275">
        <f t="shared" si="152"/>
        <v>0</v>
      </c>
    </row>
    <row r="774" spans="1:10" ht="24" x14ac:dyDescent="0.2">
      <c r="A774" s="56" t="s">
        <v>287</v>
      </c>
      <c r="B774" s="128" t="s">
        <v>288</v>
      </c>
      <c r="C774" s="166" t="s">
        <v>138</v>
      </c>
      <c r="D774" s="59">
        <v>362.5</v>
      </c>
      <c r="E774" s="271"/>
      <c r="F774" s="274"/>
      <c r="G774" s="275">
        <f t="shared" si="152"/>
        <v>0</v>
      </c>
    </row>
    <row r="775" spans="1:10" ht="24" x14ac:dyDescent="0.2">
      <c r="A775" s="56" t="s">
        <v>289</v>
      </c>
      <c r="B775" s="128" t="s">
        <v>291</v>
      </c>
      <c r="C775" s="166" t="s">
        <v>292</v>
      </c>
      <c r="D775" s="59">
        <v>29</v>
      </c>
      <c r="E775" s="271"/>
      <c r="F775" s="274"/>
      <c r="G775" s="275">
        <f t="shared" si="152"/>
        <v>0</v>
      </c>
    </row>
    <row r="776" spans="1:10" ht="24" x14ac:dyDescent="0.2">
      <c r="A776" s="56" t="s">
        <v>178</v>
      </c>
      <c r="B776" s="128" t="s">
        <v>293</v>
      </c>
      <c r="C776" s="166" t="s">
        <v>292</v>
      </c>
      <c r="D776" s="59">
        <v>27</v>
      </c>
      <c r="E776" s="271"/>
      <c r="F776" s="274"/>
      <c r="G776" s="275">
        <f t="shared" si="152"/>
        <v>0</v>
      </c>
      <c r="I776" s="16">
        <f>6.7*4</f>
        <v>26.8</v>
      </c>
    </row>
    <row r="777" spans="1:10" ht="12" customHeight="1" x14ac:dyDescent="0.2">
      <c r="A777" s="56" t="s">
        <v>179</v>
      </c>
      <c r="B777" s="128" t="s">
        <v>294</v>
      </c>
      <c r="C777" s="166" t="s">
        <v>292</v>
      </c>
      <c r="D777" s="59">
        <v>58</v>
      </c>
      <c r="E777" s="271"/>
      <c r="F777" s="274"/>
      <c r="G777" s="275">
        <f t="shared" si="152"/>
        <v>0</v>
      </c>
      <c r="I777" s="16">
        <f>32.2*2</f>
        <v>64.400000000000006</v>
      </c>
    </row>
    <row r="778" spans="1:10" x14ac:dyDescent="0.2">
      <c r="A778" s="56"/>
      <c r="B778" s="128"/>
      <c r="C778" s="166"/>
      <c r="D778" s="59"/>
      <c r="E778" s="271"/>
      <c r="F778" s="274"/>
      <c r="G778" s="275"/>
    </row>
    <row r="779" spans="1:10" ht="12" customHeight="1" x14ac:dyDescent="0.2">
      <c r="A779" s="56"/>
      <c r="B779" s="128"/>
      <c r="C779" s="166"/>
      <c r="D779" s="59"/>
      <c r="E779" s="271"/>
      <c r="F779" s="274"/>
      <c r="G779" s="275"/>
    </row>
    <row r="780" spans="1:10" ht="12" customHeight="1" x14ac:dyDescent="0.2">
      <c r="A780" s="56"/>
      <c r="B780" s="128"/>
      <c r="C780" s="166"/>
      <c r="D780" s="59"/>
      <c r="E780" s="271"/>
      <c r="F780" s="274"/>
      <c r="G780" s="275"/>
    </row>
    <row r="781" spans="1:10" ht="12.75" thickBot="1" x14ac:dyDescent="0.25">
      <c r="A781" s="56"/>
      <c r="B781" s="128"/>
      <c r="C781" s="166"/>
      <c r="D781" s="59"/>
      <c r="E781" s="271"/>
      <c r="F781" s="274"/>
      <c r="G781" s="275"/>
    </row>
    <row r="782" spans="1:10" x14ac:dyDescent="0.2">
      <c r="A782" s="243"/>
      <c r="B782" s="244" t="s">
        <v>192</v>
      </c>
      <c r="C782" s="249"/>
      <c r="D782" s="365"/>
      <c r="E782" s="352"/>
      <c r="F782" s="353"/>
      <c r="G782" s="354"/>
    </row>
    <row r="783" spans="1:10" ht="12.75" thickBot="1" x14ac:dyDescent="0.25">
      <c r="A783" s="245"/>
      <c r="B783" s="205" t="s">
        <v>119</v>
      </c>
      <c r="C783" s="252"/>
      <c r="D783" s="366"/>
      <c r="E783" s="349"/>
      <c r="F783" s="355"/>
      <c r="G783" s="356">
        <f>SUM(G753:G782)</f>
        <v>0</v>
      </c>
    </row>
    <row r="784" spans="1:10" x14ac:dyDescent="0.2">
      <c r="A784" s="121"/>
      <c r="B784" s="155"/>
      <c r="C784" s="58"/>
      <c r="D784" s="59"/>
      <c r="E784" s="271"/>
      <c r="F784" s="274"/>
      <c r="G784" s="275"/>
    </row>
    <row r="785" spans="1:7" x14ac:dyDescent="0.2">
      <c r="A785" s="56"/>
      <c r="B785" s="120" t="s">
        <v>120</v>
      </c>
      <c r="C785" s="58"/>
      <c r="D785" s="59"/>
      <c r="E785" s="271"/>
      <c r="F785" s="274"/>
      <c r="G785" s="275"/>
    </row>
    <row r="786" spans="1:7" ht="13.5" customHeight="1" x14ac:dyDescent="0.2">
      <c r="A786" s="56"/>
      <c r="B786" s="82" t="s">
        <v>124</v>
      </c>
      <c r="C786" s="58"/>
      <c r="D786" s="59"/>
      <c r="E786" s="271"/>
      <c r="F786" s="274"/>
      <c r="G786" s="275"/>
    </row>
    <row r="787" spans="1:7" x14ac:dyDescent="0.2">
      <c r="A787" s="121" t="s">
        <v>467</v>
      </c>
      <c r="B787" s="64" t="s">
        <v>40</v>
      </c>
      <c r="C787" s="58"/>
      <c r="D787" s="59"/>
      <c r="E787" s="271"/>
      <c r="F787" s="274"/>
      <c r="G787" s="275"/>
    </row>
    <row r="788" spans="1:7" ht="36" x14ac:dyDescent="0.2">
      <c r="A788" s="56"/>
      <c r="B788" s="104" t="s">
        <v>157</v>
      </c>
      <c r="C788" s="122"/>
      <c r="D788" s="122"/>
      <c r="E788" s="300"/>
      <c r="F788" s="300"/>
      <c r="G788" s="301"/>
    </row>
    <row r="789" spans="1:7" ht="48" x14ac:dyDescent="0.2">
      <c r="A789" s="81"/>
      <c r="B789" s="104" t="s">
        <v>156</v>
      </c>
      <c r="C789" s="122"/>
      <c r="D789" s="122"/>
      <c r="E789" s="300"/>
      <c r="F789" s="300"/>
      <c r="G789" s="301"/>
    </row>
    <row r="790" spans="1:7" ht="24" x14ac:dyDescent="0.2">
      <c r="A790" s="56"/>
      <c r="B790" s="104" t="s">
        <v>245</v>
      </c>
      <c r="C790" s="122"/>
      <c r="D790" s="122"/>
      <c r="E790" s="300"/>
      <c r="F790" s="300"/>
      <c r="G790" s="301"/>
    </row>
    <row r="791" spans="1:7" ht="84" x14ac:dyDescent="0.2">
      <c r="A791" s="56"/>
      <c r="B791" s="104" t="s">
        <v>155</v>
      </c>
      <c r="C791" s="122"/>
      <c r="D791" s="122"/>
      <c r="E791" s="300"/>
      <c r="F791" s="300"/>
      <c r="G791" s="301"/>
    </row>
    <row r="792" spans="1:7" ht="24" x14ac:dyDescent="0.2">
      <c r="A792" s="56"/>
      <c r="B792" s="104" t="s">
        <v>246</v>
      </c>
      <c r="C792" s="122"/>
      <c r="D792" s="122"/>
      <c r="E792" s="300"/>
      <c r="F792" s="300"/>
      <c r="G792" s="301"/>
    </row>
    <row r="793" spans="1:7" x14ac:dyDescent="0.2">
      <c r="A793" s="173" t="s">
        <v>468</v>
      </c>
      <c r="B793" s="174" t="s">
        <v>65</v>
      </c>
      <c r="C793" s="175"/>
      <c r="D793" s="176"/>
      <c r="E793" s="305"/>
      <c r="F793" s="274"/>
      <c r="G793" s="275"/>
    </row>
    <row r="794" spans="1:7" s="322" customFormat="1" x14ac:dyDescent="0.2">
      <c r="A794" s="339" t="s">
        <v>469</v>
      </c>
      <c r="B794" s="340" t="s">
        <v>125</v>
      </c>
      <c r="C794" s="331"/>
      <c r="D794" s="341"/>
      <c r="E794" s="271"/>
      <c r="F794" s="294"/>
      <c r="G794" s="302"/>
    </row>
    <row r="795" spans="1:7" x14ac:dyDescent="0.2">
      <c r="A795" s="179" t="s">
        <v>182</v>
      </c>
      <c r="B795" s="116" t="s">
        <v>203</v>
      </c>
      <c r="C795" s="163" t="s">
        <v>14</v>
      </c>
      <c r="D795" s="117">
        <v>1</v>
      </c>
      <c r="E795" s="271"/>
      <c r="F795" s="274"/>
      <c r="G795" s="275">
        <f>(D795*E795)+(D795*F795)</f>
        <v>0</v>
      </c>
    </row>
    <row r="796" spans="1:7" ht="24" x14ac:dyDescent="0.2">
      <c r="A796" s="179" t="s">
        <v>183</v>
      </c>
      <c r="B796" s="116" t="s">
        <v>204</v>
      </c>
      <c r="C796" s="163" t="s">
        <v>14</v>
      </c>
      <c r="D796" s="117">
        <v>1</v>
      </c>
      <c r="E796" s="271"/>
      <c r="F796" s="274"/>
      <c r="G796" s="275">
        <f>(D796*E796)+(D796*F796)</f>
        <v>0</v>
      </c>
    </row>
    <row r="797" spans="1:7" ht="36" x14ac:dyDescent="0.2">
      <c r="A797" s="179" t="s">
        <v>185</v>
      </c>
      <c r="B797" s="116" t="s">
        <v>235</v>
      </c>
      <c r="C797" s="163" t="s">
        <v>111</v>
      </c>
      <c r="D797" s="117">
        <v>1</v>
      </c>
      <c r="E797" s="271"/>
      <c r="F797" s="274"/>
      <c r="G797" s="275">
        <f>(D797*E797)+(D797*F797)</f>
        <v>0</v>
      </c>
    </row>
    <row r="798" spans="1:7" x14ac:dyDescent="0.2">
      <c r="A798" s="177" t="s">
        <v>470</v>
      </c>
      <c r="B798" s="180" t="s">
        <v>126</v>
      </c>
      <c r="C798" s="143"/>
      <c r="D798" s="178"/>
      <c r="E798" s="271"/>
      <c r="F798" s="274"/>
      <c r="G798" s="275"/>
    </row>
    <row r="799" spans="1:7" x14ac:dyDescent="0.2">
      <c r="A799" s="179" t="s">
        <v>161</v>
      </c>
      <c r="B799" s="116" t="s">
        <v>382</v>
      </c>
      <c r="C799" s="163" t="s">
        <v>111</v>
      </c>
      <c r="D799" s="117">
        <v>10</v>
      </c>
      <c r="E799" s="271"/>
      <c r="F799" s="274"/>
      <c r="G799" s="275">
        <f>(D799*E799)+(D799*F799)</f>
        <v>0</v>
      </c>
    </row>
    <row r="800" spans="1:7" x14ac:dyDescent="0.2">
      <c r="A800" s="179" t="s">
        <v>162</v>
      </c>
      <c r="B800" s="116" t="s">
        <v>383</v>
      </c>
      <c r="C800" s="163" t="s">
        <v>111</v>
      </c>
      <c r="D800" s="117">
        <v>5</v>
      </c>
      <c r="E800" s="271"/>
      <c r="F800" s="274"/>
      <c r="G800" s="275">
        <f t="shared" ref="G800:G810" si="154">(D800*E800)+(D800*F800)</f>
        <v>0</v>
      </c>
    </row>
    <row r="801" spans="1:10" x14ac:dyDescent="0.2">
      <c r="A801" s="179" t="s">
        <v>173</v>
      </c>
      <c r="B801" s="116" t="s">
        <v>384</v>
      </c>
      <c r="C801" s="163" t="s">
        <v>111</v>
      </c>
      <c r="D801" s="117">
        <v>2</v>
      </c>
      <c r="E801" s="271"/>
      <c r="F801" s="274"/>
      <c r="G801" s="275">
        <f t="shared" si="154"/>
        <v>0</v>
      </c>
    </row>
    <row r="802" spans="1:10" x14ac:dyDescent="0.2">
      <c r="A802" s="179" t="s">
        <v>174</v>
      </c>
      <c r="B802" s="116" t="s">
        <v>385</v>
      </c>
      <c r="C802" s="163" t="s">
        <v>111</v>
      </c>
      <c r="D802" s="117">
        <v>4</v>
      </c>
      <c r="E802" s="271"/>
      <c r="F802" s="274"/>
      <c r="G802" s="275">
        <f t="shared" si="154"/>
        <v>0</v>
      </c>
    </row>
    <row r="803" spans="1:10" x14ac:dyDescent="0.2">
      <c r="A803" s="179" t="s">
        <v>175</v>
      </c>
      <c r="B803" s="116" t="s">
        <v>388</v>
      </c>
      <c r="C803" s="163" t="s">
        <v>111</v>
      </c>
      <c r="D803" s="117">
        <v>3</v>
      </c>
      <c r="E803" s="271"/>
      <c r="F803" s="274"/>
      <c r="G803" s="275">
        <f t="shared" si="154"/>
        <v>0</v>
      </c>
    </row>
    <row r="804" spans="1:10" x14ac:dyDescent="0.2">
      <c r="A804" s="179" t="s">
        <v>176</v>
      </c>
      <c r="B804" s="116" t="s">
        <v>386</v>
      </c>
      <c r="C804" s="163" t="s">
        <v>111</v>
      </c>
      <c r="D804" s="117">
        <v>5</v>
      </c>
      <c r="E804" s="271"/>
      <c r="F804" s="274"/>
      <c r="G804" s="275">
        <f t="shared" si="154"/>
        <v>0</v>
      </c>
    </row>
    <row r="805" spans="1:10" x14ac:dyDescent="0.2">
      <c r="A805" s="179" t="s">
        <v>177</v>
      </c>
      <c r="B805" s="116" t="s">
        <v>387</v>
      </c>
      <c r="C805" s="163" t="s">
        <v>111</v>
      </c>
      <c r="D805" s="117">
        <v>2</v>
      </c>
      <c r="E805" s="271"/>
      <c r="F805" s="274"/>
      <c r="G805" s="275">
        <f t="shared" si="154"/>
        <v>0</v>
      </c>
    </row>
    <row r="806" spans="1:10" x14ac:dyDescent="0.2">
      <c r="A806" s="179" t="s">
        <v>178</v>
      </c>
      <c r="B806" s="116" t="s">
        <v>462</v>
      </c>
      <c r="C806" s="163" t="s">
        <v>14</v>
      </c>
      <c r="D806" s="117">
        <v>2</v>
      </c>
      <c r="E806" s="271"/>
      <c r="F806" s="274"/>
      <c r="G806" s="275">
        <f t="shared" ref="G806" si="155">(D806*E806)+(D806*F806)</f>
        <v>0</v>
      </c>
    </row>
    <row r="807" spans="1:10" s="322" customFormat="1" x14ac:dyDescent="0.2">
      <c r="A807" s="339" t="s">
        <v>471</v>
      </c>
      <c r="B807" s="170" t="s">
        <v>205</v>
      </c>
      <c r="C807" s="342"/>
      <c r="D807" s="341"/>
      <c r="E807" s="271"/>
      <c r="F807" s="274"/>
      <c r="G807" s="275"/>
    </row>
    <row r="808" spans="1:10" ht="48" x14ac:dyDescent="0.2">
      <c r="A808" s="179" t="s">
        <v>161</v>
      </c>
      <c r="B808" s="116" t="s">
        <v>206</v>
      </c>
      <c r="C808" s="163" t="s">
        <v>14</v>
      </c>
      <c r="D808" s="117">
        <v>1</v>
      </c>
      <c r="E808" s="271"/>
      <c r="F808" s="274"/>
      <c r="G808" s="275">
        <f t="shared" si="154"/>
        <v>0</v>
      </c>
    </row>
    <row r="809" spans="1:10" ht="36" x14ac:dyDescent="0.2">
      <c r="A809" s="179" t="s">
        <v>162</v>
      </c>
      <c r="B809" s="116" t="s">
        <v>207</v>
      </c>
      <c r="C809" s="163" t="s">
        <v>14</v>
      </c>
      <c r="D809" s="117">
        <v>1</v>
      </c>
      <c r="E809" s="271"/>
      <c r="F809" s="274"/>
      <c r="G809" s="275">
        <f t="shared" si="154"/>
        <v>0</v>
      </c>
    </row>
    <row r="810" spans="1:10" ht="62.25" customHeight="1" x14ac:dyDescent="0.2">
      <c r="A810" s="179" t="s">
        <v>173</v>
      </c>
      <c r="B810" s="116" t="s">
        <v>304</v>
      </c>
      <c r="C810" s="74" t="s">
        <v>14</v>
      </c>
      <c r="D810" s="117">
        <v>1</v>
      </c>
      <c r="E810" s="271"/>
      <c r="F810" s="274"/>
      <c r="G810" s="275">
        <f t="shared" si="154"/>
        <v>0</v>
      </c>
      <c r="I810" s="26"/>
      <c r="J810" s="26"/>
    </row>
    <row r="811" spans="1:10" ht="12.75" customHeight="1" x14ac:dyDescent="0.2">
      <c r="A811" s="179"/>
      <c r="B811" s="116"/>
      <c r="C811" s="74"/>
      <c r="D811" s="117"/>
      <c r="E811" s="271"/>
      <c r="F811" s="274"/>
      <c r="G811" s="275"/>
      <c r="I811" s="26"/>
      <c r="J811" s="26"/>
    </row>
    <row r="812" spans="1:10" ht="12.75" customHeight="1" x14ac:dyDescent="0.2">
      <c r="A812" s="179"/>
      <c r="B812" s="116"/>
      <c r="C812" s="74"/>
      <c r="D812" s="117"/>
      <c r="E812" s="271"/>
      <c r="F812" s="274"/>
      <c r="G812" s="275"/>
      <c r="I812" s="26"/>
      <c r="J812" s="26"/>
    </row>
    <row r="813" spans="1:10" ht="12.75" customHeight="1" x14ac:dyDescent="0.2">
      <c r="A813" s="179"/>
      <c r="B813" s="116"/>
      <c r="C813" s="74"/>
      <c r="D813" s="117"/>
      <c r="E813" s="271"/>
      <c r="F813" s="274"/>
      <c r="G813" s="275"/>
      <c r="I813" s="26"/>
      <c r="J813" s="26"/>
    </row>
    <row r="814" spans="1:10" ht="12.75" customHeight="1" thickBot="1" x14ac:dyDescent="0.25">
      <c r="A814" s="211"/>
      <c r="B814" s="212"/>
      <c r="C814" s="206"/>
      <c r="D814" s="213"/>
      <c r="E814" s="271"/>
      <c r="F814" s="274"/>
      <c r="G814" s="275"/>
      <c r="I814" s="26"/>
      <c r="J814" s="26"/>
    </row>
    <row r="815" spans="1:10" ht="12" customHeight="1" x14ac:dyDescent="0.2">
      <c r="A815" s="179"/>
      <c r="B815" s="116"/>
      <c r="C815" s="163"/>
      <c r="D815" s="117"/>
      <c r="E815" s="271"/>
      <c r="F815" s="274"/>
      <c r="G815" s="275"/>
      <c r="I815" s="26"/>
      <c r="J815" s="26"/>
    </row>
    <row r="816" spans="1:10" ht="13.5" customHeight="1" x14ac:dyDescent="0.2">
      <c r="A816" s="173" t="s">
        <v>472</v>
      </c>
      <c r="B816" s="174" t="s">
        <v>67</v>
      </c>
      <c r="C816" s="175"/>
      <c r="D816" s="176"/>
      <c r="E816" s="305"/>
      <c r="F816" s="274"/>
      <c r="G816" s="275"/>
    </row>
    <row r="817" spans="1:10" s="322" customFormat="1" x14ac:dyDescent="0.2">
      <c r="A817" s="339" t="s">
        <v>473</v>
      </c>
      <c r="B817" s="340" t="s">
        <v>125</v>
      </c>
      <c r="C817" s="331"/>
      <c r="D817" s="341"/>
      <c r="E817" s="271"/>
      <c r="F817" s="294"/>
      <c r="G817" s="302"/>
      <c r="I817" s="334"/>
      <c r="J817" s="334"/>
    </row>
    <row r="818" spans="1:10" x14ac:dyDescent="0.2">
      <c r="A818" s="179" t="s">
        <v>182</v>
      </c>
      <c r="B818" s="116" t="s">
        <v>203</v>
      </c>
      <c r="C818" s="163" t="s">
        <v>14</v>
      </c>
      <c r="D818" s="117">
        <v>1</v>
      </c>
      <c r="E818" s="271"/>
      <c r="F818" s="274"/>
      <c r="G818" s="275">
        <f>(D818*E818)+(D818*F818)</f>
        <v>0</v>
      </c>
    </row>
    <row r="819" spans="1:10" ht="24" x14ac:dyDescent="0.2">
      <c r="A819" s="179" t="s">
        <v>183</v>
      </c>
      <c r="B819" s="116" t="s">
        <v>204</v>
      </c>
      <c r="C819" s="163" t="s">
        <v>14</v>
      </c>
      <c r="D819" s="117">
        <v>1</v>
      </c>
      <c r="E819" s="271"/>
      <c r="F819" s="274"/>
      <c r="G819" s="275">
        <f>(D819*E819)+(D819*F819)</f>
        <v>0</v>
      </c>
    </row>
    <row r="820" spans="1:10" s="322" customFormat="1" x14ac:dyDescent="0.2">
      <c r="A820" s="339" t="s">
        <v>474</v>
      </c>
      <c r="B820" s="338" t="s">
        <v>126</v>
      </c>
      <c r="C820" s="331"/>
      <c r="D820" s="341"/>
      <c r="E820" s="271"/>
      <c r="F820" s="274"/>
      <c r="G820" s="275"/>
    </row>
    <row r="821" spans="1:10" x14ac:dyDescent="0.2">
      <c r="A821" s="179" t="s">
        <v>161</v>
      </c>
      <c r="B821" s="116" t="s">
        <v>382</v>
      </c>
      <c r="C821" s="163" t="s">
        <v>111</v>
      </c>
      <c r="D821" s="117">
        <v>8</v>
      </c>
      <c r="E821" s="271"/>
      <c r="F821" s="274"/>
      <c r="G821" s="275">
        <f>(D821*E821)+(D821*F821)</f>
        <v>0</v>
      </c>
    </row>
    <row r="822" spans="1:10" x14ac:dyDescent="0.2">
      <c r="A822" s="179" t="s">
        <v>162</v>
      </c>
      <c r="B822" s="116" t="s">
        <v>383</v>
      </c>
      <c r="C822" s="163" t="s">
        <v>111</v>
      </c>
      <c r="D822" s="117">
        <v>4</v>
      </c>
      <c r="E822" s="271"/>
      <c r="F822" s="274"/>
      <c r="G822" s="275">
        <f t="shared" ref="G822:G825" si="156">(D822*E822)+(D822*F822)</f>
        <v>0</v>
      </c>
    </row>
    <row r="823" spans="1:10" x14ac:dyDescent="0.2">
      <c r="A823" s="179" t="s">
        <v>173</v>
      </c>
      <c r="B823" s="116" t="s">
        <v>384</v>
      </c>
      <c r="C823" s="163" t="s">
        <v>111</v>
      </c>
      <c r="D823" s="117">
        <v>2</v>
      </c>
      <c r="E823" s="271"/>
      <c r="F823" s="274"/>
      <c r="G823" s="275">
        <f t="shared" si="156"/>
        <v>0</v>
      </c>
    </row>
    <row r="824" spans="1:10" x14ac:dyDescent="0.2">
      <c r="A824" s="179" t="s">
        <v>174</v>
      </c>
      <c r="B824" s="116" t="s">
        <v>388</v>
      </c>
      <c r="C824" s="163" t="s">
        <v>111</v>
      </c>
      <c r="D824" s="117">
        <v>6</v>
      </c>
      <c r="E824" s="271"/>
      <c r="F824" s="274"/>
      <c r="G824" s="275">
        <f t="shared" si="156"/>
        <v>0</v>
      </c>
    </row>
    <row r="825" spans="1:10" x14ac:dyDescent="0.2">
      <c r="A825" s="179" t="s">
        <v>175</v>
      </c>
      <c r="B825" s="116" t="s">
        <v>386</v>
      </c>
      <c r="C825" s="163" t="s">
        <v>111</v>
      </c>
      <c r="D825" s="117">
        <v>4</v>
      </c>
      <c r="E825" s="271"/>
      <c r="F825" s="274"/>
      <c r="G825" s="275">
        <f t="shared" si="156"/>
        <v>0</v>
      </c>
    </row>
    <row r="826" spans="1:10" s="322" customFormat="1" x14ac:dyDescent="0.2">
      <c r="A826" s="339" t="s">
        <v>475</v>
      </c>
      <c r="B826" s="170" t="s">
        <v>205</v>
      </c>
      <c r="C826" s="342"/>
      <c r="D826" s="341"/>
      <c r="E826" s="271"/>
      <c r="F826" s="274"/>
      <c r="G826" s="275">
        <f t="shared" ref="G826:G827" si="157">(D826*E826)+(D826*F826)</f>
        <v>0</v>
      </c>
    </row>
    <row r="827" spans="1:10" ht="48" x14ac:dyDescent="0.2">
      <c r="A827" s="179" t="s">
        <v>161</v>
      </c>
      <c r="B827" s="116" t="s">
        <v>206</v>
      </c>
      <c r="C827" s="163" t="s">
        <v>14</v>
      </c>
      <c r="D827" s="117">
        <v>1</v>
      </c>
      <c r="E827" s="271"/>
      <c r="F827" s="274"/>
      <c r="G827" s="275">
        <f t="shared" si="157"/>
        <v>0</v>
      </c>
    </row>
    <row r="828" spans="1:10" ht="7.5" customHeight="1" x14ac:dyDescent="0.2">
      <c r="A828" s="56"/>
      <c r="B828" s="128"/>
      <c r="C828" s="166"/>
      <c r="D828" s="59"/>
      <c r="E828" s="271"/>
      <c r="F828" s="274"/>
      <c r="G828" s="275"/>
    </row>
    <row r="829" spans="1:10" ht="13.5" customHeight="1" x14ac:dyDescent="0.2">
      <c r="A829" s="173" t="s">
        <v>476</v>
      </c>
      <c r="B829" s="174" t="s">
        <v>363</v>
      </c>
      <c r="C829" s="175"/>
      <c r="D829" s="176"/>
      <c r="E829" s="305"/>
      <c r="F829" s="274"/>
      <c r="G829" s="275"/>
    </row>
    <row r="830" spans="1:10" s="322" customFormat="1" x14ac:dyDescent="0.2">
      <c r="A830" s="339" t="s">
        <v>477</v>
      </c>
      <c r="B830" s="340" t="s">
        <v>125</v>
      </c>
      <c r="C830" s="331"/>
      <c r="D830" s="341"/>
      <c r="E830" s="271"/>
      <c r="F830" s="294"/>
      <c r="G830" s="302"/>
      <c r="I830" s="334"/>
      <c r="J830" s="334"/>
    </row>
    <row r="831" spans="1:10" x14ac:dyDescent="0.2">
      <c r="A831" s="179" t="s">
        <v>182</v>
      </c>
      <c r="B831" s="116" t="s">
        <v>203</v>
      </c>
      <c r="C831" s="163" t="s">
        <v>14</v>
      </c>
      <c r="D831" s="117">
        <v>1</v>
      </c>
      <c r="E831" s="271"/>
      <c r="F831" s="274"/>
      <c r="G831" s="275">
        <f>(D831*E831)+(D831*F831)</f>
        <v>0</v>
      </c>
    </row>
    <row r="832" spans="1:10" ht="24" x14ac:dyDescent="0.2">
      <c r="A832" s="179" t="s">
        <v>183</v>
      </c>
      <c r="B832" s="116" t="s">
        <v>204</v>
      </c>
      <c r="C832" s="163" t="s">
        <v>14</v>
      </c>
      <c r="D832" s="117">
        <v>1</v>
      </c>
      <c r="E832" s="271"/>
      <c r="F832" s="274"/>
      <c r="G832" s="275">
        <f>(D832*E832)+(D832*F832)</f>
        <v>0</v>
      </c>
    </row>
    <row r="833" spans="1:10" s="322" customFormat="1" x14ac:dyDescent="0.2">
      <c r="A833" s="339" t="s">
        <v>478</v>
      </c>
      <c r="B833" s="338" t="s">
        <v>126</v>
      </c>
      <c r="C833" s="331"/>
      <c r="D833" s="341"/>
      <c r="E833" s="271"/>
      <c r="F833" s="274"/>
      <c r="G833" s="275"/>
    </row>
    <row r="834" spans="1:10" s="322" customFormat="1" x14ac:dyDescent="0.2">
      <c r="A834" s="343" t="s">
        <v>161</v>
      </c>
      <c r="B834" s="344" t="s">
        <v>382</v>
      </c>
      <c r="C834" s="129" t="s">
        <v>111</v>
      </c>
      <c r="D834" s="341">
        <v>8</v>
      </c>
      <c r="E834" s="271"/>
      <c r="F834" s="274"/>
      <c r="G834" s="275">
        <f>(D834*E834)+(D834*F834)</f>
        <v>0</v>
      </c>
    </row>
    <row r="835" spans="1:10" s="322" customFormat="1" x14ac:dyDescent="0.2">
      <c r="A835" s="343" t="s">
        <v>162</v>
      </c>
      <c r="B835" s="344" t="s">
        <v>383</v>
      </c>
      <c r="C835" s="129" t="s">
        <v>111</v>
      </c>
      <c r="D835" s="341">
        <v>4</v>
      </c>
      <c r="E835" s="271"/>
      <c r="F835" s="274"/>
      <c r="G835" s="275">
        <f>(D835*E835)+(D835*F835)</f>
        <v>0</v>
      </c>
    </row>
    <row r="836" spans="1:10" s="322" customFormat="1" x14ac:dyDescent="0.2">
      <c r="A836" s="343" t="s">
        <v>173</v>
      </c>
      <c r="B836" s="344" t="s">
        <v>384</v>
      </c>
      <c r="C836" s="129" t="s">
        <v>111</v>
      </c>
      <c r="D836" s="341">
        <v>2</v>
      </c>
      <c r="E836" s="271"/>
      <c r="F836" s="274"/>
      <c r="G836" s="275">
        <f>(D836*E836)+(D836*F836)</f>
        <v>0</v>
      </c>
    </row>
    <row r="837" spans="1:10" s="322" customFormat="1" x14ac:dyDescent="0.2">
      <c r="A837" s="343" t="s">
        <v>174</v>
      </c>
      <c r="B837" s="344" t="s">
        <v>388</v>
      </c>
      <c r="C837" s="129" t="s">
        <v>111</v>
      </c>
      <c r="D837" s="341">
        <v>6</v>
      </c>
      <c r="E837" s="271"/>
      <c r="F837" s="274"/>
      <c r="G837" s="275">
        <f>(D837*E837)+(D837*F837)</f>
        <v>0</v>
      </c>
    </row>
    <row r="838" spans="1:10" s="322" customFormat="1" x14ac:dyDescent="0.2">
      <c r="A838" s="343" t="s">
        <v>175</v>
      </c>
      <c r="B838" s="344" t="s">
        <v>386</v>
      </c>
      <c r="C838" s="129" t="s">
        <v>111</v>
      </c>
      <c r="D838" s="341">
        <v>4</v>
      </c>
      <c r="E838" s="271"/>
      <c r="F838" s="274"/>
      <c r="G838" s="275">
        <f>(D838*E838)+(D838*F838)</f>
        <v>0</v>
      </c>
    </row>
    <row r="839" spans="1:10" s="322" customFormat="1" ht="9.75" customHeight="1" x14ac:dyDescent="0.2">
      <c r="A839" s="343"/>
      <c r="B839" s="344"/>
      <c r="C839" s="129"/>
      <c r="D839" s="341"/>
      <c r="E839" s="271"/>
      <c r="F839" s="274"/>
      <c r="G839" s="275"/>
    </row>
    <row r="840" spans="1:10" s="322" customFormat="1" x14ac:dyDescent="0.2">
      <c r="A840" s="339" t="s">
        <v>479</v>
      </c>
      <c r="B840" s="170" t="s">
        <v>205</v>
      </c>
      <c r="C840" s="342"/>
      <c r="D840" s="341"/>
      <c r="E840" s="271"/>
      <c r="F840" s="274"/>
      <c r="G840" s="275"/>
    </row>
    <row r="841" spans="1:10" ht="48" x14ac:dyDescent="0.2">
      <c r="A841" s="179" t="s">
        <v>161</v>
      </c>
      <c r="B841" s="116" t="s">
        <v>206</v>
      </c>
      <c r="C841" s="163" t="s">
        <v>14</v>
      </c>
      <c r="D841" s="117">
        <v>1</v>
      </c>
      <c r="E841" s="271"/>
      <c r="F841" s="274"/>
      <c r="G841" s="275">
        <f t="shared" ref="G841" si="158">(D841*E841)+(D841*F841)</f>
        <v>0</v>
      </c>
    </row>
    <row r="842" spans="1:10" ht="13.5" customHeight="1" x14ac:dyDescent="0.2">
      <c r="A842" s="173" t="s">
        <v>480</v>
      </c>
      <c r="B842" s="174" t="s">
        <v>409</v>
      </c>
      <c r="C842" s="175"/>
      <c r="D842" s="176"/>
      <c r="E842" s="305"/>
      <c r="F842" s="274"/>
      <c r="G842" s="275"/>
    </row>
    <row r="843" spans="1:10" s="322" customFormat="1" x14ac:dyDescent="0.2">
      <c r="A843" s="339" t="s">
        <v>481</v>
      </c>
      <c r="B843" s="340" t="s">
        <v>125</v>
      </c>
      <c r="C843" s="331"/>
      <c r="D843" s="341"/>
      <c r="E843" s="271"/>
      <c r="F843" s="294"/>
      <c r="G843" s="302"/>
      <c r="I843" s="334"/>
      <c r="J843" s="334"/>
    </row>
    <row r="844" spans="1:10" x14ac:dyDescent="0.2">
      <c r="A844" s="179" t="s">
        <v>182</v>
      </c>
      <c r="B844" s="116" t="s">
        <v>203</v>
      </c>
      <c r="C844" s="163" t="s">
        <v>14</v>
      </c>
      <c r="D844" s="117">
        <v>1</v>
      </c>
      <c r="E844" s="271"/>
      <c r="F844" s="274"/>
      <c r="G844" s="275">
        <f>(D844*E844)+(D844*F844)</f>
        <v>0</v>
      </c>
    </row>
    <row r="845" spans="1:10" ht="24" x14ac:dyDescent="0.2">
      <c r="A845" s="179" t="s">
        <v>183</v>
      </c>
      <c r="B845" s="116" t="s">
        <v>204</v>
      </c>
      <c r="C845" s="163" t="s">
        <v>14</v>
      </c>
      <c r="D845" s="117">
        <v>1</v>
      </c>
      <c r="E845" s="271"/>
      <c r="F845" s="274"/>
      <c r="G845" s="275">
        <f>(D845*E845)+(D845*F845)</f>
        <v>0</v>
      </c>
    </row>
    <row r="846" spans="1:10" s="322" customFormat="1" x14ac:dyDescent="0.2">
      <c r="A846" s="339" t="s">
        <v>482</v>
      </c>
      <c r="B846" s="338" t="s">
        <v>126</v>
      </c>
      <c r="C846" s="331"/>
      <c r="D846" s="341"/>
      <c r="E846" s="271"/>
      <c r="F846" s="274"/>
      <c r="G846" s="275"/>
    </row>
    <row r="847" spans="1:10" s="322" customFormat="1" x14ac:dyDescent="0.2">
      <c r="A847" s="343" t="s">
        <v>161</v>
      </c>
      <c r="B847" s="344" t="s">
        <v>382</v>
      </c>
      <c r="C847" s="129" t="s">
        <v>111</v>
      </c>
      <c r="D847" s="341">
        <v>8</v>
      </c>
      <c r="E847" s="271"/>
      <c r="F847" s="274"/>
      <c r="G847" s="275">
        <f>(D847*E847)+(D847*F847)</f>
        <v>0</v>
      </c>
    </row>
    <row r="848" spans="1:10" s="322" customFormat="1" x14ac:dyDescent="0.2">
      <c r="A848" s="343" t="s">
        <v>162</v>
      </c>
      <c r="B848" s="344" t="s">
        <v>383</v>
      </c>
      <c r="C848" s="129" t="s">
        <v>111</v>
      </c>
      <c r="D848" s="341">
        <v>4</v>
      </c>
      <c r="E848" s="271"/>
      <c r="F848" s="274"/>
      <c r="G848" s="275">
        <f>(D848*E848)+(D848*F848)</f>
        <v>0</v>
      </c>
    </row>
    <row r="849" spans="1:7" s="322" customFormat="1" x14ac:dyDescent="0.2">
      <c r="A849" s="343" t="s">
        <v>173</v>
      </c>
      <c r="B849" s="344" t="s">
        <v>384</v>
      </c>
      <c r="C849" s="129" t="s">
        <v>111</v>
      </c>
      <c r="D849" s="341">
        <v>2</v>
      </c>
      <c r="E849" s="271"/>
      <c r="F849" s="274"/>
      <c r="G849" s="275">
        <f>(D849*E849)+(D849*F849)</f>
        <v>0</v>
      </c>
    </row>
    <row r="850" spans="1:7" s="322" customFormat="1" x14ac:dyDescent="0.2">
      <c r="A850" s="343" t="s">
        <v>174</v>
      </c>
      <c r="B850" s="344" t="s">
        <v>388</v>
      </c>
      <c r="C850" s="129" t="s">
        <v>111</v>
      </c>
      <c r="D850" s="341">
        <v>6</v>
      </c>
      <c r="E850" s="271"/>
      <c r="F850" s="274"/>
      <c r="G850" s="275">
        <f>(D850*E850)+(D850*F850)</f>
        <v>0</v>
      </c>
    </row>
    <row r="851" spans="1:7" s="322" customFormat="1" x14ac:dyDescent="0.2">
      <c r="A851" s="343" t="s">
        <v>175</v>
      </c>
      <c r="B851" s="344" t="s">
        <v>386</v>
      </c>
      <c r="C851" s="129" t="s">
        <v>111</v>
      </c>
      <c r="D851" s="341">
        <v>4</v>
      </c>
      <c r="E851" s="271"/>
      <c r="F851" s="274"/>
      <c r="G851" s="275">
        <f>(D851*E851)+(D851*F851)</f>
        <v>0</v>
      </c>
    </row>
    <row r="852" spans="1:7" s="322" customFormat="1" x14ac:dyDescent="0.2">
      <c r="A852" s="343"/>
      <c r="B852" s="344"/>
      <c r="C852" s="129"/>
      <c r="D852" s="341"/>
      <c r="E852" s="271"/>
      <c r="F852" s="274"/>
      <c r="G852" s="275"/>
    </row>
    <row r="853" spans="1:7" s="322" customFormat="1" x14ac:dyDescent="0.2">
      <c r="A853" s="339" t="s">
        <v>483</v>
      </c>
      <c r="B853" s="170" t="s">
        <v>205</v>
      </c>
      <c r="C853" s="342"/>
      <c r="D853" s="341"/>
      <c r="E853" s="271"/>
      <c r="F853" s="274"/>
      <c r="G853" s="275"/>
    </row>
    <row r="854" spans="1:7" ht="48" x14ac:dyDescent="0.2">
      <c r="A854" s="179" t="s">
        <v>161</v>
      </c>
      <c r="B854" s="116" t="s">
        <v>206</v>
      </c>
      <c r="C854" s="163" t="s">
        <v>14</v>
      </c>
      <c r="D854" s="117">
        <v>1</v>
      </c>
      <c r="E854" s="271"/>
      <c r="F854" s="274"/>
      <c r="G854" s="275">
        <f t="shared" ref="G854" si="159">(D854*E854)+(D854*F854)</f>
        <v>0</v>
      </c>
    </row>
    <row r="855" spans="1:7" x14ac:dyDescent="0.2">
      <c r="A855" s="173" t="s">
        <v>484</v>
      </c>
      <c r="B855" s="174" t="s">
        <v>251</v>
      </c>
      <c r="C855" s="175"/>
      <c r="D855" s="176"/>
      <c r="E855" s="305"/>
      <c r="F855" s="274"/>
      <c r="G855" s="275"/>
    </row>
    <row r="856" spans="1:7" s="322" customFormat="1" x14ac:dyDescent="0.2">
      <c r="A856" s="339" t="s">
        <v>485</v>
      </c>
      <c r="B856" s="170" t="s">
        <v>205</v>
      </c>
      <c r="C856" s="342"/>
      <c r="D856" s="341"/>
      <c r="E856" s="271"/>
      <c r="F856" s="274"/>
      <c r="G856" s="275"/>
    </row>
    <row r="857" spans="1:7" ht="48" x14ac:dyDescent="0.2">
      <c r="A857" s="179" t="s">
        <v>161</v>
      </c>
      <c r="B857" s="116" t="s">
        <v>297</v>
      </c>
      <c r="C857" s="163" t="s">
        <v>14</v>
      </c>
      <c r="D857" s="117">
        <v>1</v>
      </c>
      <c r="E857" s="271"/>
      <c r="F857" s="274"/>
      <c r="G857" s="275">
        <f t="shared" ref="G857" si="160">(D857*E857)+(D857*F857)</f>
        <v>0</v>
      </c>
    </row>
    <row r="858" spans="1:7" ht="12.75" thickBot="1" x14ac:dyDescent="0.25">
      <c r="A858" s="56"/>
      <c r="B858" s="128"/>
      <c r="C858" s="166"/>
      <c r="D858" s="59"/>
      <c r="E858" s="271"/>
      <c r="F858" s="274"/>
      <c r="G858" s="275"/>
    </row>
    <row r="859" spans="1:7" x14ac:dyDescent="0.2">
      <c r="A859" s="248"/>
      <c r="B859" s="244" t="s">
        <v>193</v>
      </c>
      <c r="C859" s="234"/>
      <c r="D859" s="229"/>
      <c r="E859" s="352"/>
      <c r="F859" s="353"/>
      <c r="G859" s="354"/>
    </row>
    <row r="860" spans="1:7" ht="12.75" thickBot="1" x14ac:dyDescent="0.25">
      <c r="A860" s="251"/>
      <c r="B860" s="205" t="s">
        <v>122</v>
      </c>
      <c r="C860" s="235"/>
      <c r="D860" s="233"/>
      <c r="E860" s="349"/>
      <c r="F860" s="355"/>
      <c r="G860" s="356">
        <f>SUM(G793:G859)</f>
        <v>0</v>
      </c>
    </row>
    <row r="861" spans="1:7" x14ac:dyDescent="0.2">
      <c r="A861" s="181"/>
      <c r="B861" s="103"/>
      <c r="C861" s="166"/>
      <c r="D861" s="59"/>
      <c r="E861" s="271"/>
      <c r="F861" s="274"/>
      <c r="G861" s="275"/>
    </row>
    <row r="862" spans="1:7" x14ac:dyDescent="0.2">
      <c r="A862" s="56"/>
      <c r="B862" s="120" t="s">
        <v>123</v>
      </c>
      <c r="C862" s="166"/>
      <c r="D862" s="59"/>
      <c r="E862" s="271"/>
      <c r="F862" s="274"/>
      <c r="G862" s="275"/>
    </row>
    <row r="863" spans="1:7" x14ac:dyDescent="0.2">
      <c r="A863" s="56"/>
      <c r="B863" s="82" t="s">
        <v>97</v>
      </c>
      <c r="C863" s="58"/>
      <c r="D863" s="59"/>
      <c r="E863" s="271"/>
      <c r="F863" s="274"/>
      <c r="G863" s="275"/>
    </row>
    <row r="864" spans="1:7" x14ac:dyDescent="0.2">
      <c r="A864" s="182" t="s">
        <v>493</v>
      </c>
      <c r="B864" s="64" t="s">
        <v>40</v>
      </c>
      <c r="C864" s="58"/>
      <c r="D864" s="59"/>
      <c r="E864" s="294"/>
      <c r="F864" s="274"/>
      <c r="G864" s="275"/>
    </row>
    <row r="865" spans="1:19" ht="48" x14ac:dyDescent="0.2">
      <c r="A865" s="183"/>
      <c r="B865" s="104" t="s">
        <v>257</v>
      </c>
      <c r="C865" s="122"/>
      <c r="D865" s="122"/>
      <c r="E865" s="300"/>
      <c r="F865" s="300"/>
      <c r="G865" s="301"/>
    </row>
    <row r="866" spans="1:19" ht="48" x14ac:dyDescent="0.2">
      <c r="A866" s="183"/>
      <c r="B866" s="104" t="s">
        <v>258</v>
      </c>
      <c r="C866" s="122"/>
      <c r="D866" s="122"/>
      <c r="E866" s="300"/>
      <c r="F866" s="300"/>
      <c r="G866" s="301"/>
    </row>
    <row r="867" spans="1:19" ht="60" x14ac:dyDescent="0.2">
      <c r="A867" s="183"/>
      <c r="B867" s="104" t="s">
        <v>256</v>
      </c>
      <c r="C867" s="122"/>
      <c r="D867" s="122"/>
      <c r="E867" s="300"/>
      <c r="F867" s="300"/>
      <c r="G867" s="301"/>
    </row>
    <row r="868" spans="1:19" ht="48" x14ac:dyDescent="0.2">
      <c r="A868" s="184"/>
      <c r="B868" s="104" t="s">
        <v>180</v>
      </c>
      <c r="C868" s="122"/>
      <c r="D868" s="122"/>
      <c r="E868" s="300"/>
      <c r="F868" s="300"/>
      <c r="G868" s="301"/>
    </row>
    <row r="869" spans="1:19" ht="24" x14ac:dyDescent="0.2">
      <c r="A869" s="183"/>
      <c r="B869" s="104" t="s">
        <v>255</v>
      </c>
      <c r="C869" s="122"/>
      <c r="D869" s="122"/>
      <c r="E869" s="300"/>
      <c r="F869" s="300"/>
      <c r="G869" s="301"/>
    </row>
    <row r="870" spans="1:19" ht="168" x14ac:dyDescent="0.2">
      <c r="A870" s="183"/>
      <c r="B870" s="104" t="s">
        <v>489</v>
      </c>
      <c r="C870" s="122"/>
      <c r="D870" s="122"/>
      <c r="E870" s="300"/>
      <c r="F870" s="300"/>
      <c r="G870" s="301"/>
    </row>
    <row r="871" spans="1:19" ht="48" x14ac:dyDescent="0.2">
      <c r="A871" s="183"/>
      <c r="B871" s="104" t="s">
        <v>490</v>
      </c>
      <c r="C871" s="122"/>
      <c r="D871" s="122"/>
      <c r="E871" s="300"/>
      <c r="F871" s="300"/>
      <c r="G871" s="301"/>
    </row>
    <row r="872" spans="1:19" ht="36" x14ac:dyDescent="0.2">
      <c r="A872" s="183"/>
      <c r="B872" s="104" t="s">
        <v>491</v>
      </c>
      <c r="C872" s="122"/>
      <c r="D872" s="122"/>
      <c r="E872" s="300"/>
      <c r="F872" s="300"/>
      <c r="G872" s="301"/>
    </row>
    <row r="873" spans="1:19" x14ac:dyDescent="0.2">
      <c r="A873" s="185" t="s">
        <v>494</v>
      </c>
      <c r="B873" s="186" t="s">
        <v>65</v>
      </c>
      <c r="C873" s="187"/>
      <c r="D873" s="188"/>
      <c r="E873" s="305"/>
      <c r="F873" s="274"/>
      <c r="G873" s="275"/>
    </row>
    <row r="874" spans="1:19" s="30" customFormat="1" ht="15.75" customHeight="1" x14ac:dyDescent="0.2">
      <c r="A874" s="189" t="s">
        <v>461</v>
      </c>
      <c r="B874" s="190" t="s">
        <v>213</v>
      </c>
      <c r="C874" s="136"/>
      <c r="D874" s="137"/>
      <c r="E874" s="271"/>
      <c r="F874" s="274"/>
      <c r="G874" s="275"/>
      <c r="H874" s="16"/>
      <c r="I874" s="16"/>
      <c r="J874" s="16"/>
      <c r="K874" s="16"/>
      <c r="L874" s="16"/>
      <c r="M874" s="16"/>
      <c r="N874" s="16"/>
      <c r="O874" s="16"/>
      <c r="P874" s="16"/>
      <c r="Q874" s="16"/>
      <c r="R874" s="16"/>
      <c r="S874" s="16"/>
    </row>
    <row r="875" spans="1:19" ht="25.5" x14ac:dyDescent="0.2">
      <c r="A875" s="191" t="s">
        <v>332</v>
      </c>
      <c r="B875" s="192" t="s">
        <v>247</v>
      </c>
      <c r="C875" s="193" t="s">
        <v>8</v>
      </c>
      <c r="D875" s="194">
        <v>1</v>
      </c>
      <c r="E875" s="309"/>
      <c r="F875" s="309"/>
      <c r="G875" s="310">
        <f>+D875*E875+D875*F875</f>
        <v>0</v>
      </c>
    </row>
    <row r="876" spans="1:19" ht="51" x14ac:dyDescent="0.2">
      <c r="A876" s="191" t="s">
        <v>333</v>
      </c>
      <c r="B876" s="195" t="s">
        <v>492</v>
      </c>
      <c r="C876" s="193" t="s">
        <v>14</v>
      </c>
      <c r="D876" s="194">
        <v>1</v>
      </c>
      <c r="E876" s="271"/>
      <c r="F876" s="309"/>
      <c r="G876" s="310"/>
    </row>
    <row r="877" spans="1:19" ht="12.75" x14ac:dyDescent="0.2">
      <c r="A877" s="191" t="s">
        <v>334</v>
      </c>
      <c r="B877" s="195" t="s">
        <v>336</v>
      </c>
      <c r="C877" s="193" t="s">
        <v>8</v>
      </c>
      <c r="D877" s="194">
        <v>1</v>
      </c>
      <c r="E877" s="271"/>
      <c r="F877" s="309"/>
      <c r="G877" s="310">
        <f t="shared" ref="G877:G878" si="161">+D877*E877+D877*F877</f>
        <v>0</v>
      </c>
    </row>
    <row r="878" spans="1:19" ht="12.75" x14ac:dyDescent="0.2">
      <c r="A878" s="191" t="s">
        <v>335</v>
      </c>
      <c r="B878" s="195" t="s">
        <v>337</v>
      </c>
      <c r="C878" s="193" t="s">
        <v>8</v>
      </c>
      <c r="D878" s="194">
        <v>1</v>
      </c>
      <c r="E878" s="271"/>
      <c r="F878" s="309"/>
      <c r="G878" s="310">
        <f t="shared" si="161"/>
        <v>0</v>
      </c>
    </row>
    <row r="879" spans="1:19" ht="12.75" x14ac:dyDescent="0.2">
      <c r="A879" s="191"/>
      <c r="B879" s="195"/>
      <c r="C879" s="193"/>
      <c r="D879" s="194"/>
      <c r="E879" s="271"/>
      <c r="F879" s="309"/>
      <c r="G879" s="310"/>
    </row>
    <row r="880" spans="1:19" ht="12.75" x14ac:dyDescent="0.2">
      <c r="A880" s="189" t="s">
        <v>495</v>
      </c>
      <c r="B880" s="190" t="s">
        <v>214</v>
      </c>
      <c r="C880" s="196"/>
      <c r="D880" s="197"/>
      <c r="E880" s="271"/>
      <c r="F880" s="309"/>
      <c r="G880" s="293"/>
    </row>
    <row r="881" spans="1:7" ht="12" customHeight="1" x14ac:dyDescent="0.2">
      <c r="A881" s="191"/>
      <c r="B881" s="325" t="s">
        <v>436</v>
      </c>
      <c r="C881" s="136" t="s">
        <v>8</v>
      </c>
      <c r="D881" s="137">
        <v>5</v>
      </c>
      <c r="E881" s="271"/>
      <c r="F881" s="309"/>
      <c r="G881" s="293">
        <f t="shared" ref="G881:G901" si="162">+D881*E881+D881*F881</f>
        <v>0</v>
      </c>
    </row>
    <row r="882" spans="1:7" ht="12" customHeight="1" x14ac:dyDescent="0.2">
      <c r="A882" s="191"/>
      <c r="B882" s="325" t="s">
        <v>401</v>
      </c>
      <c r="C882" s="136" t="s">
        <v>8</v>
      </c>
      <c r="D882" s="137">
        <v>7</v>
      </c>
      <c r="E882" s="271"/>
      <c r="F882" s="309"/>
      <c r="G882" s="293">
        <f t="shared" si="162"/>
        <v>0</v>
      </c>
    </row>
    <row r="883" spans="1:7" ht="12" customHeight="1" x14ac:dyDescent="0.2">
      <c r="A883" s="191"/>
      <c r="B883" s="325" t="s">
        <v>389</v>
      </c>
      <c r="C883" s="136" t="s">
        <v>8</v>
      </c>
      <c r="D883" s="137">
        <v>3</v>
      </c>
      <c r="E883" s="271"/>
      <c r="F883" s="309"/>
      <c r="G883" s="293">
        <f t="shared" si="162"/>
        <v>0</v>
      </c>
    </row>
    <row r="884" spans="1:7" ht="12" customHeight="1" x14ac:dyDescent="0.2">
      <c r="A884" s="191"/>
      <c r="B884" s="325" t="s">
        <v>390</v>
      </c>
      <c r="C884" s="136" t="s">
        <v>8</v>
      </c>
      <c r="D884" s="137">
        <v>9</v>
      </c>
      <c r="E884" s="271"/>
      <c r="F884" s="309"/>
      <c r="G884" s="293">
        <f t="shared" si="162"/>
        <v>0</v>
      </c>
    </row>
    <row r="885" spans="1:7" ht="12" customHeight="1" x14ac:dyDescent="0.2">
      <c r="A885" s="191"/>
      <c r="B885" s="325" t="s">
        <v>437</v>
      </c>
      <c r="C885" s="136" t="s">
        <v>8</v>
      </c>
      <c r="D885" s="137">
        <v>4</v>
      </c>
      <c r="E885" s="271"/>
      <c r="F885" s="309"/>
      <c r="G885" s="293">
        <f t="shared" si="162"/>
        <v>0</v>
      </c>
    </row>
    <row r="886" spans="1:7" ht="12" customHeight="1" x14ac:dyDescent="0.2">
      <c r="A886" s="191"/>
      <c r="B886" s="325" t="s">
        <v>402</v>
      </c>
      <c r="C886" s="136" t="s">
        <v>8</v>
      </c>
      <c r="D886" s="137">
        <v>27</v>
      </c>
      <c r="E886" s="271"/>
      <c r="F886" s="309"/>
      <c r="G886" s="293">
        <f t="shared" si="162"/>
        <v>0</v>
      </c>
    </row>
    <row r="887" spans="1:7" ht="12" customHeight="1" x14ac:dyDescent="0.2">
      <c r="A887" s="191"/>
      <c r="B887" s="325" t="s">
        <v>399</v>
      </c>
      <c r="C887" s="193" t="s">
        <v>8</v>
      </c>
      <c r="D887" s="137">
        <v>18</v>
      </c>
      <c r="E887" s="271"/>
      <c r="F887" s="309"/>
      <c r="G887" s="293">
        <f t="shared" si="162"/>
        <v>0</v>
      </c>
    </row>
    <row r="888" spans="1:7" ht="12" customHeight="1" x14ac:dyDescent="0.2">
      <c r="A888" s="191"/>
      <c r="B888" s="325" t="s">
        <v>391</v>
      </c>
      <c r="C888" s="193" t="s">
        <v>8</v>
      </c>
      <c r="D888" s="137">
        <v>3</v>
      </c>
      <c r="E888" s="271"/>
      <c r="F888" s="309"/>
      <c r="G888" s="293">
        <f t="shared" si="162"/>
        <v>0</v>
      </c>
    </row>
    <row r="889" spans="1:7" ht="12" customHeight="1" x14ac:dyDescent="0.2">
      <c r="A889" s="191"/>
      <c r="B889" s="325" t="s">
        <v>392</v>
      </c>
      <c r="C889" s="193" t="s">
        <v>8</v>
      </c>
      <c r="D889" s="137">
        <v>6</v>
      </c>
      <c r="E889" s="271"/>
      <c r="F889" s="309"/>
      <c r="G889" s="293">
        <f t="shared" si="162"/>
        <v>0</v>
      </c>
    </row>
    <row r="890" spans="1:7" ht="12" customHeight="1" x14ac:dyDescent="0.2">
      <c r="A890" s="191"/>
      <c r="B890" s="325" t="s">
        <v>393</v>
      </c>
      <c r="C890" s="193" t="s">
        <v>8</v>
      </c>
      <c r="D890" s="137">
        <v>2</v>
      </c>
      <c r="E890" s="271"/>
      <c r="F890" s="309"/>
      <c r="G890" s="293">
        <f t="shared" ref="G890" si="163">+D890*E890+D890*F890</f>
        <v>0</v>
      </c>
    </row>
    <row r="891" spans="1:7" ht="12" customHeight="1" x14ac:dyDescent="0.2">
      <c r="A891" s="191"/>
      <c r="B891" s="325" t="s">
        <v>394</v>
      </c>
      <c r="C891" s="193" t="s">
        <v>8</v>
      </c>
      <c r="D891" s="137">
        <v>10</v>
      </c>
      <c r="E891" s="271"/>
      <c r="F891" s="309"/>
      <c r="G891" s="293">
        <f t="shared" si="162"/>
        <v>0</v>
      </c>
    </row>
    <row r="892" spans="1:7" ht="12" customHeight="1" x14ac:dyDescent="0.2">
      <c r="A892" s="191"/>
      <c r="B892" s="325" t="s">
        <v>395</v>
      </c>
      <c r="C892" s="136" t="s">
        <v>8</v>
      </c>
      <c r="D892" s="137">
        <v>4</v>
      </c>
      <c r="E892" s="271"/>
      <c r="F892" s="309"/>
      <c r="G892" s="293">
        <f t="shared" ref="G892" si="164">+D892*E892+D892*F892</f>
        <v>0</v>
      </c>
    </row>
    <row r="893" spans="1:7" ht="12" customHeight="1" x14ac:dyDescent="0.2">
      <c r="A893" s="191"/>
      <c r="B893" s="325" t="s">
        <v>396</v>
      </c>
      <c r="C893" s="136" t="s">
        <v>8</v>
      </c>
      <c r="D893" s="137">
        <v>19</v>
      </c>
      <c r="E893" s="271"/>
      <c r="F893" s="309"/>
      <c r="G893" s="293">
        <f t="shared" si="162"/>
        <v>0</v>
      </c>
    </row>
    <row r="894" spans="1:7" ht="12" customHeight="1" x14ac:dyDescent="0.2">
      <c r="A894" s="191"/>
      <c r="B894" s="325" t="s">
        <v>397</v>
      </c>
      <c r="C894" s="136" t="s">
        <v>8</v>
      </c>
      <c r="D894" s="137">
        <v>4</v>
      </c>
      <c r="E894" s="271"/>
      <c r="F894" s="309"/>
      <c r="G894" s="293">
        <f t="shared" si="162"/>
        <v>0</v>
      </c>
    </row>
    <row r="895" spans="1:7" ht="12" customHeight="1" x14ac:dyDescent="0.2">
      <c r="A895" s="191"/>
      <c r="B895" s="325" t="s">
        <v>400</v>
      </c>
      <c r="C895" s="136" t="s">
        <v>8</v>
      </c>
      <c r="D895" s="137">
        <v>3</v>
      </c>
      <c r="E895" s="271"/>
      <c r="F895" s="309"/>
      <c r="G895" s="293">
        <f t="shared" si="162"/>
        <v>0</v>
      </c>
    </row>
    <row r="896" spans="1:7" ht="12" customHeight="1" x14ac:dyDescent="0.2">
      <c r="A896" s="191"/>
      <c r="B896" s="325" t="s">
        <v>398</v>
      </c>
      <c r="C896" s="136" t="s">
        <v>8</v>
      </c>
      <c r="D896" s="137">
        <v>4</v>
      </c>
      <c r="E896" s="271"/>
      <c r="F896" s="309"/>
      <c r="G896" s="293">
        <f t="shared" si="162"/>
        <v>0</v>
      </c>
    </row>
    <row r="897" spans="1:7" ht="12.75" x14ac:dyDescent="0.2">
      <c r="A897" s="189" t="s">
        <v>497</v>
      </c>
      <c r="B897" s="190" t="s">
        <v>215</v>
      </c>
      <c r="C897" s="196"/>
      <c r="D897" s="197"/>
      <c r="E897" s="271"/>
      <c r="F897" s="309"/>
      <c r="G897" s="293"/>
    </row>
    <row r="898" spans="1:7" ht="13.5" x14ac:dyDescent="0.2">
      <c r="A898" s="56" t="s">
        <v>161</v>
      </c>
      <c r="B898" s="128" t="s">
        <v>233</v>
      </c>
      <c r="C898" s="166" t="s">
        <v>216</v>
      </c>
      <c r="D898" s="59">
        <v>94</v>
      </c>
      <c r="E898" s="271"/>
      <c r="F898" s="309"/>
      <c r="G898" s="293">
        <f t="shared" si="162"/>
        <v>0</v>
      </c>
    </row>
    <row r="899" spans="1:7" ht="13.5" x14ac:dyDescent="0.2">
      <c r="A899" s="56" t="s">
        <v>162</v>
      </c>
      <c r="B899" s="128" t="s">
        <v>232</v>
      </c>
      <c r="C899" s="166" t="s">
        <v>216</v>
      </c>
      <c r="D899" s="59">
        <v>34</v>
      </c>
      <c r="E899" s="271"/>
      <c r="F899" s="309"/>
      <c r="G899" s="293">
        <f t="shared" si="162"/>
        <v>0</v>
      </c>
    </row>
    <row r="900" spans="1:7" ht="13.5" x14ac:dyDescent="0.2">
      <c r="A900" s="56" t="s">
        <v>173</v>
      </c>
      <c r="B900" s="128" t="s">
        <v>234</v>
      </c>
      <c r="C900" s="166" t="s">
        <v>14</v>
      </c>
      <c r="D900" s="59">
        <v>4</v>
      </c>
      <c r="E900" s="271"/>
      <c r="F900" s="309"/>
      <c r="G900" s="293">
        <f t="shared" si="162"/>
        <v>0</v>
      </c>
    </row>
    <row r="901" spans="1:7" ht="12.75" customHeight="1" x14ac:dyDescent="0.2">
      <c r="A901" s="56" t="s">
        <v>174</v>
      </c>
      <c r="B901" s="128" t="s">
        <v>327</v>
      </c>
      <c r="C901" s="166" t="s">
        <v>111</v>
      </c>
      <c r="D901" s="59">
        <v>3</v>
      </c>
      <c r="E901" s="271"/>
      <c r="F901" s="309"/>
      <c r="G901" s="293">
        <f t="shared" si="162"/>
        <v>0</v>
      </c>
    </row>
    <row r="902" spans="1:7" x14ac:dyDescent="0.2">
      <c r="A902" s="56"/>
      <c r="B902" s="128"/>
      <c r="C902" s="166"/>
      <c r="D902" s="59"/>
      <c r="E902" s="271"/>
      <c r="F902" s="274"/>
      <c r="G902" s="293"/>
    </row>
    <row r="903" spans="1:7" ht="12.75" customHeight="1" x14ac:dyDescent="0.2">
      <c r="A903" s="185" t="s">
        <v>499</v>
      </c>
      <c r="B903" s="186" t="s">
        <v>67</v>
      </c>
      <c r="C903" s="187"/>
      <c r="D903" s="188"/>
      <c r="E903" s="305"/>
      <c r="F903" s="274"/>
      <c r="G903" s="275"/>
    </row>
    <row r="904" spans="1:7" ht="12.75" customHeight="1" x14ac:dyDescent="0.2">
      <c r="A904" s="189" t="s">
        <v>498</v>
      </c>
      <c r="B904" s="190" t="s">
        <v>213</v>
      </c>
      <c r="C904" s="136"/>
      <c r="D904" s="137"/>
      <c r="E904" s="271"/>
      <c r="F904" s="274"/>
      <c r="G904" s="275"/>
    </row>
    <row r="905" spans="1:7" ht="51" x14ac:dyDescent="0.2">
      <c r="A905" s="191" t="s">
        <v>332</v>
      </c>
      <c r="B905" s="195" t="s">
        <v>492</v>
      </c>
      <c r="C905" s="193" t="s">
        <v>14</v>
      </c>
      <c r="D905" s="194">
        <v>1</v>
      </c>
      <c r="E905" s="271"/>
      <c r="F905" s="309"/>
      <c r="G905" s="310"/>
    </row>
    <row r="906" spans="1:7" ht="12.75" customHeight="1" x14ac:dyDescent="0.2">
      <c r="A906" s="191" t="s">
        <v>338</v>
      </c>
      <c r="B906" s="195" t="s">
        <v>336</v>
      </c>
      <c r="C906" s="193" t="s">
        <v>8</v>
      </c>
      <c r="D906" s="194">
        <v>1</v>
      </c>
      <c r="E906" s="271"/>
      <c r="F906" s="309"/>
      <c r="G906" s="310">
        <f t="shared" ref="G906:G907" si="165">+D906*E906+D906*F906</f>
        <v>0</v>
      </c>
    </row>
    <row r="907" spans="1:7" ht="12.75" customHeight="1" x14ac:dyDescent="0.2">
      <c r="A907" s="191" t="s">
        <v>339</v>
      </c>
      <c r="B907" s="195" t="s">
        <v>337</v>
      </c>
      <c r="C907" s="193" t="s">
        <v>8</v>
      </c>
      <c r="D907" s="194">
        <v>1</v>
      </c>
      <c r="E907" s="271"/>
      <c r="F907" s="309"/>
      <c r="G907" s="310">
        <f t="shared" si="165"/>
        <v>0</v>
      </c>
    </row>
    <row r="908" spans="1:7" ht="12.75" customHeight="1" x14ac:dyDescent="0.2">
      <c r="A908" s="189" t="s">
        <v>500</v>
      </c>
      <c r="B908" s="190" t="s">
        <v>214</v>
      </c>
      <c r="C908" s="196"/>
      <c r="D908" s="197"/>
      <c r="E908" s="271"/>
      <c r="F908" s="309"/>
      <c r="G908" s="293"/>
    </row>
    <row r="909" spans="1:7" ht="12.75" customHeight="1" x14ac:dyDescent="0.2">
      <c r="A909" s="191"/>
      <c r="B909" s="195" t="s">
        <v>436</v>
      </c>
      <c r="C909" s="136" t="s">
        <v>8</v>
      </c>
      <c r="D909" s="137">
        <v>4</v>
      </c>
      <c r="E909" s="271"/>
      <c r="F909" s="309"/>
      <c r="G909" s="293">
        <f t="shared" ref="G909:G930" si="166">+D909*E909+D909*F909</f>
        <v>0</v>
      </c>
    </row>
    <row r="910" spans="1:7" ht="12.75" customHeight="1" x14ac:dyDescent="0.2">
      <c r="A910" s="191"/>
      <c r="B910" s="195" t="s">
        <v>401</v>
      </c>
      <c r="C910" s="136" t="s">
        <v>8</v>
      </c>
      <c r="D910" s="137">
        <v>7</v>
      </c>
      <c r="E910" s="271"/>
      <c r="F910" s="309"/>
      <c r="G910" s="293">
        <f t="shared" si="166"/>
        <v>0</v>
      </c>
    </row>
    <row r="911" spans="1:7" ht="12.75" customHeight="1" x14ac:dyDescent="0.2">
      <c r="A911" s="191"/>
      <c r="B911" s="195" t="s">
        <v>389</v>
      </c>
      <c r="C911" s="136" t="s">
        <v>8</v>
      </c>
      <c r="D911" s="137">
        <v>4</v>
      </c>
      <c r="E911" s="271"/>
      <c r="F911" s="309"/>
      <c r="G911" s="293">
        <f t="shared" si="166"/>
        <v>0</v>
      </c>
    </row>
    <row r="912" spans="1:7" ht="12.75" customHeight="1" x14ac:dyDescent="0.2">
      <c r="A912" s="191"/>
      <c r="B912" s="195" t="s">
        <v>390</v>
      </c>
      <c r="C912" s="136" t="s">
        <v>8</v>
      </c>
      <c r="D912" s="137">
        <v>8</v>
      </c>
      <c r="E912" s="271"/>
      <c r="F912" s="309"/>
      <c r="G912" s="293">
        <f t="shared" ref="G912" si="167">+D912*E912+D912*F912</f>
        <v>0</v>
      </c>
    </row>
    <row r="913" spans="1:7" ht="12.75" customHeight="1" x14ac:dyDescent="0.2">
      <c r="A913" s="191"/>
      <c r="B913" s="195" t="s">
        <v>437</v>
      </c>
      <c r="C913" s="136" t="s">
        <v>8</v>
      </c>
      <c r="D913" s="137">
        <v>4</v>
      </c>
      <c r="E913" s="271"/>
      <c r="F913" s="309"/>
      <c r="G913" s="293">
        <f t="shared" si="166"/>
        <v>0</v>
      </c>
    </row>
    <row r="914" spans="1:7" ht="12.75" customHeight="1" x14ac:dyDescent="0.2">
      <c r="A914" s="191"/>
      <c r="B914" s="195" t="s">
        <v>402</v>
      </c>
      <c r="C914" s="136" t="s">
        <v>8</v>
      </c>
      <c r="D914" s="137">
        <v>27</v>
      </c>
      <c r="E914" s="271"/>
      <c r="F914" s="309"/>
      <c r="G914" s="293">
        <f t="shared" si="166"/>
        <v>0</v>
      </c>
    </row>
    <row r="915" spans="1:7" ht="12.75" customHeight="1" x14ac:dyDescent="0.2">
      <c r="A915" s="191"/>
      <c r="B915" s="195" t="s">
        <v>399</v>
      </c>
      <c r="C915" s="136" t="s">
        <v>8</v>
      </c>
      <c r="D915" s="137">
        <v>18</v>
      </c>
      <c r="E915" s="271"/>
      <c r="F915" s="309"/>
      <c r="G915" s="293">
        <f t="shared" si="166"/>
        <v>0</v>
      </c>
    </row>
    <row r="916" spans="1:7" ht="12.75" customHeight="1" x14ac:dyDescent="0.2">
      <c r="A916" s="191"/>
      <c r="B916" s="195" t="s">
        <v>391</v>
      </c>
      <c r="C916" s="193" t="s">
        <v>8</v>
      </c>
      <c r="D916" s="137">
        <v>2</v>
      </c>
      <c r="E916" s="271"/>
      <c r="F916" s="309"/>
      <c r="G916" s="293">
        <f t="shared" si="166"/>
        <v>0</v>
      </c>
    </row>
    <row r="917" spans="1:7" ht="12.75" customHeight="1" x14ac:dyDescent="0.2">
      <c r="A917" s="191"/>
      <c r="B917" s="195" t="s">
        <v>392</v>
      </c>
      <c r="C917" s="193" t="s">
        <v>8</v>
      </c>
      <c r="D917" s="137">
        <v>6</v>
      </c>
      <c r="E917" s="271"/>
      <c r="F917" s="309"/>
      <c r="G917" s="293">
        <f t="shared" si="166"/>
        <v>0</v>
      </c>
    </row>
    <row r="918" spans="1:7" ht="12.75" customHeight="1" x14ac:dyDescent="0.2">
      <c r="A918" s="191"/>
      <c r="B918" s="195" t="s">
        <v>393</v>
      </c>
      <c r="C918" s="193" t="s">
        <v>8</v>
      </c>
      <c r="D918" s="137">
        <v>2</v>
      </c>
      <c r="E918" s="271"/>
      <c r="F918" s="309"/>
      <c r="G918" s="293">
        <f t="shared" si="166"/>
        <v>0</v>
      </c>
    </row>
    <row r="919" spans="1:7" ht="12.75" customHeight="1" x14ac:dyDescent="0.2">
      <c r="A919" s="191"/>
      <c r="B919" s="195" t="s">
        <v>394</v>
      </c>
      <c r="C919" s="193" t="s">
        <v>8</v>
      </c>
      <c r="D919" s="137">
        <v>10</v>
      </c>
      <c r="E919" s="271"/>
      <c r="F919" s="309"/>
      <c r="G919" s="293">
        <f t="shared" si="166"/>
        <v>0</v>
      </c>
    </row>
    <row r="920" spans="1:7" ht="12.75" customHeight="1" x14ac:dyDescent="0.2">
      <c r="A920" s="191"/>
      <c r="B920" s="195" t="s">
        <v>395</v>
      </c>
      <c r="C920" s="136" t="s">
        <v>8</v>
      </c>
      <c r="D920" s="137">
        <v>5</v>
      </c>
      <c r="E920" s="271"/>
      <c r="F920" s="309"/>
      <c r="G920" s="293">
        <f t="shared" si="166"/>
        <v>0</v>
      </c>
    </row>
    <row r="921" spans="1:7" ht="12.75" customHeight="1" x14ac:dyDescent="0.2">
      <c r="A921" s="191"/>
      <c r="B921" s="195" t="s">
        <v>396</v>
      </c>
      <c r="C921" s="136" t="s">
        <v>8</v>
      </c>
      <c r="D921" s="137">
        <v>19</v>
      </c>
      <c r="E921" s="271"/>
      <c r="F921" s="309"/>
      <c r="G921" s="293">
        <f t="shared" si="166"/>
        <v>0</v>
      </c>
    </row>
    <row r="922" spans="1:7" ht="12.75" customHeight="1" x14ac:dyDescent="0.2">
      <c r="A922" s="191"/>
      <c r="B922" s="195" t="s">
        <v>397</v>
      </c>
      <c r="C922" s="136" t="s">
        <v>8</v>
      </c>
      <c r="D922" s="137">
        <v>4</v>
      </c>
      <c r="E922" s="271"/>
      <c r="F922" s="309"/>
      <c r="G922" s="293">
        <f t="shared" si="166"/>
        <v>0</v>
      </c>
    </row>
    <row r="923" spans="1:7" ht="12.75" customHeight="1" x14ac:dyDescent="0.2">
      <c r="A923" s="191"/>
      <c r="B923" s="195" t="s">
        <v>400</v>
      </c>
      <c r="C923" s="136" t="s">
        <v>8</v>
      </c>
      <c r="D923" s="137">
        <v>3</v>
      </c>
      <c r="E923" s="271"/>
      <c r="F923" s="309"/>
      <c r="G923" s="293">
        <f t="shared" si="166"/>
        <v>0</v>
      </c>
    </row>
    <row r="924" spans="1:7" ht="12.75" customHeight="1" x14ac:dyDescent="0.2">
      <c r="A924" s="191"/>
      <c r="B924" s="195" t="s">
        <v>398</v>
      </c>
      <c r="C924" s="136" t="s">
        <v>8</v>
      </c>
      <c r="D924" s="137">
        <v>5</v>
      </c>
      <c r="E924" s="271"/>
      <c r="F924" s="309"/>
      <c r="G924" s="293">
        <f t="shared" si="166"/>
        <v>0</v>
      </c>
    </row>
    <row r="925" spans="1:7" ht="12.75" customHeight="1" x14ac:dyDescent="0.2">
      <c r="A925" s="191"/>
      <c r="B925" s="195"/>
      <c r="C925" s="136"/>
      <c r="D925" s="137"/>
      <c r="E925" s="271"/>
      <c r="F925" s="309"/>
      <c r="G925" s="293"/>
    </row>
    <row r="926" spans="1:7" ht="12.75" customHeight="1" x14ac:dyDescent="0.2">
      <c r="A926" s="189" t="s">
        <v>496</v>
      </c>
      <c r="B926" s="190" t="s">
        <v>215</v>
      </c>
      <c r="C926" s="196"/>
      <c r="D926" s="197"/>
      <c r="E926" s="271"/>
      <c r="F926" s="309"/>
      <c r="G926" s="293"/>
    </row>
    <row r="927" spans="1:7" ht="12.75" customHeight="1" x14ac:dyDescent="0.2">
      <c r="A927" s="56" t="s">
        <v>161</v>
      </c>
      <c r="B927" s="128" t="s">
        <v>233</v>
      </c>
      <c r="C927" s="166" t="s">
        <v>216</v>
      </c>
      <c r="D927" s="59">
        <v>92</v>
      </c>
      <c r="E927" s="271"/>
      <c r="F927" s="309"/>
      <c r="G927" s="293">
        <f t="shared" si="166"/>
        <v>0</v>
      </c>
    </row>
    <row r="928" spans="1:7" ht="12.75" customHeight="1" x14ac:dyDescent="0.2">
      <c r="A928" s="56" t="s">
        <v>162</v>
      </c>
      <c r="B928" s="128" t="s">
        <v>232</v>
      </c>
      <c r="C928" s="166" t="s">
        <v>216</v>
      </c>
      <c r="D928" s="59">
        <v>36</v>
      </c>
      <c r="E928" s="271"/>
      <c r="F928" s="309"/>
      <c r="G928" s="293">
        <f t="shared" si="166"/>
        <v>0</v>
      </c>
    </row>
    <row r="929" spans="1:7" ht="12.75" customHeight="1" x14ac:dyDescent="0.2">
      <c r="A929" s="56" t="s">
        <v>173</v>
      </c>
      <c r="B929" s="128" t="s">
        <v>234</v>
      </c>
      <c r="C929" s="166" t="s">
        <v>111</v>
      </c>
      <c r="D929" s="59">
        <v>4</v>
      </c>
      <c r="E929" s="271"/>
      <c r="F929" s="309"/>
      <c r="G929" s="293">
        <f t="shared" si="166"/>
        <v>0</v>
      </c>
    </row>
    <row r="930" spans="1:7" ht="12.75" customHeight="1" x14ac:dyDescent="0.2">
      <c r="A930" s="56" t="s">
        <v>174</v>
      </c>
      <c r="B930" s="128" t="s">
        <v>327</v>
      </c>
      <c r="C930" s="166" t="s">
        <v>111</v>
      </c>
      <c r="D930" s="59">
        <v>3</v>
      </c>
      <c r="E930" s="271"/>
      <c r="F930" s="309"/>
      <c r="G930" s="293">
        <f t="shared" si="166"/>
        <v>0</v>
      </c>
    </row>
    <row r="931" spans="1:7" ht="12.75" customHeight="1" x14ac:dyDescent="0.2">
      <c r="A931" s="56"/>
      <c r="B931" s="128"/>
      <c r="C931" s="166"/>
      <c r="D931" s="59"/>
      <c r="E931" s="271"/>
      <c r="F931" s="309"/>
      <c r="G931" s="293"/>
    </row>
    <row r="932" spans="1:7" ht="12.75" customHeight="1" x14ac:dyDescent="0.2">
      <c r="A932" s="185" t="s">
        <v>501</v>
      </c>
      <c r="B932" s="186" t="s">
        <v>363</v>
      </c>
      <c r="C932" s="187"/>
      <c r="D932" s="188"/>
      <c r="E932" s="305"/>
      <c r="F932" s="274"/>
      <c r="G932" s="275"/>
    </row>
    <row r="933" spans="1:7" ht="12.75" customHeight="1" x14ac:dyDescent="0.2">
      <c r="A933" s="189" t="s">
        <v>503</v>
      </c>
      <c r="B933" s="190" t="s">
        <v>213</v>
      </c>
      <c r="C933" s="136"/>
      <c r="D933" s="137"/>
      <c r="E933" s="271"/>
      <c r="F933" s="274"/>
      <c r="G933" s="275"/>
    </row>
    <row r="934" spans="1:7" ht="28.5" customHeight="1" x14ac:dyDescent="0.2">
      <c r="A934" s="191" t="s">
        <v>332</v>
      </c>
      <c r="B934" s="195" t="s">
        <v>492</v>
      </c>
      <c r="C934" s="193" t="s">
        <v>14</v>
      </c>
      <c r="D934" s="194">
        <v>1</v>
      </c>
      <c r="E934" s="271"/>
      <c r="F934" s="309"/>
      <c r="G934" s="310"/>
    </row>
    <row r="935" spans="1:7" ht="12.75" customHeight="1" x14ac:dyDescent="0.2">
      <c r="A935" s="191" t="s">
        <v>338</v>
      </c>
      <c r="B935" s="195" t="s">
        <v>336</v>
      </c>
      <c r="C935" s="193" t="s">
        <v>8</v>
      </c>
      <c r="D935" s="194">
        <v>1</v>
      </c>
      <c r="E935" s="271"/>
      <c r="F935" s="309"/>
      <c r="G935" s="310">
        <f t="shared" ref="G935:G951" si="168">+D935*E935+D935*F935</f>
        <v>0</v>
      </c>
    </row>
    <row r="936" spans="1:7" ht="12.75" customHeight="1" x14ac:dyDescent="0.2">
      <c r="A936" s="191" t="s">
        <v>339</v>
      </c>
      <c r="B936" s="195" t="s">
        <v>337</v>
      </c>
      <c r="C936" s="193" t="s">
        <v>8</v>
      </c>
      <c r="D936" s="194">
        <v>1</v>
      </c>
      <c r="E936" s="271"/>
      <c r="F936" s="309"/>
      <c r="G936" s="310">
        <f t="shared" si="168"/>
        <v>0</v>
      </c>
    </row>
    <row r="937" spans="1:7" ht="12.75" customHeight="1" x14ac:dyDescent="0.2">
      <c r="A937" s="189" t="s">
        <v>502</v>
      </c>
      <c r="B937" s="190" t="s">
        <v>214</v>
      </c>
      <c r="C937" s="196"/>
      <c r="D937" s="197"/>
      <c r="E937" s="271"/>
      <c r="F937" s="309"/>
      <c r="G937" s="293"/>
    </row>
    <row r="938" spans="1:7" ht="12.75" customHeight="1" x14ac:dyDescent="0.2">
      <c r="A938" s="191"/>
      <c r="B938" s="128" t="s">
        <v>436</v>
      </c>
      <c r="C938" s="136" t="s">
        <v>8</v>
      </c>
      <c r="D938" s="194">
        <v>4</v>
      </c>
      <c r="E938" s="271"/>
      <c r="F938" s="309"/>
      <c r="G938" s="293">
        <f t="shared" si="168"/>
        <v>0</v>
      </c>
    </row>
    <row r="939" spans="1:7" ht="12.75" customHeight="1" x14ac:dyDescent="0.2">
      <c r="A939" s="191"/>
      <c r="B939" s="128" t="s">
        <v>401</v>
      </c>
      <c r="C939" s="136" t="s">
        <v>8</v>
      </c>
      <c r="D939" s="194">
        <v>7</v>
      </c>
      <c r="E939" s="271"/>
      <c r="F939" s="309"/>
      <c r="G939" s="293">
        <f t="shared" si="168"/>
        <v>0</v>
      </c>
    </row>
    <row r="940" spans="1:7" ht="12.75" customHeight="1" x14ac:dyDescent="0.2">
      <c r="A940" s="191"/>
      <c r="B940" s="128" t="s">
        <v>389</v>
      </c>
      <c r="C940" s="136" t="s">
        <v>8</v>
      </c>
      <c r="D940" s="194">
        <v>4</v>
      </c>
      <c r="E940" s="271"/>
      <c r="F940" s="309"/>
      <c r="G940" s="293">
        <f t="shared" si="168"/>
        <v>0</v>
      </c>
    </row>
    <row r="941" spans="1:7" ht="12.75" customHeight="1" x14ac:dyDescent="0.2">
      <c r="A941" s="191"/>
      <c r="B941" s="128" t="s">
        <v>390</v>
      </c>
      <c r="C941" s="136" t="s">
        <v>8</v>
      </c>
      <c r="D941" s="194">
        <v>8</v>
      </c>
      <c r="E941" s="271"/>
      <c r="F941" s="309"/>
      <c r="G941" s="293">
        <f t="shared" si="168"/>
        <v>0</v>
      </c>
    </row>
    <row r="942" spans="1:7" ht="12.75" customHeight="1" x14ac:dyDescent="0.2">
      <c r="A942" s="191"/>
      <c r="B942" s="128" t="s">
        <v>437</v>
      </c>
      <c r="C942" s="136" t="s">
        <v>8</v>
      </c>
      <c r="D942" s="194">
        <v>4</v>
      </c>
      <c r="E942" s="271"/>
      <c r="F942" s="309"/>
      <c r="G942" s="293">
        <f t="shared" si="168"/>
        <v>0</v>
      </c>
    </row>
    <row r="943" spans="1:7" ht="12.75" customHeight="1" x14ac:dyDescent="0.2">
      <c r="A943" s="191"/>
      <c r="B943" s="128" t="s">
        <v>402</v>
      </c>
      <c r="C943" s="136" t="s">
        <v>8</v>
      </c>
      <c r="D943" s="194">
        <v>27</v>
      </c>
      <c r="E943" s="271"/>
      <c r="F943" s="309"/>
      <c r="G943" s="293">
        <f t="shared" si="168"/>
        <v>0</v>
      </c>
    </row>
    <row r="944" spans="1:7" ht="12.75" customHeight="1" x14ac:dyDescent="0.2">
      <c r="A944" s="191"/>
      <c r="B944" s="128" t="s">
        <v>399</v>
      </c>
      <c r="C944" s="193" t="s">
        <v>8</v>
      </c>
      <c r="D944" s="194">
        <v>18</v>
      </c>
      <c r="E944" s="271"/>
      <c r="F944" s="309"/>
      <c r="G944" s="293">
        <f t="shared" si="168"/>
        <v>0</v>
      </c>
    </row>
    <row r="945" spans="1:7" ht="12.75" customHeight="1" x14ac:dyDescent="0.2">
      <c r="A945" s="191"/>
      <c r="B945" s="128" t="s">
        <v>391</v>
      </c>
      <c r="C945" s="193" t="s">
        <v>8</v>
      </c>
      <c r="D945" s="194">
        <v>2</v>
      </c>
      <c r="E945" s="271"/>
      <c r="F945" s="309"/>
      <c r="G945" s="293">
        <f t="shared" si="168"/>
        <v>0</v>
      </c>
    </row>
    <row r="946" spans="1:7" ht="12.75" customHeight="1" x14ac:dyDescent="0.2">
      <c r="A946" s="191"/>
      <c r="B946" s="128" t="s">
        <v>392</v>
      </c>
      <c r="C946" s="193" t="s">
        <v>8</v>
      </c>
      <c r="D946" s="194">
        <v>6</v>
      </c>
      <c r="E946" s="271"/>
      <c r="F946" s="309"/>
      <c r="G946" s="293">
        <f t="shared" si="168"/>
        <v>0</v>
      </c>
    </row>
    <row r="947" spans="1:7" ht="12.75" customHeight="1" x14ac:dyDescent="0.2">
      <c r="A947" s="191"/>
      <c r="B947" s="128" t="s">
        <v>393</v>
      </c>
      <c r="C947" s="193" t="s">
        <v>8</v>
      </c>
      <c r="D947" s="194">
        <v>2</v>
      </c>
      <c r="E947" s="271"/>
      <c r="F947" s="309"/>
      <c r="G947" s="293">
        <f t="shared" si="168"/>
        <v>0</v>
      </c>
    </row>
    <row r="948" spans="1:7" ht="12.75" customHeight="1" x14ac:dyDescent="0.2">
      <c r="A948" s="191"/>
      <c r="B948" s="128" t="s">
        <v>394</v>
      </c>
      <c r="C948" s="136" t="s">
        <v>8</v>
      </c>
      <c r="D948" s="194">
        <v>10</v>
      </c>
      <c r="E948" s="271"/>
      <c r="F948" s="309"/>
      <c r="G948" s="293">
        <f t="shared" si="168"/>
        <v>0</v>
      </c>
    </row>
    <row r="949" spans="1:7" ht="12.75" customHeight="1" x14ac:dyDescent="0.2">
      <c r="A949" s="191"/>
      <c r="B949" s="128" t="s">
        <v>395</v>
      </c>
      <c r="C949" s="136" t="s">
        <v>8</v>
      </c>
      <c r="D949" s="194">
        <v>5</v>
      </c>
      <c r="E949" s="271"/>
      <c r="F949" s="309"/>
      <c r="G949" s="293">
        <f t="shared" si="168"/>
        <v>0</v>
      </c>
    </row>
    <row r="950" spans="1:7" ht="12.75" customHeight="1" x14ac:dyDescent="0.2">
      <c r="A950" s="191"/>
      <c r="B950" s="128" t="s">
        <v>396</v>
      </c>
      <c r="C950" s="136" t="s">
        <v>8</v>
      </c>
      <c r="D950" s="194">
        <v>19</v>
      </c>
      <c r="E950" s="271"/>
      <c r="F950" s="309"/>
      <c r="G950" s="293">
        <f t="shared" si="168"/>
        <v>0</v>
      </c>
    </row>
    <row r="951" spans="1:7" ht="12.75" customHeight="1" x14ac:dyDescent="0.2">
      <c r="A951" s="191"/>
      <c r="B951" s="128" t="s">
        <v>397</v>
      </c>
      <c r="C951" s="136" t="s">
        <v>8</v>
      </c>
      <c r="D951" s="194">
        <v>4</v>
      </c>
      <c r="E951" s="271"/>
      <c r="F951" s="309"/>
      <c r="G951" s="293">
        <f t="shared" si="168"/>
        <v>0</v>
      </c>
    </row>
    <row r="952" spans="1:7" ht="12.75" customHeight="1" x14ac:dyDescent="0.2">
      <c r="A952" s="191"/>
      <c r="B952" s="128" t="s">
        <v>400</v>
      </c>
      <c r="C952" s="136" t="s">
        <v>8</v>
      </c>
      <c r="D952" s="194">
        <v>3</v>
      </c>
      <c r="E952" s="271"/>
      <c r="F952" s="309"/>
      <c r="G952" s="293">
        <f t="shared" ref="G952:G953" si="169">+D952*E952+D952*F952</f>
        <v>0</v>
      </c>
    </row>
    <row r="953" spans="1:7" ht="12.75" customHeight="1" x14ac:dyDescent="0.2">
      <c r="A953" s="191"/>
      <c r="B953" s="128" t="s">
        <v>398</v>
      </c>
      <c r="C953" s="136" t="s">
        <v>8</v>
      </c>
      <c r="D953" s="194">
        <v>5</v>
      </c>
      <c r="E953" s="271"/>
      <c r="F953" s="309"/>
      <c r="G953" s="293">
        <f t="shared" si="169"/>
        <v>0</v>
      </c>
    </row>
    <row r="954" spans="1:7" ht="12.75" customHeight="1" x14ac:dyDescent="0.2">
      <c r="A954" s="191"/>
      <c r="B954" s="195"/>
      <c r="C954" s="136"/>
      <c r="D954" s="137"/>
      <c r="E954" s="271"/>
      <c r="F954" s="309"/>
      <c r="G954" s="293"/>
    </row>
    <row r="955" spans="1:7" ht="12.75" customHeight="1" x14ac:dyDescent="0.2">
      <c r="A955" s="189" t="s">
        <v>504</v>
      </c>
      <c r="B955" s="190" t="s">
        <v>215</v>
      </c>
      <c r="C955" s="196"/>
      <c r="D955" s="197"/>
      <c r="E955" s="271"/>
      <c r="F955" s="309"/>
      <c r="G955" s="293"/>
    </row>
    <row r="956" spans="1:7" ht="12.75" customHeight="1" x14ac:dyDescent="0.2">
      <c r="A956" s="56" t="s">
        <v>161</v>
      </c>
      <c r="B956" s="128" t="s">
        <v>233</v>
      </c>
      <c r="C956" s="166" t="s">
        <v>216</v>
      </c>
      <c r="D956" s="59">
        <v>92</v>
      </c>
      <c r="E956" s="271"/>
      <c r="F956" s="309"/>
      <c r="G956" s="293">
        <f t="shared" ref="G956:G959" si="170">+D956*E956+D956*F956</f>
        <v>0</v>
      </c>
    </row>
    <row r="957" spans="1:7" ht="12.75" customHeight="1" x14ac:dyDescent="0.2">
      <c r="A957" s="56" t="s">
        <v>162</v>
      </c>
      <c r="B957" s="128" t="s">
        <v>232</v>
      </c>
      <c r="C957" s="166" t="s">
        <v>216</v>
      </c>
      <c r="D957" s="59">
        <v>36</v>
      </c>
      <c r="E957" s="271"/>
      <c r="F957" s="309"/>
      <c r="G957" s="293">
        <f t="shared" si="170"/>
        <v>0</v>
      </c>
    </row>
    <row r="958" spans="1:7" ht="12.75" customHeight="1" x14ac:dyDescent="0.2">
      <c r="A958" s="56" t="s">
        <v>173</v>
      </c>
      <c r="B958" s="128" t="s">
        <v>234</v>
      </c>
      <c r="C958" s="166" t="s">
        <v>111</v>
      </c>
      <c r="D958" s="59">
        <v>4</v>
      </c>
      <c r="E958" s="271"/>
      <c r="F958" s="309"/>
      <c r="G958" s="293">
        <f t="shared" si="170"/>
        <v>0</v>
      </c>
    </row>
    <row r="959" spans="1:7" ht="12.75" customHeight="1" x14ac:dyDescent="0.2">
      <c r="A959" s="56" t="s">
        <v>174</v>
      </c>
      <c r="B959" s="128" t="s">
        <v>327</v>
      </c>
      <c r="C959" s="166" t="s">
        <v>111</v>
      </c>
      <c r="D959" s="59">
        <v>3</v>
      </c>
      <c r="E959" s="271"/>
      <c r="F959" s="309"/>
      <c r="G959" s="293">
        <f t="shared" si="170"/>
        <v>0</v>
      </c>
    </row>
    <row r="960" spans="1:7" ht="12.75" customHeight="1" x14ac:dyDescent="0.2">
      <c r="A960" s="56"/>
      <c r="B960" s="128"/>
      <c r="C960" s="166"/>
      <c r="D960" s="59"/>
      <c r="E960" s="271"/>
      <c r="F960" s="309"/>
      <c r="G960" s="293"/>
    </row>
    <row r="961" spans="1:7" ht="12.75" customHeight="1" x14ac:dyDescent="0.2">
      <c r="A961" s="185" t="s">
        <v>505</v>
      </c>
      <c r="B961" s="186" t="s">
        <v>409</v>
      </c>
      <c r="C961" s="187"/>
      <c r="D961" s="188"/>
      <c r="E961" s="305"/>
      <c r="F961" s="274"/>
      <c r="G961" s="275"/>
    </row>
    <row r="962" spans="1:7" ht="12.75" customHeight="1" x14ac:dyDescent="0.2">
      <c r="A962" s="189" t="s">
        <v>506</v>
      </c>
      <c r="B962" s="190" t="s">
        <v>213</v>
      </c>
      <c r="C962" s="136"/>
      <c r="D962" s="137"/>
      <c r="E962" s="271"/>
      <c r="F962" s="274"/>
      <c r="G962" s="275"/>
    </row>
    <row r="963" spans="1:7" ht="28.5" customHeight="1" x14ac:dyDescent="0.2">
      <c r="A963" s="191" t="s">
        <v>332</v>
      </c>
      <c r="B963" s="195" t="s">
        <v>492</v>
      </c>
      <c r="C963" s="193" t="s">
        <v>14</v>
      </c>
      <c r="D963" s="194">
        <v>1</v>
      </c>
      <c r="E963" s="271"/>
      <c r="F963" s="309"/>
      <c r="G963" s="310"/>
    </row>
    <row r="964" spans="1:7" ht="12.75" customHeight="1" x14ac:dyDescent="0.2">
      <c r="A964" s="191" t="s">
        <v>338</v>
      </c>
      <c r="B964" s="195" t="s">
        <v>336</v>
      </c>
      <c r="C964" s="193" t="s">
        <v>8</v>
      </c>
      <c r="D964" s="194">
        <v>1</v>
      </c>
      <c r="E964" s="271"/>
      <c r="F964" s="309"/>
      <c r="G964" s="310">
        <f t="shared" ref="G964:G982" si="171">+D964*E964+D964*F964</f>
        <v>0</v>
      </c>
    </row>
    <row r="965" spans="1:7" ht="12.75" customHeight="1" x14ac:dyDescent="0.2">
      <c r="A965" s="191" t="s">
        <v>339</v>
      </c>
      <c r="B965" s="195" t="s">
        <v>337</v>
      </c>
      <c r="C965" s="193" t="s">
        <v>8</v>
      </c>
      <c r="D965" s="194">
        <v>1</v>
      </c>
      <c r="E965" s="271"/>
      <c r="F965" s="309"/>
      <c r="G965" s="310">
        <f t="shared" si="171"/>
        <v>0</v>
      </c>
    </row>
    <row r="966" spans="1:7" ht="12.75" customHeight="1" x14ac:dyDescent="0.2">
      <c r="A966" s="189" t="s">
        <v>507</v>
      </c>
      <c r="B966" s="190" t="s">
        <v>214</v>
      </c>
      <c r="C966" s="196"/>
      <c r="D966" s="197"/>
      <c r="E966" s="271"/>
      <c r="F966" s="309"/>
      <c r="G966" s="293"/>
    </row>
    <row r="967" spans="1:7" ht="12.75" customHeight="1" x14ac:dyDescent="0.2">
      <c r="A967" s="191"/>
      <c r="B967" s="128" t="s">
        <v>436</v>
      </c>
      <c r="C967" s="136" t="s">
        <v>8</v>
      </c>
      <c r="D967" s="194">
        <v>4</v>
      </c>
      <c r="E967" s="271"/>
      <c r="F967" s="309"/>
      <c r="G967" s="293">
        <f t="shared" si="171"/>
        <v>0</v>
      </c>
    </row>
    <row r="968" spans="1:7" ht="12.75" customHeight="1" x14ac:dyDescent="0.2">
      <c r="A968" s="191"/>
      <c r="B968" s="128" t="s">
        <v>401</v>
      </c>
      <c r="C968" s="136" t="s">
        <v>8</v>
      </c>
      <c r="D968" s="194">
        <v>7</v>
      </c>
      <c r="E968" s="271"/>
      <c r="F968" s="309"/>
      <c r="G968" s="293">
        <f t="shared" si="171"/>
        <v>0</v>
      </c>
    </row>
    <row r="969" spans="1:7" ht="12.75" customHeight="1" x14ac:dyDescent="0.2">
      <c r="A969" s="191"/>
      <c r="B969" s="128" t="s">
        <v>389</v>
      </c>
      <c r="C969" s="136" t="s">
        <v>8</v>
      </c>
      <c r="D969" s="194">
        <v>4</v>
      </c>
      <c r="E969" s="271"/>
      <c r="F969" s="309"/>
      <c r="G969" s="293">
        <f t="shared" si="171"/>
        <v>0</v>
      </c>
    </row>
    <row r="970" spans="1:7" ht="12.75" customHeight="1" x14ac:dyDescent="0.2">
      <c r="A970" s="191"/>
      <c r="B970" s="128" t="s">
        <v>390</v>
      </c>
      <c r="C970" s="136" t="s">
        <v>8</v>
      </c>
      <c r="D970" s="194">
        <v>8</v>
      </c>
      <c r="E970" s="271"/>
      <c r="F970" s="309"/>
      <c r="G970" s="293">
        <f t="shared" si="171"/>
        <v>0</v>
      </c>
    </row>
    <row r="971" spans="1:7" ht="12.75" customHeight="1" x14ac:dyDescent="0.2">
      <c r="A971" s="191"/>
      <c r="B971" s="128" t="s">
        <v>437</v>
      </c>
      <c r="C971" s="136" t="s">
        <v>8</v>
      </c>
      <c r="D971" s="194">
        <v>4</v>
      </c>
      <c r="E971" s="271"/>
      <c r="F971" s="309"/>
      <c r="G971" s="293">
        <f t="shared" si="171"/>
        <v>0</v>
      </c>
    </row>
    <row r="972" spans="1:7" ht="12.75" customHeight="1" x14ac:dyDescent="0.2">
      <c r="A972" s="191"/>
      <c r="B972" s="128" t="s">
        <v>402</v>
      </c>
      <c r="C972" s="136" t="s">
        <v>8</v>
      </c>
      <c r="D972" s="194">
        <v>27</v>
      </c>
      <c r="E972" s="271"/>
      <c r="F972" s="309"/>
      <c r="G972" s="293">
        <f t="shared" si="171"/>
        <v>0</v>
      </c>
    </row>
    <row r="973" spans="1:7" ht="12.75" customHeight="1" x14ac:dyDescent="0.2">
      <c r="A973" s="191"/>
      <c r="B973" s="128" t="s">
        <v>399</v>
      </c>
      <c r="C973" s="193" t="s">
        <v>8</v>
      </c>
      <c r="D973" s="194">
        <v>18</v>
      </c>
      <c r="E973" s="271"/>
      <c r="F973" s="309"/>
      <c r="G973" s="293">
        <f t="shared" si="171"/>
        <v>0</v>
      </c>
    </row>
    <row r="974" spans="1:7" ht="12.75" customHeight="1" x14ac:dyDescent="0.2">
      <c r="A974" s="191"/>
      <c r="B974" s="128" t="s">
        <v>391</v>
      </c>
      <c r="C974" s="193" t="s">
        <v>8</v>
      </c>
      <c r="D974" s="194">
        <v>2</v>
      </c>
      <c r="E974" s="271"/>
      <c r="F974" s="309"/>
      <c r="G974" s="293">
        <f t="shared" si="171"/>
        <v>0</v>
      </c>
    </row>
    <row r="975" spans="1:7" ht="12.75" customHeight="1" x14ac:dyDescent="0.2">
      <c r="A975" s="191"/>
      <c r="B975" s="128" t="s">
        <v>392</v>
      </c>
      <c r="C975" s="193" t="s">
        <v>8</v>
      </c>
      <c r="D975" s="194">
        <v>6</v>
      </c>
      <c r="E975" s="271"/>
      <c r="F975" s="309"/>
      <c r="G975" s="293">
        <f t="shared" si="171"/>
        <v>0</v>
      </c>
    </row>
    <row r="976" spans="1:7" ht="12.75" customHeight="1" x14ac:dyDescent="0.2">
      <c r="A976" s="191"/>
      <c r="B976" s="128" t="s">
        <v>393</v>
      </c>
      <c r="C976" s="193" t="s">
        <v>8</v>
      </c>
      <c r="D976" s="194">
        <v>2</v>
      </c>
      <c r="E976" s="271"/>
      <c r="F976" s="309"/>
      <c r="G976" s="293">
        <f t="shared" si="171"/>
        <v>0</v>
      </c>
    </row>
    <row r="977" spans="1:7" ht="12.75" customHeight="1" x14ac:dyDescent="0.2">
      <c r="A977" s="191"/>
      <c r="B977" s="128" t="s">
        <v>394</v>
      </c>
      <c r="C977" s="136" t="s">
        <v>8</v>
      </c>
      <c r="D977" s="194">
        <v>10</v>
      </c>
      <c r="E977" s="271"/>
      <c r="F977" s="309"/>
      <c r="G977" s="293">
        <f t="shared" si="171"/>
        <v>0</v>
      </c>
    </row>
    <row r="978" spans="1:7" ht="12.75" customHeight="1" x14ac:dyDescent="0.2">
      <c r="A978" s="191"/>
      <c r="B978" s="128" t="s">
        <v>395</v>
      </c>
      <c r="C978" s="136" t="s">
        <v>8</v>
      </c>
      <c r="D978" s="194">
        <v>5</v>
      </c>
      <c r="E978" s="271"/>
      <c r="F978" s="309"/>
      <c r="G978" s="293">
        <f t="shared" si="171"/>
        <v>0</v>
      </c>
    </row>
    <row r="979" spans="1:7" ht="12.75" customHeight="1" x14ac:dyDescent="0.2">
      <c r="A979" s="191"/>
      <c r="B979" s="128" t="s">
        <v>396</v>
      </c>
      <c r="C979" s="136" t="s">
        <v>8</v>
      </c>
      <c r="D979" s="194">
        <v>19</v>
      </c>
      <c r="E979" s="271"/>
      <c r="F979" s="309"/>
      <c r="G979" s="293">
        <f t="shared" si="171"/>
        <v>0</v>
      </c>
    </row>
    <row r="980" spans="1:7" ht="12.75" customHeight="1" x14ac:dyDescent="0.2">
      <c r="A980" s="191"/>
      <c r="B980" s="128" t="s">
        <v>397</v>
      </c>
      <c r="C980" s="136" t="s">
        <v>8</v>
      </c>
      <c r="D980" s="194">
        <v>4</v>
      </c>
      <c r="E980" s="271"/>
      <c r="F980" s="309"/>
      <c r="G980" s="293">
        <f t="shared" si="171"/>
        <v>0</v>
      </c>
    </row>
    <row r="981" spans="1:7" ht="12.75" customHeight="1" x14ac:dyDescent="0.2">
      <c r="A981" s="191"/>
      <c r="B981" s="128" t="s">
        <v>400</v>
      </c>
      <c r="C981" s="136" t="s">
        <v>8</v>
      </c>
      <c r="D981" s="194">
        <v>3</v>
      </c>
      <c r="E981" s="271"/>
      <c r="F981" s="309"/>
      <c r="G981" s="293">
        <f t="shared" si="171"/>
        <v>0</v>
      </c>
    </row>
    <row r="982" spans="1:7" ht="12.75" customHeight="1" x14ac:dyDescent="0.2">
      <c r="A982" s="191"/>
      <c r="B982" s="128" t="s">
        <v>398</v>
      </c>
      <c r="C982" s="136" t="s">
        <v>8</v>
      </c>
      <c r="D982" s="194">
        <v>5</v>
      </c>
      <c r="E982" s="271"/>
      <c r="F982" s="309"/>
      <c r="G982" s="293">
        <f t="shared" si="171"/>
        <v>0</v>
      </c>
    </row>
    <row r="983" spans="1:7" ht="12.75" customHeight="1" x14ac:dyDescent="0.2">
      <c r="A983" s="191"/>
      <c r="B983" s="195"/>
      <c r="C983" s="136"/>
      <c r="D983" s="137"/>
      <c r="E983" s="271"/>
      <c r="F983" s="309"/>
      <c r="G983" s="293"/>
    </row>
    <row r="984" spans="1:7" ht="12.75" customHeight="1" x14ac:dyDescent="0.2">
      <c r="A984" s="189" t="s">
        <v>508</v>
      </c>
      <c r="B984" s="190" t="s">
        <v>215</v>
      </c>
      <c r="C984" s="196"/>
      <c r="D984" s="197"/>
      <c r="E984" s="271"/>
      <c r="F984" s="309"/>
      <c r="G984" s="293"/>
    </row>
    <row r="985" spans="1:7" ht="12.75" customHeight="1" x14ac:dyDescent="0.2">
      <c r="A985" s="56" t="s">
        <v>161</v>
      </c>
      <c r="B985" s="128" t="s">
        <v>233</v>
      </c>
      <c r="C985" s="166" t="s">
        <v>216</v>
      </c>
      <c r="D985" s="59">
        <v>92</v>
      </c>
      <c r="E985" s="271"/>
      <c r="F985" s="309"/>
      <c r="G985" s="293">
        <f t="shared" ref="G985:G988" si="172">+D985*E985+D985*F985</f>
        <v>0</v>
      </c>
    </row>
    <row r="986" spans="1:7" ht="12.75" customHeight="1" x14ac:dyDescent="0.2">
      <c r="A986" s="56" t="s">
        <v>162</v>
      </c>
      <c r="B986" s="128" t="s">
        <v>232</v>
      </c>
      <c r="C986" s="166" t="s">
        <v>216</v>
      </c>
      <c r="D986" s="59">
        <v>36</v>
      </c>
      <c r="E986" s="271"/>
      <c r="F986" s="309"/>
      <c r="G986" s="293">
        <f t="shared" si="172"/>
        <v>0</v>
      </c>
    </row>
    <row r="987" spans="1:7" ht="12.75" customHeight="1" x14ac:dyDescent="0.2">
      <c r="A987" s="56" t="s">
        <v>173</v>
      </c>
      <c r="B987" s="128" t="s">
        <v>234</v>
      </c>
      <c r="C987" s="166" t="s">
        <v>111</v>
      </c>
      <c r="D987" s="59">
        <v>4</v>
      </c>
      <c r="E987" s="271"/>
      <c r="F987" s="309"/>
      <c r="G987" s="293">
        <f t="shared" si="172"/>
        <v>0</v>
      </c>
    </row>
    <row r="988" spans="1:7" ht="12.75" customHeight="1" x14ac:dyDescent="0.2">
      <c r="A988" s="56" t="s">
        <v>174</v>
      </c>
      <c r="B988" s="128" t="s">
        <v>327</v>
      </c>
      <c r="C988" s="166" t="s">
        <v>111</v>
      </c>
      <c r="D988" s="59">
        <v>3</v>
      </c>
      <c r="E988" s="271"/>
      <c r="F988" s="309"/>
      <c r="G988" s="293">
        <f t="shared" si="172"/>
        <v>0</v>
      </c>
    </row>
    <row r="989" spans="1:7" ht="12.75" customHeight="1" x14ac:dyDescent="0.2">
      <c r="A989" s="56"/>
      <c r="B989" s="128"/>
      <c r="C989" s="166"/>
      <c r="D989" s="59"/>
      <c r="E989" s="271"/>
      <c r="F989" s="309"/>
      <c r="G989" s="293"/>
    </row>
    <row r="990" spans="1:7" ht="12.75" customHeight="1" x14ac:dyDescent="0.2">
      <c r="A990" s="191"/>
      <c r="B990" s="195"/>
      <c r="C990" s="193"/>
      <c r="D990" s="194"/>
      <c r="E990" s="271"/>
      <c r="F990" s="309"/>
      <c r="G990" s="293"/>
    </row>
    <row r="991" spans="1:7" ht="12.75" customHeight="1" thickBot="1" x14ac:dyDescent="0.25">
      <c r="A991" s="191"/>
      <c r="B991" s="195"/>
      <c r="C991" s="193"/>
      <c r="D991" s="194"/>
      <c r="E991" s="271"/>
      <c r="F991" s="309"/>
      <c r="G991" s="293"/>
    </row>
    <row r="992" spans="1:7" x14ac:dyDescent="0.2">
      <c r="A992" s="248"/>
      <c r="B992" s="244" t="s">
        <v>181</v>
      </c>
      <c r="C992" s="367"/>
      <c r="D992" s="368"/>
      <c r="E992" s="369"/>
      <c r="F992" s="353"/>
      <c r="G992" s="354"/>
    </row>
    <row r="993" spans="1:9" ht="12.75" thickBot="1" x14ac:dyDescent="0.25">
      <c r="A993" s="251"/>
      <c r="B993" s="205" t="s">
        <v>127</v>
      </c>
      <c r="C993" s="370"/>
      <c r="D993" s="371"/>
      <c r="E993" s="372"/>
      <c r="F993" s="355"/>
      <c r="G993" s="356">
        <f>SUM(G874:G992)</f>
        <v>0</v>
      </c>
      <c r="I993" s="42"/>
    </row>
    <row r="994" spans="1:9" x14ac:dyDescent="0.2">
      <c r="A994" s="198"/>
      <c r="B994" s="120" t="s">
        <v>299</v>
      </c>
      <c r="C994" s="58"/>
      <c r="D994" s="117"/>
      <c r="E994" s="271"/>
      <c r="F994" s="274"/>
      <c r="G994" s="275"/>
    </row>
    <row r="995" spans="1:9" x14ac:dyDescent="0.2">
      <c r="A995" s="198"/>
      <c r="B995" s="82" t="s">
        <v>439</v>
      </c>
      <c r="C995" s="58"/>
      <c r="D995" s="117"/>
      <c r="E995" s="271"/>
      <c r="F995" s="274"/>
      <c r="G995" s="275"/>
    </row>
    <row r="996" spans="1:9" s="322" customFormat="1" x14ac:dyDescent="0.2">
      <c r="A996" s="376">
        <v>12.1</v>
      </c>
      <c r="B996" s="338" t="s">
        <v>440</v>
      </c>
      <c r="C996" s="129"/>
      <c r="D996" s="341"/>
      <c r="E996" s="271"/>
      <c r="F996" s="274"/>
      <c r="G996" s="275"/>
    </row>
    <row r="997" spans="1:9" ht="72" x14ac:dyDescent="0.2">
      <c r="A997" s="198"/>
      <c r="B997" s="128" t="s">
        <v>441</v>
      </c>
      <c r="C997" s="166"/>
      <c r="D997" s="117"/>
      <c r="E997" s="271"/>
      <c r="F997" s="274"/>
      <c r="G997" s="275"/>
    </row>
    <row r="998" spans="1:9" ht="36" x14ac:dyDescent="0.2">
      <c r="A998" s="198"/>
      <c r="B998" s="128" t="s">
        <v>442</v>
      </c>
      <c r="C998" s="166"/>
      <c r="D998" s="117"/>
      <c r="E998" s="271"/>
      <c r="F998" s="274"/>
      <c r="G998" s="275"/>
    </row>
    <row r="999" spans="1:9" ht="24" x14ac:dyDescent="0.2">
      <c r="A999" s="198"/>
      <c r="B999" s="128" t="s">
        <v>443</v>
      </c>
      <c r="C999" s="166"/>
      <c r="D999" s="117"/>
      <c r="E999" s="271"/>
      <c r="F999" s="274"/>
      <c r="G999" s="275"/>
    </row>
    <row r="1000" spans="1:9" ht="41.25" customHeight="1" x14ac:dyDescent="0.2">
      <c r="A1000" s="198"/>
      <c r="B1000" s="128" t="s">
        <v>444</v>
      </c>
      <c r="C1000" s="166"/>
      <c r="D1000" s="117"/>
      <c r="E1000" s="271"/>
      <c r="F1000" s="274"/>
      <c r="G1000" s="275"/>
    </row>
    <row r="1001" spans="1:9" x14ac:dyDescent="0.2">
      <c r="A1001" s="198">
        <v>12.2</v>
      </c>
      <c r="B1001" s="377" t="s">
        <v>445</v>
      </c>
      <c r="C1001" s="378"/>
      <c r="D1001" s="379"/>
      <c r="E1001" s="305"/>
      <c r="F1001" s="292"/>
      <c r="G1001" s="293"/>
    </row>
    <row r="1002" spans="1:9" ht="24" x14ac:dyDescent="0.2">
      <c r="A1002" s="198"/>
      <c r="B1002" s="128" t="s">
        <v>459</v>
      </c>
      <c r="C1002" s="166"/>
      <c r="D1002" s="117"/>
      <c r="E1002" s="271"/>
      <c r="F1002" s="274"/>
      <c r="G1002" s="275"/>
    </row>
    <row r="1003" spans="1:9" x14ac:dyDescent="0.2">
      <c r="A1003" s="380">
        <v>1</v>
      </c>
      <c r="B1003" s="381" t="s">
        <v>65</v>
      </c>
      <c r="C1003" s="382"/>
      <c r="D1003" s="383"/>
      <c r="E1003" s="305"/>
      <c r="F1003" s="292"/>
      <c r="G1003" s="293"/>
    </row>
    <row r="1004" spans="1:9" x14ac:dyDescent="0.2">
      <c r="A1004" s="384" t="s">
        <v>182</v>
      </c>
      <c r="B1004" s="385" t="s">
        <v>445</v>
      </c>
      <c r="C1004" s="378"/>
      <c r="D1004" s="379"/>
      <c r="E1004" s="305"/>
      <c r="F1004" s="303"/>
      <c r="G1004" s="293"/>
    </row>
    <row r="1005" spans="1:9" ht="24" x14ac:dyDescent="0.2">
      <c r="A1005" s="198" t="s">
        <v>161</v>
      </c>
      <c r="B1005" s="128" t="s">
        <v>446</v>
      </c>
      <c r="C1005" s="166" t="s">
        <v>111</v>
      </c>
      <c r="D1005" s="117">
        <v>1</v>
      </c>
      <c r="E1005" s="271"/>
      <c r="F1005" s="274"/>
      <c r="G1005" s="293">
        <f t="shared" ref="G1005:G1012" si="173">+D1005*E1005+D1005*F1005</f>
        <v>0</v>
      </c>
    </row>
    <row r="1006" spans="1:9" ht="24" x14ac:dyDescent="0.2">
      <c r="A1006" s="198" t="s">
        <v>162</v>
      </c>
      <c r="B1006" s="128" t="s">
        <v>447</v>
      </c>
      <c r="C1006" s="166" t="s">
        <v>111</v>
      </c>
      <c r="D1006" s="117">
        <v>1</v>
      </c>
      <c r="E1006" s="271"/>
      <c r="F1006" s="274"/>
      <c r="G1006" s="293">
        <f t="shared" si="173"/>
        <v>0</v>
      </c>
    </row>
    <row r="1007" spans="1:9" x14ac:dyDescent="0.2">
      <c r="A1007" s="198" t="s">
        <v>173</v>
      </c>
      <c r="B1007" s="128" t="s">
        <v>448</v>
      </c>
      <c r="C1007" s="166" t="s">
        <v>111</v>
      </c>
      <c r="D1007" s="117">
        <v>1</v>
      </c>
      <c r="E1007" s="271"/>
      <c r="F1007" s="274"/>
      <c r="G1007" s="293">
        <f t="shared" si="173"/>
        <v>0</v>
      </c>
    </row>
    <row r="1008" spans="1:9" x14ac:dyDescent="0.2">
      <c r="A1008" s="198" t="s">
        <v>174</v>
      </c>
      <c r="B1008" s="128" t="s">
        <v>449</v>
      </c>
      <c r="C1008" s="166" t="s">
        <v>111</v>
      </c>
      <c r="D1008" s="117">
        <v>5</v>
      </c>
      <c r="E1008" s="271"/>
      <c r="F1008" s="274"/>
      <c r="G1008" s="293">
        <f t="shared" si="173"/>
        <v>0</v>
      </c>
    </row>
    <row r="1009" spans="1:7" x14ac:dyDescent="0.2">
      <c r="A1009" s="198" t="s">
        <v>175</v>
      </c>
      <c r="B1009" s="128" t="s">
        <v>450</v>
      </c>
      <c r="C1009" s="166" t="s">
        <v>111</v>
      </c>
      <c r="D1009" s="117">
        <v>1</v>
      </c>
      <c r="E1009" s="271"/>
      <c r="F1009" s="274"/>
      <c r="G1009" s="293">
        <f t="shared" si="173"/>
        <v>0</v>
      </c>
    </row>
    <row r="1010" spans="1:7" x14ac:dyDescent="0.2">
      <c r="A1010" s="198" t="s">
        <v>176</v>
      </c>
      <c r="B1010" s="128" t="s">
        <v>451</v>
      </c>
      <c r="C1010" s="166" t="s">
        <v>111</v>
      </c>
      <c r="D1010" s="117">
        <v>1</v>
      </c>
      <c r="E1010" s="271"/>
      <c r="F1010" s="274"/>
      <c r="G1010" s="293">
        <f t="shared" si="173"/>
        <v>0</v>
      </c>
    </row>
    <row r="1011" spans="1:7" x14ac:dyDescent="0.2">
      <c r="A1011" s="198" t="s">
        <v>177</v>
      </c>
      <c r="B1011" s="128" t="s">
        <v>452</v>
      </c>
      <c r="C1011" s="166" t="s">
        <v>111</v>
      </c>
      <c r="D1011" s="117">
        <v>6</v>
      </c>
      <c r="E1011" s="271"/>
      <c r="F1011" s="274"/>
      <c r="G1011" s="293">
        <f t="shared" si="173"/>
        <v>0</v>
      </c>
    </row>
    <row r="1012" spans="1:7" x14ac:dyDescent="0.2">
      <c r="A1012" s="198" t="s">
        <v>178</v>
      </c>
      <c r="B1012" s="128" t="s">
        <v>460</v>
      </c>
      <c r="C1012" s="166" t="s">
        <v>0</v>
      </c>
      <c r="D1012" s="117">
        <v>1</v>
      </c>
      <c r="E1012" s="305"/>
      <c r="F1012" s="292"/>
      <c r="G1012" s="293">
        <f t="shared" si="173"/>
        <v>0</v>
      </c>
    </row>
    <row r="1013" spans="1:7" x14ac:dyDescent="0.2">
      <c r="A1013" s="198"/>
      <c r="B1013" s="128"/>
      <c r="C1013" s="166"/>
      <c r="D1013" s="117"/>
      <c r="E1013" s="305"/>
      <c r="F1013" s="292"/>
      <c r="G1013" s="293"/>
    </row>
    <row r="1014" spans="1:7" x14ac:dyDescent="0.2">
      <c r="A1014" s="380">
        <v>2</v>
      </c>
      <c r="B1014" s="381" t="s">
        <v>67</v>
      </c>
      <c r="C1014" s="382"/>
      <c r="D1014" s="383"/>
      <c r="E1014" s="305"/>
      <c r="F1014" s="292"/>
      <c r="G1014" s="293"/>
    </row>
    <row r="1015" spans="1:7" x14ac:dyDescent="0.2">
      <c r="A1015" s="384" t="s">
        <v>182</v>
      </c>
      <c r="B1015" s="385" t="s">
        <v>445</v>
      </c>
      <c r="C1015" s="378"/>
      <c r="D1015" s="379"/>
      <c r="E1015" s="305"/>
      <c r="F1015" s="303"/>
      <c r="G1015" s="293"/>
    </row>
    <row r="1016" spans="1:7" ht="24" x14ac:dyDescent="0.2">
      <c r="A1016" s="198" t="s">
        <v>161</v>
      </c>
      <c r="B1016" s="128" t="s">
        <v>446</v>
      </c>
      <c r="C1016" s="166" t="s">
        <v>111</v>
      </c>
      <c r="D1016" s="117">
        <v>1</v>
      </c>
      <c r="E1016" s="271"/>
      <c r="F1016" s="274"/>
      <c r="G1016" s="293">
        <f t="shared" ref="G1016:G1022" si="174">+D1016*E1016+D1016*F1016</f>
        <v>0</v>
      </c>
    </row>
    <row r="1017" spans="1:7" ht="24" x14ac:dyDescent="0.2">
      <c r="A1017" s="198" t="s">
        <v>162</v>
      </c>
      <c r="B1017" s="128" t="s">
        <v>447</v>
      </c>
      <c r="C1017" s="166" t="s">
        <v>111</v>
      </c>
      <c r="D1017" s="117">
        <v>1</v>
      </c>
      <c r="E1017" s="271"/>
      <c r="F1017" s="274"/>
      <c r="G1017" s="293">
        <f t="shared" si="174"/>
        <v>0</v>
      </c>
    </row>
    <row r="1018" spans="1:7" x14ac:dyDescent="0.2">
      <c r="A1018" s="198" t="s">
        <v>173</v>
      </c>
      <c r="B1018" s="128" t="s">
        <v>448</v>
      </c>
      <c r="C1018" s="166" t="s">
        <v>111</v>
      </c>
      <c r="D1018" s="117">
        <v>1</v>
      </c>
      <c r="E1018" s="271"/>
      <c r="F1018" s="274"/>
      <c r="G1018" s="293">
        <f t="shared" si="174"/>
        <v>0</v>
      </c>
    </row>
    <row r="1019" spans="1:7" x14ac:dyDescent="0.2">
      <c r="A1019" s="198" t="s">
        <v>174</v>
      </c>
      <c r="B1019" s="128" t="s">
        <v>449</v>
      </c>
      <c r="C1019" s="166" t="s">
        <v>111</v>
      </c>
      <c r="D1019" s="117">
        <v>5</v>
      </c>
      <c r="E1019" s="271"/>
      <c r="F1019" s="274"/>
      <c r="G1019" s="293">
        <f t="shared" si="174"/>
        <v>0</v>
      </c>
    </row>
    <row r="1020" spans="1:7" x14ac:dyDescent="0.2">
      <c r="A1020" s="198" t="s">
        <v>175</v>
      </c>
      <c r="B1020" s="128" t="s">
        <v>450</v>
      </c>
      <c r="C1020" s="166" t="s">
        <v>111</v>
      </c>
      <c r="D1020" s="117">
        <v>1</v>
      </c>
      <c r="E1020" s="271"/>
      <c r="F1020" s="274"/>
      <c r="G1020" s="293">
        <f t="shared" si="174"/>
        <v>0</v>
      </c>
    </row>
    <row r="1021" spans="1:7" x14ac:dyDescent="0.2">
      <c r="A1021" s="198" t="s">
        <v>176</v>
      </c>
      <c r="B1021" s="128" t="s">
        <v>452</v>
      </c>
      <c r="C1021" s="166" t="s">
        <v>111</v>
      </c>
      <c r="D1021" s="117">
        <v>7</v>
      </c>
      <c r="E1021" s="271"/>
      <c r="F1021" s="274"/>
      <c r="G1021" s="293">
        <f t="shared" si="174"/>
        <v>0</v>
      </c>
    </row>
    <row r="1022" spans="1:7" x14ac:dyDescent="0.2">
      <c r="A1022" s="198" t="s">
        <v>177</v>
      </c>
      <c r="B1022" s="128" t="s">
        <v>460</v>
      </c>
      <c r="C1022" s="166" t="s">
        <v>0</v>
      </c>
      <c r="D1022" s="117">
        <v>1</v>
      </c>
      <c r="E1022" s="305"/>
      <c r="F1022" s="292"/>
      <c r="G1022" s="293">
        <f t="shared" si="174"/>
        <v>0</v>
      </c>
    </row>
    <row r="1023" spans="1:7" ht="12.75" customHeight="1" x14ac:dyDescent="0.2">
      <c r="A1023" s="203"/>
      <c r="B1023" s="386"/>
      <c r="C1023" s="387"/>
      <c r="D1023" s="117"/>
      <c r="E1023" s="305"/>
      <c r="F1023" s="292"/>
      <c r="G1023" s="293"/>
    </row>
    <row r="1024" spans="1:7" x14ac:dyDescent="0.2">
      <c r="A1024" s="380">
        <v>3</v>
      </c>
      <c r="B1024" s="381" t="s">
        <v>363</v>
      </c>
      <c r="C1024" s="382"/>
      <c r="D1024" s="383"/>
      <c r="E1024" s="305"/>
      <c r="F1024" s="292"/>
      <c r="G1024" s="293"/>
    </row>
    <row r="1025" spans="1:7" x14ac:dyDescent="0.2">
      <c r="A1025" s="384" t="s">
        <v>182</v>
      </c>
      <c r="B1025" s="385" t="s">
        <v>445</v>
      </c>
      <c r="C1025" s="378"/>
      <c r="D1025" s="379"/>
      <c r="E1025" s="305"/>
      <c r="F1025" s="303"/>
      <c r="G1025" s="293"/>
    </row>
    <row r="1026" spans="1:7" ht="24" x14ac:dyDescent="0.2">
      <c r="A1026" s="198" t="s">
        <v>161</v>
      </c>
      <c r="B1026" s="128" t="s">
        <v>446</v>
      </c>
      <c r="C1026" s="166" t="s">
        <v>111</v>
      </c>
      <c r="D1026" s="117">
        <v>1</v>
      </c>
      <c r="E1026" s="271"/>
      <c r="F1026" s="274"/>
      <c r="G1026" s="293">
        <f t="shared" ref="G1026:G1032" si="175">+D1026*E1026+D1026*F1026</f>
        <v>0</v>
      </c>
    </row>
    <row r="1027" spans="1:7" ht="24" x14ac:dyDescent="0.2">
      <c r="A1027" s="198" t="s">
        <v>162</v>
      </c>
      <c r="B1027" s="128" t="s">
        <v>447</v>
      </c>
      <c r="C1027" s="166" t="s">
        <v>111</v>
      </c>
      <c r="D1027" s="117">
        <v>1</v>
      </c>
      <c r="E1027" s="271"/>
      <c r="F1027" s="274"/>
      <c r="G1027" s="293">
        <f t="shared" si="175"/>
        <v>0</v>
      </c>
    </row>
    <row r="1028" spans="1:7" x14ac:dyDescent="0.2">
      <c r="A1028" s="198" t="s">
        <v>173</v>
      </c>
      <c r="B1028" s="128" t="s">
        <v>448</v>
      </c>
      <c r="C1028" s="166" t="s">
        <v>111</v>
      </c>
      <c r="D1028" s="117">
        <v>1</v>
      </c>
      <c r="E1028" s="271"/>
      <c r="F1028" s="274"/>
      <c r="G1028" s="293">
        <f t="shared" si="175"/>
        <v>0</v>
      </c>
    </row>
    <row r="1029" spans="1:7" x14ac:dyDescent="0.2">
      <c r="A1029" s="198" t="s">
        <v>174</v>
      </c>
      <c r="B1029" s="128" t="s">
        <v>449</v>
      </c>
      <c r="C1029" s="166" t="s">
        <v>111</v>
      </c>
      <c r="D1029" s="117">
        <v>5</v>
      </c>
      <c r="E1029" s="271"/>
      <c r="F1029" s="274"/>
      <c r="G1029" s="293">
        <f t="shared" si="175"/>
        <v>0</v>
      </c>
    </row>
    <row r="1030" spans="1:7" x14ac:dyDescent="0.2">
      <c r="A1030" s="198" t="s">
        <v>175</v>
      </c>
      <c r="B1030" s="128" t="s">
        <v>450</v>
      </c>
      <c r="C1030" s="166" t="s">
        <v>111</v>
      </c>
      <c r="D1030" s="117">
        <v>1</v>
      </c>
      <c r="E1030" s="271"/>
      <c r="F1030" s="274"/>
      <c r="G1030" s="293">
        <f t="shared" si="175"/>
        <v>0</v>
      </c>
    </row>
    <row r="1031" spans="1:7" x14ac:dyDescent="0.2">
      <c r="A1031" s="198" t="s">
        <v>176</v>
      </c>
      <c r="B1031" s="128" t="s">
        <v>452</v>
      </c>
      <c r="C1031" s="166" t="s">
        <v>111</v>
      </c>
      <c r="D1031" s="117">
        <v>7</v>
      </c>
      <c r="E1031" s="271"/>
      <c r="F1031" s="274"/>
      <c r="G1031" s="293">
        <f t="shared" si="175"/>
        <v>0</v>
      </c>
    </row>
    <row r="1032" spans="1:7" x14ac:dyDescent="0.2">
      <c r="A1032" s="198" t="s">
        <v>177</v>
      </c>
      <c r="B1032" s="128" t="s">
        <v>460</v>
      </c>
      <c r="C1032" s="166" t="s">
        <v>0</v>
      </c>
      <c r="D1032" s="117">
        <v>1</v>
      </c>
      <c r="E1032" s="305"/>
      <c r="F1032" s="292"/>
      <c r="G1032" s="293">
        <f t="shared" si="175"/>
        <v>0</v>
      </c>
    </row>
    <row r="1033" spans="1:7" ht="12.75" customHeight="1" x14ac:dyDescent="0.2">
      <c r="A1033" s="203"/>
      <c r="B1033" s="386"/>
      <c r="C1033" s="387"/>
      <c r="D1033" s="379"/>
      <c r="E1033" s="305"/>
      <c r="F1033" s="292"/>
      <c r="G1033" s="293"/>
    </row>
    <row r="1034" spans="1:7" x14ac:dyDescent="0.2">
      <c r="A1034" s="380">
        <v>4</v>
      </c>
      <c r="B1034" s="381" t="s">
        <v>409</v>
      </c>
      <c r="C1034" s="382"/>
      <c r="D1034" s="383"/>
      <c r="E1034" s="305"/>
      <c r="F1034" s="292"/>
      <c r="G1034" s="293"/>
    </row>
    <row r="1035" spans="1:7" x14ac:dyDescent="0.2">
      <c r="A1035" s="384" t="s">
        <v>182</v>
      </c>
      <c r="B1035" s="385" t="s">
        <v>445</v>
      </c>
      <c r="C1035" s="378"/>
      <c r="D1035" s="379"/>
      <c r="E1035" s="305"/>
      <c r="F1035" s="303"/>
      <c r="G1035" s="293"/>
    </row>
    <row r="1036" spans="1:7" ht="24" x14ac:dyDescent="0.2">
      <c r="A1036" s="198" t="s">
        <v>161</v>
      </c>
      <c r="B1036" s="128" t="s">
        <v>446</v>
      </c>
      <c r="C1036" s="166" t="s">
        <v>111</v>
      </c>
      <c r="D1036" s="117">
        <v>1</v>
      </c>
      <c r="E1036" s="271"/>
      <c r="F1036" s="274"/>
      <c r="G1036" s="293">
        <f t="shared" ref="G1036:G1042" si="176">+D1036*E1036+D1036*F1036</f>
        <v>0</v>
      </c>
    </row>
    <row r="1037" spans="1:7" ht="24" x14ac:dyDescent="0.2">
      <c r="A1037" s="198" t="s">
        <v>162</v>
      </c>
      <c r="B1037" s="128" t="s">
        <v>447</v>
      </c>
      <c r="C1037" s="166" t="s">
        <v>111</v>
      </c>
      <c r="D1037" s="117">
        <v>1</v>
      </c>
      <c r="E1037" s="271"/>
      <c r="F1037" s="274"/>
      <c r="G1037" s="293">
        <f t="shared" si="176"/>
        <v>0</v>
      </c>
    </row>
    <row r="1038" spans="1:7" x14ac:dyDescent="0.2">
      <c r="A1038" s="198" t="s">
        <v>173</v>
      </c>
      <c r="B1038" s="128" t="s">
        <v>448</v>
      </c>
      <c r="C1038" s="166" t="s">
        <v>111</v>
      </c>
      <c r="D1038" s="117">
        <v>1</v>
      </c>
      <c r="E1038" s="271"/>
      <c r="F1038" s="274"/>
      <c r="G1038" s="293">
        <f t="shared" si="176"/>
        <v>0</v>
      </c>
    </row>
    <row r="1039" spans="1:7" x14ac:dyDescent="0.2">
      <c r="A1039" s="198" t="s">
        <v>174</v>
      </c>
      <c r="B1039" s="128" t="s">
        <v>449</v>
      </c>
      <c r="C1039" s="166" t="s">
        <v>111</v>
      </c>
      <c r="D1039" s="117">
        <v>5</v>
      </c>
      <c r="E1039" s="271"/>
      <c r="F1039" s="274"/>
      <c r="G1039" s="293">
        <f t="shared" si="176"/>
        <v>0</v>
      </c>
    </row>
    <row r="1040" spans="1:7" x14ac:dyDescent="0.2">
      <c r="A1040" s="198" t="s">
        <v>175</v>
      </c>
      <c r="B1040" s="128" t="s">
        <v>450</v>
      </c>
      <c r="C1040" s="166" t="s">
        <v>111</v>
      </c>
      <c r="D1040" s="117">
        <v>1</v>
      </c>
      <c r="E1040" s="271"/>
      <c r="F1040" s="274"/>
      <c r="G1040" s="293">
        <f t="shared" si="176"/>
        <v>0</v>
      </c>
    </row>
    <row r="1041" spans="1:7" x14ac:dyDescent="0.2">
      <c r="A1041" s="198" t="s">
        <v>176</v>
      </c>
      <c r="B1041" s="128" t="s">
        <v>452</v>
      </c>
      <c r="C1041" s="166" t="s">
        <v>111</v>
      </c>
      <c r="D1041" s="117">
        <v>7</v>
      </c>
      <c r="E1041" s="271"/>
      <c r="F1041" s="274"/>
      <c r="G1041" s="293">
        <f t="shared" si="176"/>
        <v>0</v>
      </c>
    </row>
    <row r="1042" spans="1:7" x14ac:dyDescent="0.2">
      <c r="A1042" s="198" t="s">
        <v>177</v>
      </c>
      <c r="B1042" s="128" t="s">
        <v>460</v>
      </c>
      <c r="C1042" s="166" t="s">
        <v>0</v>
      </c>
      <c r="D1042" s="117">
        <v>1</v>
      </c>
      <c r="E1042" s="305"/>
      <c r="F1042" s="292"/>
      <c r="G1042" s="293">
        <f t="shared" si="176"/>
        <v>0</v>
      </c>
    </row>
    <row r="1043" spans="1:7" ht="12.75" customHeight="1" x14ac:dyDescent="0.2">
      <c r="A1043" s="203"/>
      <c r="B1043" s="386"/>
      <c r="C1043" s="387"/>
      <c r="D1043" s="379"/>
      <c r="E1043" s="305"/>
      <c r="F1043" s="292"/>
      <c r="G1043" s="293"/>
    </row>
    <row r="1044" spans="1:7" ht="12.75" customHeight="1" thickBot="1" x14ac:dyDescent="0.25">
      <c r="A1044" s="203"/>
      <c r="B1044" s="386"/>
      <c r="C1044" s="387"/>
      <c r="D1044" s="379"/>
      <c r="E1044" s="305"/>
      <c r="F1044" s="292"/>
      <c r="G1044" s="293"/>
    </row>
    <row r="1045" spans="1:7" ht="12.75" customHeight="1" x14ac:dyDescent="0.2">
      <c r="A1045" s="253"/>
      <c r="B1045" s="244" t="s">
        <v>453</v>
      </c>
      <c r="C1045" s="367"/>
      <c r="D1045" s="373"/>
      <c r="E1045" s="369"/>
      <c r="F1045" s="353"/>
      <c r="G1045" s="354"/>
    </row>
    <row r="1046" spans="1:7" ht="12.75" customHeight="1" thickBot="1" x14ac:dyDescent="0.25">
      <c r="A1046" s="254"/>
      <c r="B1046" s="205" t="s">
        <v>300</v>
      </c>
      <c r="C1046" s="370"/>
      <c r="D1046" s="374"/>
      <c r="E1046" s="372"/>
      <c r="F1046" s="355"/>
      <c r="G1046" s="356">
        <f>SUM(G997:G1045)</f>
        <v>0</v>
      </c>
    </row>
    <row r="1047" spans="1:7" ht="12.75" customHeight="1" x14ac:dyDescent="0.2">
      <c r="A1047" s="198"/>
      <c r="B1047" s="120" t="s">
        <v>309</v>
      </c>
      <c r="C1047" s="58"/>
      <c r="D1047" s="117"/>
      <c r="E1047" s="271"/>
      <c r="F1047" s="274"/>
      <c r="G1047" s="275"/>
    </row>
    <row r="1048" spans="1:7" ht="12.75" customHeight="1" x14ac:dyDescent="0.2">
      <c r="A1048" s="198"/>
      <c r="B1048" s="82" t="s">
        <v>306</v>
      </c>
      <c r="C1048" s="58"/>
      <c r="D1048" s="117"/>
      <c r="E1048" s="271"/>
      <c r="F1048" s="274"/>
      <c r="G1048" s="275"/>
    </row>
    <row r="1049" spans="1:7" ht="12.75" customHeight="1" x14ac:dyDescent="0.2">
      <c r="A1049" s="199">
        <v>13.1</v>
      </c>
      <c r="B1049" s="164" t="s">
        <v>40</v>
      </c>
      <c r="C1049" s="200"/>
      <c r="D1049" s="201"/>
      <c r="E1049" s="271"/>
      <c r="F1049" s="274"/>
      <c r="G1049" s="275"/>
    </row>
    <row r="1050" spans="1:7" ht="12.75" customHeight="1" x14ac:dyDescent="0.2">
      <c r="A1050" s="202"/>
      <c r="B1050" s="164" t="s">
        <v>308</v>
      </c>
      <c r="C1050" s="200"/>
      <c r="D1050" s="201"/>
      <c r="E1050" s="271"/>
      <c r="F1050" s="274"/>
      <c r="G1050" s="275"/>
    </row>
    <row r="1051" spans="1:7" ht="12.75" customHeight="1" x14ac:dyDescent="0.2">
      <c r="A1051" s="198"/>
      <c r="B1051" s="128"/>
      <c r="C1051" s="166"/>
      <c r="D1051" s="117"/>
      <c r="E1051" s="271"/>
      <c r="F1051" s="274"/>
      <c r="G1051" s="275"/>
    </row>
    <row r="1052" spans="1:7" ht="12.75" customHeight="1" x14ac:dyDescent="0.2">
      <c r="A1052" s="198"/>
      <c r="B1052" s="128"/>
      <c r="C1052" s="166"/>
      <c r="D1052" s="117"/>
      <c r="E1052" s="271"/>
      <c r="F1052" s="274"/>
      <c r="G1052" s="275"/>
    </row>
    <row r="1053" spans="1:7" ht="12.75" customHeight="1" x14ac:dyDescent="0.2">
      <c r="A1053" s="198"/>
      <c r="B1053" s="128"/>
      <c r="C1053" s="166"/>
      <c r="D1053" s="117"/>
      <c r="E1053" s="271"/>
      <c r="F1053" s="274"/>
      <c r="G1053" s="275"/>
    </row>
    <row r="1054" spans="1:7" ht="12.75" customHeight="1" x14ac:dyDescent="0.2">
      <c r="A1054" s="198"/>
      <c r="B1054" s="128"/>
      <c r="C1054" s="166"/>
      <c r="D1054" s="117"/>
      <c r="E1054" s="271"/>
      <c r="F1054" s="274"/>
      <c r="G1054" s="275"/>
    </row>
    <row r="1055" spans="1:7" ht="12.75" customHeight="1" x14ac:dyDescent="0.2">
      <c r="A1055" s="198"/>
      <c r="B1055" s="128"/>
      <c r="C1055" s="166"/>
      <c r="D1055" s="117"/>
      <c r="E1055" s="271"/>
      <c r="F1055" s="274"/>
      <c r="G1055" s="275"/>
    </row>
    <row r="1056" spans="1:7" ht="12.75" customHeight="1" x14ac:dyDescent="0.2">
      <c r="A1056" s="198"/>
      <c r="B1056" s="128"/>
      <c r="C1056" s="166"/>
      <c r="D1056" s="117"/>
      <c r="E1056" s="271"/>
      <c r="F1056" s="274"/>
      <c r="G1056" s="293">
        <f t="shared" ref="G1056" si="177">+D1056*E1056+D1056*F1056</f>
        <v>0</v>
      </c>
    </row>
    <row r="1057" spans="1:7" ht="12.75" customHeight="1" x14ac:dyDescent="0.2">
      <c r="A1057" s="198"/>
      <c r="B1057" s="128"/>
      <c r="C1057" s="166"/>
      <c r="D1057" s="117"/>
      <c r="E1057" s="271"/>
      <c r="F1057" s="274"/>
      <c r="G1057" s="275"/>
    </row>
    <row r="1058" spans="1:7" ht="12.75" customHeight="1" x14ac:dyDescent="0.2">
      <c r="A1058" s="198"/>
      <c r="B1058" s="128"/>
      <c r="C1058" s="166"/>
      <c r="D1058" s="117"/>
      <c r="E1058" s="271"/>
      <c r="F1058" s="274"/>
      <c r="G1058" s="275"/>
    </row>
    <row r="1059" spans="1:7" ht="12.75" customHeight="1" x14ac:dyDescent="0.2">
      <c r="A1059" s="198"/>
      <c r="B1059" s="128"/>
      <c r="C1059" s="166"/>
      <c r="D1059" s="117"/>
      <c r="E1059" s="271"/>
      <c r="F1059" s="274"/>
      <c r="G1059" s="275"/>
    </row>
    <row r="1060" spans="1:7" ht="12.75" customHeight="1" x14ac:dyDescent="0.2">
      <c r="A1060" s="198"/>
      <c r="B1060" s="128"/>
      <c r="C1060" s="166"/>
      <c r="D1060" s="117"/>
      <c r="E1060" s="271"/>
      <c r="F1060" s="274"/>
      <c r="G1060" s="275"/>
    </row>
    <row r="1061" spans="1:7" ht="12.75" customHeight="1" x14ac:dyDescent="0.2">
      <c r="A1061" s="198"/>
      <c r="B1061" s="128"/>
      <c r="C1061" s="166"/>
      <c r="D1061" s="117"/>
      <c r="E1061" s="271"/>
      <c r="F1061" s="274"/>
      <c r="G1061" s="275"/>
    </row>
    <row r="1062" spans="1:7" ht="12.75" customHeight="1" x14ac:dyDescent="0.2">
      <c r="A1062" s="198"/>
      <c r="B1062" s="128"/>
      <c r="C1062" s="166"/>
      <c r="D1062" s="117"/>
      <c r="E1062" s="271"/>
      <c r="F1062" s="274"/>
      <c r="G1062" s="275"/>
    </row>
    <row r="1063" spans="1:7" ht="12.75" customHeight="1" x14ac:dyDescent="0.2">
      <c r="A1063" s="198"/>
      <c r="B1063" s="128"/>
      <c r="C1063" s="166"/>
      <c r="D1063" s="117"/>
      <c r="E1063" s="271"/>
      <c r="F1063" s="274"/>
      <c r="G1063" s="275"/>
    </row>
    <row r="1064" spans="1:7" ht="12.75" customHeight="1" x14ac:dyDescent="0.2">
      <c r="A1064" s="198"/>
      <c r="B1064" s="128"/>
      <c r="C1064" s="166"/>
      <c r="D1064" s="117"/>
      <c r="E1064" s="271"/>
      <c r="F1064" s="274"/>
      <c r="G1064" s="275"/>
    </row>
    <row r="1065" spans="1:7" ht="12.75" customHeight="1" x14ac:dyDescent="0.2">
      <c r="A1065" s="198"/>
      <c r="B1065" s="128"/>
      <c r="C1065" s="166"/>
      <c r="D1065" s="117"/>
      <c r="E1065" s="271"/>
      <c r="F1065" s="274"/>
      <c r="G1065" s="275"/>
    </row>
    <row r="1066" spans="1:7" ht="12.75" customHeight="1" x14ac:dyDescent="0.2">
      <c r="A1066" s="198"/>
      <c r="B1066" s="128"/>
      <c r="C1066" s="166"/>
      <c r="D1066" s="117"/>
      <c r="E1066" s="271"/>
      <c r="F1066" s="274"/>
      <c r="G1066" s="275"/>
    </row>
    <row r="1067" spans="1:7" ht="12.75" customHeight="1" x14ac:dyDescent="0.2">
      <c r="A1067" s="198"/>
      <c r="B1067" s="128"/>
      <c r="C1067" s="166"/>
      <c r="D1067" s="117"/>
      <c r="E1067" s="271"/>
      <c r="F1067" s="274"/>
      <c r="G1067" s="275"/>
    </row>
    <row r="1068" spans="1:7" ht="12.75" customHeight="1" x14ac:dyDescent="0.2">
      <c r="A1068" s="198"/>
      <c r="B1068" s="128"/>
      <c r="C1068" s="166"/>
      <c r="D1068" s="117"/>
      <c r="E1068" s="271"/>
      <c r="F1068" s="274"/>
      <c r="G1068" s="275"/>
    </row>
    <row r="1069" spans="1:7" ht="12.75" customHeight="1" x14ac:dyDescent="0.2">
      <c r="A1069" s="198"/>
      <c r="B1069" s="128"/>
      <c r="C1069" s="166"/>
      <c r="D1069" s="117"/>
      <c r="E1069" s="271"/>
      <c r="F1069" s="274"/>
      <c r="G1069" s="275"/>
    </row>
    <row r="1070" spans="1:7" ht="12.75" customHeight="1" x14ac:dyDescent="0.2">
      <c r="A1070" s="198"/>
      <c r="B1070" s="128"/>
      <c r="C1070" s="166"/>
      <c r="D1070" s="117"/>
      <c r="E1070" s="271"/>
      <c r="F1070" s="274"/>
      <c r="G1070" s="275"/>
    </row>
    <row r="1071" spans="1:7" ht="12.75" customHeight="1" x14ac:dyDescent="0.2">
      <c r="A1071" s="198"/>
      <c r="B1071" s="128"/>
      <c r="C1071" s="166"/>
      <c r="D1071" s="117"/>
      <c r="E1071" s="271"/>
      <c r="F1071" s="274"/>
      <c r="G1071" s="275"/>
    </row>
    <row r="1072" spans="1:7" ht="12.75" customHeight="1" x14ac:dyDescent="0.2">
      <c r="A1072" s="198"/>
      <c r="B1072" s="128"/>
      <c r="C1072" s="166"/>
      <c r="D1072" s="117"/>
      <c r="E1072" s="271"/>
      <c r="F1072" s="274"/>
      <c r="G1072" s="275"/>
    </row>
    <row r="1073" spans="1:7" ht="12.75" customHeight="1" x14ac:dyDescent="0.2">
      <c r="A1073" s="198"/>
      <c r="B1073" s="128"/>
      <c r="C1073" s="166"/>
      <c r="D1073" s="117"/>
      <c r="E1073" s="271"/>
      <c r="F1073" s="274"/>
      <c r="G1073" s="275"/>
    </row>
    <row r="1074" spans="1:7" ht="12.75" customHeight="1" x14ac:dyDescent="0.2">
      <c r="A1074" s="198"/>
      <c r="B1074" s="128"/>
      <c r="C1074" s="166"/>
      <c r="D1074" s="117"/>
      <c r="E1074" s="271"/>
      <c r="F1074" s="274"/>
      <c r="G1074" s="275"/>
    </row>
    <row r="1075" spans="1:7" ht="12.75" customHeight="1" x14ac:dyDescent="0.2">
      <c r="A1075" s="198"/>
      <c r="B1075" s="128"/>
      <c r="C1075" s="166"/>
      <c r="D1075" s="117"/>
      <c r="E1075" s="271"/>
      <c r="F1075" s="274"/>
      <c r="G1075" s="275"/>
    </row>
    <row r="1076" spans="1:7" ht="12.75" customHeight="1" x14ac:dyDescent="0.2">
      <c r="A1076" s="198"/>
      <c r="B1076" s="128"/>
      <c r="C1076" s="166"/>
      <c r="D1076" s="117"/>
      <c r="E1076" s="271"/>
      <c r="F1076" s="274"/>
      <c r="G1076" s="275"/>
    </row>
    <row r="1077" spans="1:7" ht="12.75" customHeight="1" x14ac:dyDescent="0.2">
      <c r="A1077" s="198"/>
      <c r="B1077" s="128"/>
      <c r="C1077" s="166"/>
      <c r="D1077" s="117"/>
      <c r="E1077" s="271"/>
      <c r="F1077" s="274"/>
      <c r="G1077" s="275"/>
    </row>
    <row r="1078" spans="1:7" ht="12.75" customHeight="1" x14ac:dyDescent="0.2">
      <c r="A1078" s="198"/>
      <c r="B1078" s="128"/>
      <c r="C1078" s="166"/>
      <c r="D1078" s="117"/>
      <c r="E1078" s="271"/>
      <c r="F1078" s="274"/>
      <c r="G1078" s="275"/>
    </row>
    <row r="1079" spans="1:7" ht="12.75" customHeight="1" x14ac:dyDescent="0.2">
      <c r="A1079" s="198"/>
      <c r="B1079" s="128"/>
      <c r="C1079" s="166"/>
      <c r="D1079" s="117"/>
      <c r="E1079" s="271"/>
      <c r="F1079" s="274"/>
      <c r="G1079" s="275"/>
    </row>
    <row r="1080" spans="1:7" ht="12.75" customHeight="1" x14ac:dyDescent="0.2">
      <c r="A1080" s="198"/>
      <c r="B1080" s="128"/>
      <c r="C1080" s="166"/>
      <c r="D1080" s="117"/>
      <c r="E1080" s="271"/>
      <c r="F1080" s="274"/>
      <c r="G1080" s="275"/>
    </row>
    <row r="1081" spans="1:7" ht="12.75" customHeight="1" thickBot="1" x14ac:dyDescent="0.25">
      <c r="A1081" s="198"/>
      <c r="B1081" s="128"/>
      <c r="C1081" s="166"/>
      <c r="D1081" s="117"/>
      <c r="E1081" s="271"/>
      <c r="F1081" s="274"/>
      <c r="G1081" s="275"/>
    </row>
    <row r="1082" spans="1:7" ht="12.75" customHeight="1" x14ac:dyDescent="0.2">
      <c r="A1082" s="253"/>
      <c r="B1082" s="244" t="s">
        <v>456</v>
      </c>
      <c r="C1082" s="367"/>
      <c r="D1082" s="373"/>
      <c r="E1082" s="369"/>
      <c r="F1082" s="353"/>
      <c r="G1082" s="354"/>
    </row>
    <row r="1083" spans="1:7" ht="12.75" customHeight="1" thickBot="1" x14ac:dyDescent="0.25">
      <c r="A1083" s="254"/>
      <c r="B1083" s="205" t="s">
        <v>310</v>
      </c>
      <c r="C1083" s="370"/>
      <c r="D1083" s="374"/>
      <c r="E1083" s="372"/>
      <c r="F1083" s="355"/>
      <c r="G1083" s="356">
        <f>SUM(G1048:G1082)</f>
        <v>0</v>
      </c>
    </row>
    <row r="1084" spans="1:7" ht="12.75" customHeight="1" x14ac:dyDescent="0.2">
      <c r="A1084" s="198"/>
      <c r="B1084" s="120" t="s">
        <v>454</v>
      </c>
      <c r="C1084" s="58"/>
      <c r="D1084" s="117"/>
      <c r="E1084" s="271"/>
      <c r="F1084" s="274"/>
      <c r="G1084" s="275"/>
    </row>
    <row r="1085" spans="1:7" ht="12.75" customHeight="1" x14ac:dyDescent="0.2">
      <c r="A1085" s="198"/>
      <c r="B1085" s="82" t="s">
        <v>307</v>
      </c>
      <c r="C1085" s="58"/>
      <c r="D1085" s="117"/>
      <c r="E1085" s="271"/>
      <c r="F1085" s="274"/>
      <c r="G1085" s="275"/>
    </row>
    <row r="1086" spans="1:7" ht="12.75" customHeight="1" x14ac:dyDescent="0.2">
      <c r="A1086" s="199">
        <v>14.1</v>
      </c>
      <c r="B1086" s="164" t="s">
        <v>40</v>
      </c>
      <c r="C1086" s="200"/>
      <c r="D1086" s="201"/>
      <c r="E1086" s="271"/>
      <c r="F1086" s="274"/>
      <c r="G1086" s="275"/>
    </row>
    <row r="1087" spans="1:7" ht="12.75" customHeight="1" x14ac:dyDescent="0.2">
      <c r="A1087" s="203"/>
      <c r="B1087" s="204" t="s">
        <v>328</v>
      </c>
      <c r="C1087" s="163"/>
      <c r="D1087" s="117"/>
      <c r="E1087" s="271"/>
      <c r="F1087" s="274"/>
      <c r="G1087" s="275"/>
    </row>
    <row r="1088" spans="1:7" ht="12.75" customHeight="1" x14ac:dyDescent="0.2">
      <c r="A1088" s="198"/>
      <c r="B1088" s="128"/>
      <c r="C1088" s="166"/>
      <c r="D1088" s="117"/>
      <c r="E1088" s="271"/>
      <c r="F1088" s="274"/>
      <c r="G1088" s="275"/>
    </row>
    <row r="1089" spans="1:7" ht="12.75" customHeight="1" x14ac:dyDescent="0.2">
      <c r="A1089" s="198"/>
      <c r="B1089" s="128"/>
      <c r="C1089" s="166"/>
      <c r="D1089" s="117"/>
      <c r="E1089" s="271"/>
      <c r="F1089" s="274"/>
      <c r="G1089" s="275"/>
    </row>
    <row r="1090" spans="1:7" ht="12.75" customHeight="1" x14ac:dyDescent="0.2">
      <c r="A1090" s="198"/>
      <c r="B1090" s="128"/>
      <c r="C1090" s="166"/>
      <c r="D1090" s="117"/>
      <c r="E1090" s="271"/>
      <c r="F1090" s="274"/>
      <c r="G1090" s="275"/>
    </row>
    <row r="1091" spans="1:7" ht="12.75" customHeight="1" x14ac:dyDescent="0.2">
      <c r="A1091" s="198"/>
      <c r="B1091" s="128"/>
      <c r="C1091" s="166"/>
      <c r="D1091" s="117"/>
      <c r="E1091" s="271"/>
      <c r="F1091" s="274"/>
      <c r="G1091" s="275"/>
    </row>
    <row r="1092" spans="1:7" ht="12.75" customHeight="1" x14ac:dyDescent="0.2">
      <c r="A1092" s="198"/>
      <c r="B1092" s="128"/>
      <c r="C1092" s="166"/>
      <c r="D1092" s="117"/>
      <c r="E1092" s="271"/>
      <c r="F1092" s="274"/>
      <c r="G1092" s="275"/>
    </row>
    <row r="1093" spans="1:7" ht="12.75" customHeight="1" x14ac:dyDescent="0.2">
      <c r="A1093" s="198"/>
      <c r="B1093" s="128"/>
      <c r="C1093" s="166"/>
      <c r="D1093" s="117"/>
      <c r="E1093" s="271"/>
      <c r="F1093" s="274"/>
      <c r="G1093" s="293">
        <f t="shared" ref="G1093" si="178">+D1093*E1093+D1093*F1093</f>
        <v>0</v>
      </c>
    </row>
    <row r="1094" spans="1:7" ht="12.75" customHeight="1" x14ac:dyDescent="0.2">
      <c r="A1094" s="198"/>
      <c r="B1094" s="128"/>
      <c r="C1094" s="166"/>
      <c r="D1094" s="117"/>
      <c r="E1094" s="271"/>
      <c r="F1094" s="274"/>
      <c r="G1094" s="275"/>
    </row>
    <row r="1095" spans="1:7" ht="12.75" customHeight="1" x14ac:dyDescent="0.2">
      <c r="A1095" s="198"/>
      <c r="B1095" s="128"/>
      <c r="C1095" s="166"/>
      <c r="D1095" s="117"/>
      <c r="E1095" s="271"/>
      <c r="F1095" s="274"/>
      <c r="G1095" s="275"/>
    </row>
    <row r="1096" spans="1:7" ht="12.75" customHeight="1" x14ac:dyDescent="0.2">
      <c r="A1096" s="198"/>
      <c r="B1096" s="128"/>
      <c r="C1096" s="166"/>
      <c r="D1096" s="117"/>
      <c r="E1096" s="271"/>
      <c r="F1096" s="274"/>
      <c r="G1096" s="275"/>
    </row>
    <row r="1097" spans="1:7" ht="12.75" customHeight="1" x14ac:dyDescent="0.2">
      <c r="A1097" s="198"/>
      <c r="B1097" s="128"/>
      <c r="C1097" s="166"/>
      <c r="D1097" s="117"/>
      <c r="E1097" s="271"/>
      <c r="F1097" s="274"/>
      <c r="G1097" s="275"/>
    </row>
    <row r="1098" spans="1:7" ht="12.75" customHeight="1" x14ac:dyDescent="0.2">
      <c r="A1098" s="198"/>
      <c r="B1098" s="128"/>
      <c r="C1098" s="166"/>
      <c r="D1098" s="117"/>
      <c r="E1098" s="271"/>
      <c r="F1098" s="274"/>
      <c r="G1098" s="275"/>
    </row>
    <row r="1099" spans="1:7" ht="12.75" customHeight="1" x14ac:dyDescent="0.2">
      <c r="A1099" s="198"/>
      <c r="B1099" s="128"/>
      <c r="C1099" s="166"/>
      <c r="D1099" s="117"/>
      <c r="E1099" s="271"/>
      <c r="F1099" s="274"/>
      <c r="G1099" s="275"/>
    </row>
    <row r="1100" spans="1:7" ht="12.75" customHeight="1" x14ac:dyDescent="0.2">
      <c r="A1100" s="198"/>
      <c r="B1100" s="128"/>
      <c r="C1100" s="166"/>
      <c r="D1100" s="117"/>
      <c r="E1100" s="271"/>
      <c r="F1100" s="274"/>
      <c r="G1100" s="275"/>
    </row>
    <row r="1101" spans="1:7" ht="12.75" customHeight="1" x14ac:dyDescent="0.2">
      <c r="A1101" s="198"/>
      <c r="B1101" s="128"/>
      <c r="C1101" s="166"/>
      <c r="D1101" s="117"/>
      <c r="E1101" s="271"/>
      <c r="F1101" s="274"/>
      <c r="G1101" s="275"/>
    </row>
    <row r="1102" spans="1:7" ht="12.75" customHeight="1" x14ac:dyDescent="0.2">
      <c r="A1102" s="198"/>
      <c r="B1102" s="128"/>
      <c r="C1102" s="166"/>
      <c r="D1102" s="117"/>
      <c r="E1102" s="271"/>
      <c r="F1102" s="274"/>
      <c r="G1102" s="275"/>
    </row>
    <row r="1103" spans="1:7" ht="12.75" customHeight="1" x14ac:dyDescent="0.2">
      <c r="A1103" s="198"/>
      <c r="B1103" s="128"/>
      <c r="C1103" s="166"/>
      <c r="D1103" s="117"/>
      <c r="E1103" s="271"/>
      <c r="F1103" s="274"/>
      <c r="G1103" s="275"/>
    </row>
    <row r="1104" spans="1:7" ht="12.75" customHeight="1" x14ac:dyDescent="0.2">
      <c r="A1104" s="198"/>
      <c r="B1104" s="128"/>
      <c r="C1104" s="166"/>
      <c r="D1104" s="117"/>
      <c r="E1104" s="271"/>
      <c r="F1104" s="274"/>
      <c r="G1104" s="275"/>
    </row>
    <row r="1105" spans="1:7" ht="12.75" customHeight="1" x14ac:dyDescent="0.2">
      <c r="A1105" s="198"/>
      <c r="B1105" s="128"/>
      <c r="C1105" s="166"/>
      <c r="D1105" s="117"/>
      <c r="E1105" s="271"/>
      <c r="F1105" s="274"/>
      <c r="G1105" s="275"/>
    </row>
    <row r="1106" spans="1:7" ht="12.75" customHeight="1" x14ac:dyDescent="0.2">
      <c r="A1106" s="198"/>
      <c r="B1106" s="128"/>
      <c r="C1106" s="166"/>
      <c r="D1106" s="117"/>
      <c r="E1106" s="271"/>
      <c r="F1106" s="274"/>
      <c r="G1106" s="275"/>
    </row>
    <row r="1107" spans="1:7" ht="12.75" customHeight="1" x14ac:dyDescent="0.2">
      <c r="A1107" s="198"/>
      <c r="B1107" s="128"/>
      <c r="C1107" s="166"/>
      <c r="D1107" s="117"/>
      <c r="E1107" s="271"/>
      <c r="F1107" s="274"/>
      <c r="G1107" s="275"/>
    </row>
    <row r="1108" spans="1:7" ht="12.75" customHeight="1" x14ac:dyDescent="0.2">
      <c r="A1108" s="198"/>
      <c r="B1108" s="128"/>
      <c r="C1108" s="166"/>
      <c r="D1108" s="117"/>
      <c r="E1108" s="271"/>
      <c r="F1108" s="274"/>
      <c r="G1108" s="275"/>
    </row>
    <row r="1109" spans="1:7" ht="12.75" customHeight="1" x14ac:dyDescent="0.2">
      <c r="A1109" s="198"/>
      <c r="B1109" s="128"/>
      <c r="C1109" s="166"/>
      <c r="D1109" s="117"/>
      <c r="E1109" s="271"/>
      <c r="F1109" s="274"/>
      <c r="G1109" s="275"/>
    </row>
    <row r="1110" spans="1:7" ht="12.75" customHeight="1" x14ac:dyDescent="0.2">
      <c r="A1110" s="198"/>
      <c r="B1110" s="128"/>
      <c r="C1110" s="166"/>
      <c r="D1110" s="117"/>
      <c r="E1110" s="271"/>
      <c r="F1110" s="274"/>
      <c r="G1110" s="275"/>
    </row>
    <row r="1111" spans="1:7" ht="12.75" customHeight="1" x14ac:dyDescent="0.2">
      <c r="A1111" s="198"/>
      <c r="B1111" s="128"/>
      <c r="C1111" s="166"/>
      <c r="D1111" s="117"/>
      <c r="E1111" s="271"/>
      <c r="F1111" s="274"/>
      <c r="G1111" s="275"/>
    </row>
    <row r="1112" spans="1:7" ht="12.75" customHeight="1" x14ac:dyDescent="0.2">
      <c r="A1112" s="198"/>
      <c r="B1112" s="128"/>
      <c r="C1112" s="166"/>
      <c r="D1112" s="117"/>
      <c r="E1112" s="271"/>
      <c r="F1112" s="274"/>
      <c r="G1112" s="275"/>
    </row>
    <row r="1113" spans="1:7" ht="12.75" customHeight="1" x14ac:dyDescent="0.2">
      <c r="A1113" s="198"/>
      <c r="B1113" s="128"/>
      <c r="C1113" s="166"/>
      <c r="D1113" s="117"/>
      <c r="E1113" s="271"/>
      <c r="F1113" s="274"/>
      <c r="G1113" s="275"/>
    </row>
    <row r="1114" spans="1:7" ht="12.75" customHeight="1" x14ac:dyDescent="0.2">
      <c r="A1114" s="198"/>
      <c r="B1114" s="128"/>
      <c r="C1114" s="166"/>
      <c r="D1114" s="117"/>
      <c r="E1114" s="271"/>
      <c r="F1114" s="274"/>
      <c r="G1114" s="275"/>
    </row>
    <row r="1115" spans="1:7" ht="12.75" customHeight="1" x14ac:dyDescent="0.2">
      <c r="A1115" s="198"/>
      <c r="B1115" s="128"/>
      <c r="C1115" s="166"/>
      <c r="D1115" s="117"/>
      <c r="E1115" s="271"/>
      <c r="F1115" s="274"/>
      <c r="G1115" s="275"/>
    </row>
    <row r="1116" spans="1:7" ht="12.75" customHeight="1" x14ac:dyDescent="0.2">
      <c r="A1116" s="198"/>
      <c r="B1116" s="128"/>
      <c r="C1116" s="166"/>
      <c r="D1116" s="117"/>
      <c r="E1116" s="271"/>
      <c r="F1116" s="274"/>
      <c r="G1116" s="275"/>
    </row>
    <row r="1117" spans="1:7" ht="12.75" customHeight="1" x14ac:dyDescent="0.2">
      <c r="A1117" s="198"/>
      <c r="B1117" s="128"/>
      <c r="C1117" s="166"/>
      <c r="D1117" s="117"/>
      <c r="E1117" s="271"/>
      <c r="F1117" s="274"/>
      <c r="G1117" s="275"/>
    </row>
    <row r="1118" spans="1:7" ht="12.75" customHeight="1" x14ac:dyDescent="0.2">
      <c r="A1118" s="198"/>
      <c r="B1118" s="128"/>
      <c r="C1118" s="166"/>
      <c r="D1118" s="117"/>
      <c r="E1118" s="271"/>
      <c r="F1118" s="274"/>
      <c r="G1118" s="275"/>
    </row>
    <row r="1119" spans="1:7" ht="12.75" customHeight="1" x14ac:dyDescent="0.2">
      <c r="A1119" s="198"/>
      <c r="B1119" s="128"/>
      <c r="C1119" s="166"/>
      <c r="D1119" s="117"/>
      <c r="E1119" s="271"/>
      <c r="F1119" s="274"/>
      <c r="G1119" s="275"/>
    </row>
    <row r="1120" spans="1:7" ht="12.75" customHeight="1" x14ac:dyDescent="0.2">
      <c r="A1120" s="198"/>
      <c r="B1120" s="128"/>
      <c r="C1120" s="166"/>
      <c r="D1120" s="117"/>
      <c r="E1120" s="271"/>
      <c r="F1120" s="274"/>
      <c r="G1120" s="275"/>
    </row>
    <row r="1121" spans="1:7" ht="12.75" customHeight="1" x14ac:dyDescent="0.2">
      <c r="A1121" s="198"/>
      <c r="B1121" s="128"/>
      <c r="C1121" s="166"/>
      <c r="D1121" s="117"/>
      <c r="E1121" s="271"/>
      <c r="F1121" s="274"/>
      <c r="G1121" s="275"/>
    </row>
    <row r="1122" spans="1:7" ht="12.75" customHeight="1" x14ac:dyDescent="0.2">
      <c r="A1122" s="198"/>
      <c r="B1122" s="128"/>
      <c r="C1122" s="166"/>
      <c r="D1122" s="117"/>
      <c r="E1122" s="271"/>
      <c r="F1122" s="274"/>
      <c r="G1122" s="275"/>
    </row>
    <row r="1123" spans="1:7" ht="12.75" customHeight="1" x14ac:dyDescent="0.2">
      <c r="A1123" s="198"/>
      <c r="B1123" s="128"/>
      <c r="C1123" s="166"/>
      <c r="D1123" s="117"/>
      <c r="E1123" s="271"/>
      <c r="F1123" s="274"/>
      <c r="G1123" s="275"/>
    </row>
    <row r="1124" spans="1:7" ht="12.75" customHeight="1" x14ac:dyDescent="0.2">
      <c r="A1124" s="198"/>
      <c r="B1124" s="128"/>
      <c r="C1124" s="166"/>
      <c r="D1124" s="117"/>
      <c r="E1124" s="271"/>
      <c r="F1124" s="274"/>
      <c r="G1124" s="275"/>
    </row>
    <row r="1125" spans="1:7" ht="12.75" customHeight="1" thickBot="1" x14ac:dyDescent="0.25">
      <c r="A1125" s="198"/>
      <c r="B1125" s="128"/>
      <c r="C1125" s="166"/>
      <c r="D1125" s="117"/>
      <c r="E1125" s="271"/>
      <c r="F1125" s="274"/>
      <c r="G1125" s="275"/>
    </row>
    <row r="1126" spans="1:7" ht="12.75" customHeight="1" x14ac:dyDescent="0.2">
      <c r="A1126" s="253"/>
      <c r="B1126" s="244" t="s">
        <v>457</v>
      </c>
      <c r="C1126" s="367"/>
      <c r="D1126" s="373"/>
      <c r="E1126" s="369"/>
      <c r="F1126" s="353"/>
      <c r="G1126" s="354"/>
    </row>
    <row r="1127" spans="1:7" ht="12.75" customHeight="1" thickBot="1" x14ac:dyDescent="0.25">
      <c r="A1127" s="254"/>
      <c r="B1127" s="205" t="s">
        <v>458</v>
      </c>
      <c r="C1127" s="370"/>
      <c r="D1127" s="374"/>
      <c r="E1127" s="372"/>
      <c r="F1127" s="355"/>
      <c r="G1127" s="356">
        <f>SUM(G1088:G1126)</f>
        <v>0</v>
      </c>
    </row>
  </sheetData>
  <mergeCells count="2">
    <mergeCell ref="A1:G1"/>
    <mergeCell ref="E2:G2"/>
  </mergeCells>
  <pageMargins left="0.59055118110236227" right="0.59055118110236227" top="0.59055118110236227" bottom="0.59055118110236227" header="0.23622047244094491" footer="0.23622047244094491"/>
  <pageSetup scale="97" orientation="portrait" horizontalDpi="4294967293" verticalDpi="300" r:id="rId1"/>
  <headerFooter>
    <oddHeader>&amp;L&amp;8Sh.Lhaimagu School&amp;R&amp;8     BILL OF QUANTITIES</oddHeader>
    <oddFooter>Prepared by JP &amp;D&amp;RPage &amp;P</oddFooter>
  </headerFooter>
  <rowBreaks count="27" manualBreakCount="27">
    <brk id="54" max="19" man="1"/>
    <brk id="88" max="6" man="1"/>
    <brk id="130" max="19" man="1"/>
    <brk id="164" max="19" man="1"/>
    <brk id="208" max="19" man="1"/>
    <brk id="239" max="19" man="1"/>
    <brk id="278" max="19" man="1"/>
    <brk id="332" max="19" man="1"/>
    <brk id="376" max="19" man="1"/>
    <brk id="406" max="19" man="1"/>
    <brk id="444" max="19" man="1"/>
    <brk id="479" max="19" man="1"/>
    <brk id="500" max="19" man="1"/>
    <brk id="538" max="19" man="1"/>
    <brk id="608" max="19" man="1"/>
    <brk id="649" max="19" man="1"/>
    <brk id="664" max="19" man="1"/>
    <brk id="706" max="19" man="1"/>
    <brk id="745" max="6" man="1"/>
    <brk id="783" max="19" man="1"/>
    <brk id="814" max="19" man="1"/>
    <brk id="860" max="19" man="1"/>
    <brk id="902" max="19" man="1"/>
    <brk id="954" max="19" man="1"/>
    <brk id="1000" max="6" man="1"/>
    <brk id="1046" max="19" man="1"/>
    <brk id="108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Fathimath Ihudha</cp:lastModifiedBy>
  <cp:lastPrinted>2020-06-25T06:04:12Z</cp:lastPrinted>
  <dcterms:created xsi:type="dcterms:W3CDTF">2011-03-24T06:48:27Z</dcterms:created>
  <dcterms:modified xsi:type="dcterms:W3CDTF">2021-04-01T05:48:18Z</dcterms:modified>
</cp:coreProperties>
</file>