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15" windowWidth="20730" windowHeight="9510" activeTab="2"/>
  </bookViews>
  <sheets>
    <sheet name="COVER SHEET" sheetId="11" r:id="rId1"/>
    <sheet name="SUMMERY" sheetId="5" r:id="rId2"/>
    <sheet name="BOQ" sheetId="6" r:id="rId3"/>
  </sheets>
  <definedNames>
    <definedName name="_xlnm.Print_Titles" localSheetId="2">BOQ!#REF!</definedName>
  </definedNames>
  <calcPr calcId="145621"/>
</workbook>
</file>

<file path=xl/calcChain.xml><?xml version="1.0" encoding="utf-8"?>
<calcChain xmlns="http://schemas.openxmlformats.org/spreadsheetml/2006/main">
  <c r="C138" i="6" l="1"/>
  <c r="C137" i="6"/>
  <c r="C98" i="6"/>
  <c r="C79" i="6"/>
  <c r="C267" i="6" l="1"/>
  <c r="C261" i="6"/>
  <c r="G259" i="6"/>
  <c r="C260" i="6"/>
  <c r="C175" i="6"/>
  <c r="C168" i="6"/>
  <c r="C174" i="6"/>
  <c r="C167" i="6"/>
  <c r="L177" i="6"/>
  <c r="K175" i="6"/>
  <c r="J175" i="6"/>
  <c r="J174" i="6"/>
  <c r="J173" i="6"/>
  <c r="C169" i="6"/>
  <c r="K176" i="6"/>
  <c r="I175" i="6"/>
  <c r="I174" i="6"/>
  <c r="I173" i="6"/>
  <c r="L136" i="6"/>
  <c r="K138" i="6"/>
  <c r="C97" i="6"/>
  <c r="C190" i="6" s="1"/>
  <c r="C78" i="6"/>
  <c r="I136" i="6"/>
  <c r="C131" i="6"/>
  <c r="J131" i="6"/>
  <c r="J130" i="6"/>
  <c r="C128" i="6"/>
  <c r="J125" i="6"/>
  <c r="C111" i="6"/>
  <c r="J110" i="6"/>
  <c r="C110" i="6"/>
  <c r="C127" i="6"/>
  <c r="C124" i="6"/>
  <c r="J122" i="6"/>
  <c r="C123" i="6"/>
  <c r="C113" i="6"/>
  <c r="C112" i="6"/>
  <c r="C116" i="6"/>
  <c r="C115" i="6"/>
  <c r="C121" i="6"/>
  <c r="J121" i="6"/>
  <c r="J115" i="6"/>
  <c r="J112" i="6"/>
  <c r="J111" i="6"/>
  <c r="K110" i="6"/>
  <c r="C102" i="6" l="1"/>
  <c r="J102" i="6"/>
  <c r="C101" i="6"/>
  <c r="J100" i="6"/>
  <c r="C96" i="6"/>
  <c r="C95" i="6"/>
  <c r="C92" i="6" l="1"/>
  <c r="C91" i="6"/>
  <c r="C90" i="6"/>
  <c r="C89" i="6"/>
  <c r="C88" i="6"/>
  <c r="C83" i="6"/>
  <c r="C82" i="6"/>
  <c r="H84" i="6"/>
  <c r="H83" i="6"/>
  <c r="H82" i="6"/>
  <c r="C77" i="6"/>
  <c r="C76" i="6"/>
  <c r="C73" i="6"/>
  <c r="C72" i="6"/>
  <c r="C71" i="6"/>
  <c r="C70" i="6"/>
  <c r="C69" i="6"/>
  <c r="C61" i="6"/>
  <c r="C62" i="6"/>
  <c r="C60" i="6"/>
  <c r="C37" i="6"/>
  <c r="C36" i="6"/>
  <c r="C35" i="6"/>
  <c r="C34" i="6"/>
  <c r="C31" i="6"/>
  <c r="C30" i="6"/>
  <c r="C29" i="6"/>
  <c r="C28" i="6"/>
  <c r="C22" i="6" l="1"/>
  <c r="M25" i="6"/>
  <c r="C21" i="6" l="1"/>
  <c r="C20" i="6"/>
  <c r="C19" i="6"/>
  <c r="C14" i="6" l="1"/>
  <c r="C13" i="6"/>
  <c r="C12" i="6" l="1"/>
  <c r="M8" i="6"/>
  <c r="N10" i="6" s="1"/>
  <c r="M9" i="6"/>
  <c r="M10" i="6"/>
  <c r="B300" i="6" l="1"/>
  <c r="C181" i="6"/>
  <c r="C300" i="6" s="1"/>
  <c r="K167" i="6"/>
  <c r="K170" i="6" s="1"/>
  <c r="J167" i="6"/>
  <c r="I167" i="6"/>
  <c r="I170" i="6" s="1"/>
  <c r="B96" i="6" l="1"/>
  <c r="B95" i="6"/>
  <c r="C186" i="6" l="1"/>
  <c r="C304" i="6" s="1"/>
  <c r="C180" i="6"/>
  <c r="C299" i="6" s="1"/>
  <c r="C185" i="6"/>
  <c r="C179" i="6"/>
  <c r="B77" i="6" l="1"/>
  <c r="B76" i="6"/>
  <c r="B304" i="6" l="1"/>
  <c r="B299" i="6"/>
</calcChain>
</file>

<file path=xl/sharedStrings.xml><?xml version="1.0" encoding="utf-8"?>
<sst xmlns="http://schemas.openxmlformats.org/spreadsheetml/2006/main" count="408" uniqueCount="267">
  <si>
    <t>GROUND WORKS</t>
  </si>
  <si>
    <t>Nos</t>
  </si>
  <si>
    <t>Ground Floor</t>
  </si>
  <si>
    <t>Foundation</t>
  </si>
  <si>
    <t>WALLS</t>
  </si>
  <si>
    <t>nos</t>
  </si>
  <si>
    <t>SUMMERY</t>
  </si>
  <si>
    <t>Bill No</t>
  </si>
  <si>
    <t>Description</t>
  </si>
  <si>
    <t>Amount</t>
  </si>
  <si>
    <t>Item</t>
  </si>
  <si>
    <t>Unit</t>
  </si>
  <si>
    <t>Qty</t>
  </si>
  <si>
    <t>Rate</t>
  </si>
  <si>
    <t>item</t>
  </si>
  <si>
    <t>TOTAL OF BILL No: 01 - Carried over to summary</t>
  </si>
  <si>
    <t>m²</t>
  </si>
  <si>
    <t>m³</t>
  </si>
  <si>
    <t>BILL No: 03</t>
  </si>
  <si>
    <t>CONCRETE</t>
  </si>
  <si>
    <t xml:space="preserve"> </t>
  </si>
  <si>
    <t>3.3.1</t>
  </si>
  <si>
    <t>Roof Level</t>
  </si>
  <si>
    <t>3.4.1</t>
  </si>
  <si>
    <t>3.4.2</t>
  </si>
  <si>
    <t>TOTAL OF BILL No: 03 - Carried over to summary</t>
  </si>
  <si>
    <t>MASONRY AND PLASTERING</t>
  </si>
  <si>
    <t>Ground floor</t>
  </si>
  <si>
    <t>TOTAL OF BILL No: 06 - Carried over to summary</t>
  </si>
  <si>
    <t>DOORS AND WINDOWS</t>
  </si>
  <si>
    <t>TOTAL OF BILL No: 08 - Carried over to summary</t>
  </si>
  <si>
    <t>FINISHES</t>
  </si>
  <si>
    <t>PAINTING</t>
  </si>
  <si>
    <t>HYDRAULICS &amp; DRAINAGE</t>
  </si>
  <si>
    <t>t</t>
  </si>
  <si>
    <t>BILL OF QUANTITIES</t>
  </si>
  <si>
    <t>EXCAVATION</t>
  </si>
  <si>
    <t xml:space="preserve">Note: Excavation quantities are measured to the faces of concrete members. Rates shall include for all additional excavation required to place the formwork/shuttering and dewatering the trenches for the required days. </t>
  </si>
  <si>
    <t>BACK FILLING</t>
  </si>
  <si>
    <t>GENERAL</t>
  </si>
  <si>
    <t>(b) Rates shall include supply of all formwork item including form oil, timber, plywood, nails etc.</t>
  </si>
  <si>
    <t>LEAN CONCRETE</t>
  </si>
  <si>
    <t>Note: Quantity is measured to the edges of concrete members. Rates shall be inclusive of any additional concrete required to place the formwork.</t>
  </si>
  <si>
    <t>REINFORCED CONCRETE</t>
  </si>
  <si>
    <t>REINFORCEMENT</t>
  </si>
  <si>
    <t>PLASTERING</t>
  </si>
  <si>
    <t>FLOOR FINISHES</t>
  </si>
  <si>
    <t>Sanitary Fixtures &amp; Accessories</t>
  </si>
  <si>
    <t>DRAINAGE</t>
  </si>
  <si>
    <t>WALLS / CONCRETE SURFACES</t>
  </si>
  <si>
    <t>ELECTRICAL &amp; SPECIFIC INSTALLATIONS</t>
  </si>
  <si>
    <t>ELECTRICAL BOARDS</t>
  </si>
  <si>
    <t>ELECTRICAL WIRING</t>
  </si>
  <si>
    <t>LIGHTING</t>
  </si>
  <si>
    <t xml:space="preserve">ADDITIONS </t>
  </si>
  <si>
    <t>(a) Rates Shall include for: leveling, grading, triming, compecting to faces of excavation, keep sides plumb, back filling, consolidating and disposing surplus soil.</t>
  </si>
  <si>
    <t>Note:(a) Rates shall include for levelling, grading, trimming, compacting and similar.</t>
  </si>
  <si>
    <t xml:space="preserve">        (b) Ground need to be compected to the requred density by the consultant.</t>
  </si>
  <si>
    <t>DAMP PROOF MEMBRANE</t>
  </si>
  <si>
    <t>Note: Rates shall include for: dressing around and sealing to avoid all penetrations, laps and turnups.</t>
  </si>
  <si>
    <t>(c) Mix ratio for  reinforced concrete shall be 1:2:3 and lean concrete shall be 1:3:6 by volume.</t>
  </si>
  <si>
    <t>Add water proofing compound to concrete mix for walls and cover slab below ground level.</t>
  </si>
  <si>
    <t>Note: In-situ reinforced concrete to:</t>
  </si>
  <si>
    <t>(a)Rates shall include for: blocks, cutting or leaving holes and openings as recesses, building in pipes, conduits, sleeves and similar as required for all trades; leaving surfaces rough or raking out joints for plastering and flashing, bedding  frames.</t>
  </si>
  <si>
    <t>ALL EXTERNAL WALLS</t>
  </si>
  <si>
    <t>ALL INTERNAL WALLS</t>
  </si>
  <si>
    <t>CEMENT SCREED FINISH</t>
  </si>
  <si>
    <t>(a) Rates shall include for locks, latches, closures, push plates, pull handles, bolts, kick plates, hinges,door closer,door stoppers and all door &amp; window hardware.</t>
  </si>
  <si>
    <t>(b) Rates shall include for door frames, mullions, transoms, trims, glazing, tinting, timber panels, boarding, framing, lining, fastenings and all fixings.</t>
  </si>
  <si>
    <t>(c) All Aluminium door abd windows shall be 60-80 micron aluminium.</t>
  </si>
  <si>
    <t>(d) All Timber doors shall Solid timber paneled door with paint finish.</t>
  </si>
  <si>
    <t>Rates for tiling shall include for: fixing, bedding, grouting, pointing, finishing and any other similar works to ensure the required finish.</t>
  </si>
  <si>
    <t>(b) All pipe work and fittings shall be high pressure PVC.</t>
  </si>
  <si>
    <t>(c) Rates shall include for supply and fixing of all pipes.</t>
  </si>
  <si>
    <t xml:space="preserve">(a) Rates shall include for: provision to place in position; casting of all required items and finishing after removal of formwork and  additional concrete required to conform to structural and excavated tolerances. </t>
  </si>
  <si>
    <t>PIPE WORK</t>
  </si>
  <si>
    <t>Note: (a) Rates shall include for excavation, maintaining faces of drain pipe trenches and pits, backfilling, disposal of surplus soil, bends, junctions, reducers, expansion joints and all joints and other incidental materials.</t>
  </si>
  <si>
    <t xml:space="preserve">           (b) All pipework shall be PVC</t>
  </si>
  <si>
    <t>DISCHARGE PIPEWORK</t>
  </si>
  <si>
    <t>All pipe connection from fixtures and upto the inspection chember.</t>
  </si>
  <si>
    <t>Connecting to the Septic tank.</t>
  </si>
  <si>
    <t>INSPECTION CHEMBER</t>
  </si>
  <si>
    <t>(a) Rates shall include for: the provision, erection and removal of scaffolding, preparation, rubbing down between coats and similar work, the protection and/or masking floors, fittings and similar work, removing and replacing door window furniture</t>
  </si>
  <si>
    <t>(a) Design, provide and install electrical network for the entire building complete in accordance to the standerds set by the local governing body 'STELCO'.</t>
  </si>
  <si>
    <t>(b) Rates shall include for: screws, nails, bolts, nuts, standard cable fixing or supporting clips, brackets, straps, rivets, plugs and all incidental accessories</t>
  </si>
  <si>
    <t>(c) Rates for work in trench shall include for: excavation, maintaining faces of excavations, backfilling, compaction, appropriate cable covers, warning tape and disposal of surplus spoil.</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</si>
  <si>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</si>
  <si>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</si>
  <si>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</si>
  <si>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 xml:space="preserve">(g) Rates shall include for supply and complete installation. </t>
  </si>
  <si>
    <t>(h) Three phase power supply.</t>
  </si>
  <si>
    <t>MAIN CONNECTIONS</t>
  </si>
  <si>
    <t>Note: Electrical wiring with copper conductor cable in conduits in walls and concrete  as per government regulations including necessary D-boards at each level.</t>
  </si>
  <si>
    <t>Note: Complete installation, including for all connections, earthing, painting, testing and similar of:</t>
  </si>
  <si>
    <t>Note: All lights shall be of 'PHILIPS brand or equivalent', all switches, sockets etc. shall be 'LEGRAND brand or equivalent'.</t>
  </si>
  <si>
    <t xml:space="preserve">Note: (a)Sanitary fixtures complete including brackets, stop valves, fittings etc. </t>
  </si>
  <si>
    <t xml:space="preserve">         ( e) All pipes shall be of 'UPVC' .</t>
  </si>
  <si>
    <t>Stop Valves</t>
  </si>
  <si>
    <t>Emergency light 2 hours non maintained.</t>
  </si>
  <si>
    <t>FORMWORK</t>
  </si>
  <si>
    <t xml:space="preserve">         (c) The exact length exclusive of laps are given. The rates shall take into account laps and any wastage.</t>
  </si>
  <si>
    <t xml:space="preserve">          (b) All reinforcing bars except 6mm dia bars shall be high strength deformed bars.</t>
  </si>
  <si>
    <t>Timber door units</t>
  </si>
  <si>
    <t>Wiring to Lights and fans.</t>
  </si>
  <si>
    <t xml:space="preserve">OMMITIONS </t>
  </si>
  <si>
    <t>75mm thick ground slab</t>
  </si>
  <si>
    <t xml:space="preserve">Polythene damp proof membrane (500 gauge)  under:- </t>
  </si>
  <si>
    <t>(b) All painting work shall be carried in accordance with the Specifications of "NIPPON PAINT or Equivalent".</t>
  </si>
  <si>
    <t xml:space="preserve">FIRE FIGHTING </t>
  </si>
  <si>
    <t>Provide &amp; install fire fighting equipment inclusive of all necessary connection as per local regulations as described.</t>
  </si>
  <si>
    <t>CO2 Fire Extinguisher(2kg)</t>
  </si>
  <si>
    <t>H2O Water Extinguisher(9ltr, 13A)</t>
  </si>
  <si>
    <t>Bill of Quantities</t>
  </si>
  <si>
    <t>Well compacted earth filling under ground slab</t>
  </si>
  <si>
    <t>Tie Beam</t>
  </si>
  <si>
    <t>Ground Slab</t>
  </si>
  <si>
    <t>Roof Slab</t>
  </si>
  <si>
    <t>150mmhtick solid brick wall</t>
  </si>
  <si>
    <t>Under ground</t>
  </si>
  <si>
    <t>PCC Inspection Chambers (600 x600x600) for  toilets with PVC screening net.</t>
  </si>
  <si>
    <t>Maldives Police Service</t>
  </si>
  <si>
    <t>Male' Rep of Maldives</t>
  </si>
  <si>
    <r>
      <rPr>
        <b/>
        <sz val="11"/>
        <rFont val="Cambria"/>
        <family val="1"/>
      </rPr>
      <t>CLIENT</t>
    </r>
    <r>
      <rPr>
        <sz val="11"/>
        <rFont val="Cambria"/>
        <family val="1"/>
      </rPr>
      <t>: Maldives police service</t>
    </r>
  </si>
  <si>
    <t>Finance Department</t>
  </si>
  <si>
    <t>Internet outlet extension sockets</t>
  </si>
  <si>
    <r>
      <t>m</t>
    </r>
    <r>
      <rPr>
        <vertAlign val="superscript"/>
        <sz val="10"/>
        <rFont val="Cambria"/>
        <family val="1"/>
        <scheme val="major"/>
      </rPr>
      <t>2</t>
    </r>
  </si>
  <si>
    <r>
      <t xml:space="preserve">Note: 20mm Thick cement plastering on all </t>
    </r>
    <r>
      <rPr>
        <b/>
        <sz val="10"/>
        <rFont val="Cambria"/>
        <family val="1"/>
        <scheme val="major"/>
      </rPr>
      <t>EXTERNAL WALLS</t>
    </r>
    <r>
      <rPr>
        <sz val="10"/>
        <rFont val="Cambria"/>
        <family val="1"/>
        <scheme val="major"/>
      </rPr>
      <t xml:space="preserve"> and concrete surface with 1:4 cement mortor mix as specified incl. wire mesh at joints of concrete surfaces and walls ( first, second coats ).</t>
    </r>
  </si>
  <si>
    <r>
      <t xml:space="preserve">Note: 12mm Thick cement plastering on all </t>
    </r>
    <r>
      <rPr>
        <b/>
        <sz val="10"/>
        <rFont val="Cambria"/>
        <family val="1"/>
        <scheme val="major"/>
      </rPr>
      <t>INTERNAL WALLS</t>
    </r>
    <r>
      <rPr>
        <sz val="10"/>
        <rFont val="Cambria"/>
        <family val="1"/>
        <scheme val="major"/>
      </rPr>
      <t xml:space="preserve"> and concrete surface with 1:4 cement mortor mix as specified incl. wire mesh at joints of concrete surfaces and walls ( first, second coats ).</t>
    </r>
  </si>
  <si>
    <r>
      <t xml:space="preserve">Note: Oil based emultion paint system with textured finish on plastered and concrete surfaces of all </t>
    </r>
    <r>
      <rPr>
        <b/>
        <sz val="10"/>
        <rFont val="Cambria"/>
        <family val="1"/>
        <scheme val="major"/>
      </rPr>
      <t>EXTERNAL WALL</t>
    </r>
    <r>
      <rPr>
        <sz val="10"/>
        <rFont val="Cambria"/>
        <family val="1"/>
        <scheme val="major"/>
      </rPr>
      <t>. 1 coat of wall sealer, 1 coat of textured and 2 coat of paint.</t>
    </r>
  </si>
  <si>
    <r>
      <t xml:space="preserve">Note: Emultion paint mat finish  surfaces of all </t>
    </r>
    <r>
      <rPr>
        <b/>
        <sz val="10"/>
        <rFont val="Cambria"/>
        <family val="1"/>
        <scheme val="major"/>
      </rPr>
      <t>INTERNAL WALL</t>
    </r>
    <r>
      <rPr>
        <sz val="10"/>
        <rFont val="Cambria"/>
        <family val="1"/>
        <scheme val="major"/>
      </rPr>
      <t>. 1 coat of wall sealer  and 2 coat of paint.</t>
    </r>
  </si>
  <si>
    <r>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r>
    <r>
      <rPr>
        <sz val="10"/>
        <color indexed="10"/>
        <rFont val="Cambria"/>
        <family val="1"/>
        <scheme val="major"/>
      </rPr>
      <t>.</t>
    </r>
  </si>
  <si>
    <t>TOTAL OF BILL No: 10 - Carried over to summary</t>
  </si>
  <si>
    <t>Provide &amp; install with all necessary wiring, fittings &amp; accessaries IT Network System for the entire building as per drawings, specifications &amp; contractor's shop drawings subject to consultants approval.</t>
  </si>
  <si>
    <t>MASSONRY AND PLASTERING</t>
  </si>
  <si>
    <t>HYDRAULIC AND DRAINAGE</t>
  </si>
  <si>
    <t>ELECTRICAL AND SPESIFIC INSTALLATION</t>
  </si>
  <si>
    <t>ADDITION</t>
  </si>
  <si>
    <t>OMISSION</t>
  </si>
  <si>
    <t>BILL No: 01</t>
  </si>
  <si>
    <t>BILL No: 01 - GROUND WORKS</t>
  </si>
  <si>
    <t>Below ground level and upto 300mm above floor level walls</t>
  </si>
  <si>
    <t>Note: Rates shall include for: all necessary boarding, supports, erecting, framing, temporary cambering, cutting, perforations for reinforcing bars, bolts, straps,Grounds, hangers, pipes and removal of formwork.</t>
  </si>
  <si>
    <t>Note: (a) Rates shall include for: cleaning, fabrication, placing, the provision for all necessary temporary fixings and supports includingGround wire and chair supports, laps and wastage.</t>
  </si>
  <si>
    <t>(b) Mix ratio for Plastering &amp; masonry shall be 1:3 Cement Mortar,Ground rods, compression gap filler, nylon / plastic mesh as specified.</t>
  </si>
  <si>
    <t xml:space="preserve">150mm thick solid brick walls </t>
  </si>
  <si>
    <t>Note: 40mm Thick cement screed on the concrete floor with 1:4 cement mortar mix incl. float finish to receive the tiles.</t>
  </si>
  <si>
    <t>Application of 2 coats of floor paint finish "NIPPON" or Equivalent" on parking area</t>
  </si>
  <si>
    <t>1.4.1</t>
  </si>
  <si>
    <t>1.4.2</t>
  </si>
  <si>
    <r>
      <t xml:space="preserve">Apply 2 coats of Masterseal or similar brush bond </t>
    </r>
    <r>
      <rPr>
        <b/>
        <sz val="10"/>
        <rFont val="Cambria"/>
        <family val="1"/>
        <scheme val="major"/>
      </rPr>
      <t>damp proof membrance</t>
    </r>
    <r>
      <rPr>
        <sz val="10"/>
        <rFont val="Cambria"/>
        <family val="1"/>
        <scheme val="major"/>
      </rPr>
      <t xml:space="preserve">  on all concrete and masonry plastered surfaces below ground level and up to 300mm finished floor level in accordance with manufacturer's instructions.</t>
    </r>
  </si>
  <si>
    <t>2.3.1</t>
  </si>
  <si>
    <t>2.3.2</t>
  </si>
  <si>
    <t>2.4.1</t>
  </si>
  <si>
    <t>2.4.2</t>
  </si>
  <si>
    <t>2.5.1</t>
  </si>
  <si>
    <t>2.5.2</t>
  </si>
  <si>
    <t>BILL No: 02 - CONCRETE</t>
  </si>
  <si>
    <t>TOTAL OF BILL No: 02 - Carried over to summary</t>
  </si>
  <si>
    <t>3.2.1</t>
  </si>
  <si>
    <t>BILL No: 03 - MASONRY AND PLASTERING</t>
  </si>
  <si>
    <t>7.2.1</t>
  </si>
  <si>
    <t>CELL BLOCK</t>
  </si>
  <si>
    <t xml:space="preserve"> at Ga. Gemanafushi Police Station</t>
  </si>
  <si>
    <t xml:space="preserve">Construction of Single Storey </t>
  </si>
  <si>
    <t>125mm thick RCC Roof Slab</t>
  </si>
  <si>
    <t>12 mm dia. bars in slab</t>
  </si>
  <si>
    <t>RCC lintel beams</t>
  </si>
  <si>
    <t>Asper the drawings lintel beams on all doors shown in the sectional drawings with the reinforcement, shuttering, plastering, etc….</t>
  </si>
  <si>
    <t>Walking area walls</t>
  </si>
  <si>
    <t>(e) All GI pipe grill doors should be fillet welded and fixed by anchor bolts to beams and columns</t>
  </si>
  <si>
    <t>GI Pipe door units</t>
  </si>
  <si>
    <t xml:space="preserve">300x300mm  Ceramic tiles on store and guard post </t>
  </si>
  <si>
    <t>Allow for fresh water connection and internal pipework rain water tank to all toilets, supply and laying of all pipes.</t>
  </si>
  <si>
    <t xml:space="preserve">          (b)All sanitary fittings shall be of Stainless Steel. </t>
  </si>
  <si>
    <t xml:space="preserve">         (d) All Taps, drains shall be of stainless steel.</t>
  </si>
  <si>
    <t>SS Water Closets</t>
  </si>
  <si>
    <t>SS Floor drain</t>
  </si>
  <si>
    <t>Single Phase Distribution Board</t>
  </si>
  <si>
    <t>points</t>
  </si>
  <si>
    <t>BILL No: 02</t>
  </si>
  <si>
    <t>2.3.3</t>
  </si>
  <si>
    <t>2.4.3</t>
  </si>
  <si>
    <t>2.5.3</t>
  </si>
  <si>
    <t>2.6.1</t>
  </si>
  <si>
    <t xml:space="preserve">Lintel beams on all doors </t>
  </si>
  <si>
    <t>BILL N0: 04</t>
  </si>
  <si>
    <t>TOTAL OF BILL No: 04 - Carried over to summary</t>
  </si>
  <si>
    <t>BILL N0: 04 -DOORS AND WINDOWS</t>
  </si>
  <si>
    <t>BILL N0: 05</t>
  </si>
  <si>
    <t>5.2.1</t>
  </si>
  <si>
    <t>BILL No: 05 - FINISHES</t>
  </si>
  <si>
    <t>TOTAL OF BILL No: 05 - Carried over to summary</t>
  </si>
  <si>
    <t>BILL No: 06</t>
  </si>
  <si>
    <t>6.2.1</t>
  </si>
  <si>
    <t>6.2.2</t>
  </si>
  <si>
    <t>BILL No: 06 - PAINTING</t>
  </si>
  <si>
    <t>BILL No: 7</t>
  </si>
  <si>
    <t>BILL No: 7 - HYDRAULIC AND DRAINAGE</t>
  </si>
  <si>
    <t>TOTAL OF BILL No: 7 - Carried over to summary</t>
  </si>
  <si>
    <t>BILL No: 8</t>
  </si>
  <si>
    <t>BILL No: 08 - ELECTRICAL</t>
  </si>
  <si>
    <t>BILL No: 09</t>
  </si>
  <si>
    <t>BILL No: 09 -ADDITIONS</t>
  </si>
  <si>
    <t>TOTAL OF BILL No: 09 - Carried over to summary</t>
  </si>
  <si>
    <t>BILL No:10</t>
  </si>
  <si>
    <t>BILL No: 10 -OMISSIONS</t>
  </si>
  <si>
    <t xml:space="preserve">Prepared By: </t>
  </si>
  <si>
    <t>Police Station Inspactor Ismail Rafeeu (1676)</t>
  </si>
  <si>
    <t>Infrastructure Management Section</t>
  </si>
  <si>
    <t>Infrastructure Unit</t>
  </si>
  <si>
    <r>
      <t xml:space="preserve">Date: 09 </t>
    </r>
    <r>
      <rPr>
        <vertAlign val="superscript"/>
        <sz val="11"/>
        <rFont val="Cambria"/>
        <family val="1"/>
      </rPr>
      <t>th</t>
    </r>
    <r>
      <rPr>
        <sz val="11"/>
        <rFont val="Cambria"/>
        <family val="1"/>
      </rPr>
      <t xml:space="preserve"> September 2015</t>
    </r>
  </si>
  <si>
    <r>
      <rPr>
        <b/>
        <sz val="11"/>
        <rFont val="Cambria"/>
        <family val="1"/>
      </rPr>
      <t>PROJECT</t>
    </r>
    <r>
      <rPr>
        <sz val="11"/>
        <rFont val="Cambria"/>
        <family val="1"/>
      </rPr>
      <t>: Construction of Ha. Hoarafushi Police Station / Boundary wall</t>
    </r>
  </si>
  <si>
    <r>
      <rPr>
        <b/>
        <sz val="11"/>
        <rFont val="Cambria"/>
        <family val="1"/>
      </rPr>
      <t>LOCATION</t>
    </r>
    <r>
      <rPr>
        <sz val="11"/>
        <rFont val="Cambria"/>
        <family val="1"/>
      </rPr>
      <t>:  Ha. Hoarafushi</t>
    </r>
  </si>
  <si>
    <t xml:space="preserve">GRAND TOTAL CARRIED OVER TO SUMMARY </t>
  </si>
  <si>
    <t>Excavation for Tie beam (TB)</t>
  </si>
  <si>
    <t>Excavation Footing (F1) 1000x1000x300mm</t>
  </si>
  <si>
    <t>Excavation Footing (F2) 750x750x300mm</t>
  </si>
  <si>
    <t>Earth filling for Footing (F2)</t>
  </si>
  <si>
    <t>Earth filling for Footing (F1)</t>
  </si>
  <si>
    <t>Footing (F2)</t>
  </si>
  <si>
    <t>Footing (F1)</t>
  </si>
  <si>
    <t>50mm thick lean concrete to bottom of Footings F1</t>
  </si>
  <si>
    <t>50mm thick lean concrete to bottom of Footings F2</t>
  </si>
  <si>
    <t xml:space="preserve"> Footing (F2) 750x750x300mm</t>
  </si>
  <si>
    <t>Footing (F1) 1000x1000x300mm</t>
  </si>
  <si>
    <t>Columns C1, (200x200mm)</t>
  </si>
  <si>
    <t>Columns C2, (150x150mm)</t>
  </si>
  <si>
    <t xml:space="preserve"> up to floor level </t>
  </si>
  <si>
    <t>Attached Beams RB, (200x350mm)</t>
  </si>
  <si>
    <t>16 mm dia. bars in Tie Beam</t>
  </si>
  <si>
    <t>6mm dia. bars in Tie Beam</t>
  </si>
  <si>
    <t>12 mm dia. bars in Footing (F2) 750x750x300mm</t>
  </si>
  <si>
    <t>12 mm dia. bars in Footing (F1) 1000x1000x300mm</t>
  </si>
  <si>
    <t>6mm dia. bars in Columns C1, (200x200mm)</t>
  </si>
  <si>
    <t>12 mm dia. bars in Columns C1, (200x200mm)</t>
  </si>
  <si>
    <t xml:space="preserve"> 10 mm dia. bars in 75mm thick ground slab</t>
  </si>
  <si>
    <t>Roof Beam (RB)</t>
  </si>
  <si>
    <t>16 mm dia. bars in Roof Beam (RB)</t>
  </si>
  <si>
    <t>6 mm dia. bars in Roof Beam (RB)</t>
  </si>
  <si>
    <t>Columns C1 &amp; C2</t>
  </si>
  <si>
    <t xml:space="preserve">6mm dia. bars in Columns </t>
  </si>
  <si>
    <t xml:space="preserve">12 mm dia. bars in Columns </t>
  </si>
  <si>
    <t>10 mm dia. bars in lintel beam (150x150mm)</t>
  </si>
  <si>
    <t>6mm dia. bars in lintel beam (150x150mm)</t>
  </si>
  <si>
    <t>lintel beam (150x150mm)</t>
  </si>
  <si>
    <t>Earth filling for Tie Beam</t>
  </si>
  <si>
    <t>TieBeam</t>
  </si>
  <si>
    <t>50mm thick lean concrete to bottom of TieBeam</t>
  </si>
  <si>
    <t>Door CD1 (1350x2050mm)</t>
  </si>
  <si>
    <t>Door GV  (700x700mm)</t>
  </si>
  <si>
    <t>Door D2  (900x2100mm)</t>
  </si>
  <si>
    <t>Low level PVC taps</t>
  </si>
  <si>
    <t>Cleaning eye</t>
  </si>
  <si>
    <t>Allow for connection to electrical mains from main panel board to cell distribution boards.</t>
  </si>
  <si>
    <t>1x13 Amp Socket out let</t>
  </si>
  <si>
    <t>1x15 Amp Socket out let</t>
  </si>
  <si>
    <t xml:space="preserve"> down light with 20W energy saving light</t>
  </si>
  <si>
    <t>Wall mount eve light with 20W energy saving light</t>
  </si>
  <si>
    <t>One way switch 1.2m (5gang)</t>
  </si>
  <si>
    <t>One way switch 1.2m (2gang)</t>
  </si>
  <si>
    <t xml:space="preserve">Fan with Regulator </t>
  </si>
  <si>
    <t>WATER PROOFING</t>
  </si>
  <si>
    <t>Rates shall include for: dressing around and sealing to all penetrations.</t>
  </si>
  <si>
    <t>Apply 2 coats Master seal 550 or equivalent type water proofing material to the surface of roof slab in accordance with the specifications and manufacturer's instruction.</t>
  </si>
  <si>
    <t>Wiring to Socket outlets &amp; switch.</t>
  </si>
  <si>
    <t>IT NETWORK &amp; landline</t>
  </si>
  <si>
    <t>Phone extension sockets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</si>
</sst>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0.0"/>
    <numFmt numFmtId="165" formatCode="\(0\)"/>
    <numFmt numFmtId="166" formatCode="[$-409]d\-mmm\-yy;@"/>
    <numFmt numFmtId="167" formatCode="_(* #,##0_);_(* \(#,##0\);_(* &quot;-&quot;??_);_(@_)"/>
    <numFmt numFmtId="168" formatCode="_(* #,##0_);_(* \(#,##0\);_(* &quot;&quot;??_);_(@_)"/>
    <numFmt numFmtId="169" formatCode="#,##0.0_);[Red]\(#,##0.0\)"/>
    <numFmt numFmtId="170" formatCode="0.000"/>
    <numFmt numFmtId="171" formatCode="#,##0.000_);[Red]\(#,##0.000\)"/>
  </numFmts>
  <fonts count="44" x14ac:knownFonts="1">
    <font>
      <sz val="11"/>
      <color theme="1"/>
      <name val="Calibri"/>
      <family val="2"/>
      <scheme val="minor"/>
    </font>
    <font>
      <sz val="10"/>
      <name val="Arial"/>
      <family val="2"/>
    </font>
    <font>
      <sz val="10"/>
      <name val="Arial"/>
      <family val="2"/>
    </font>
    <font>
      <sz val="11"/>
      <color theme="1"/>
      <name val="Calibri"/>
      <family val="2"/>
      <scheme val="minor"/>
    </font>
    <font>
      <sz val="10"/>
      <name val="MS Sans Serif"/>
      <family val="2"/>
    </font>
    <font>
      <sz val="10"/>
      <name val="Times New Roman"/>
      <family val="1"/>
    </font>
    <font>
      <sz val="11"/>
      <name val="Cambria"/>
      <family val="1"/>
    </font>
    <font>
      <b/>
      <sz val="11"/>
      <name val="Cambria"/>
      <family val="1"/>
    </font>
    <font>
      <i/>
      <sz val="12"/>
      <name val="Cambria"/>
      <family val="1"/>
    </font>
    <font>
      <i/>
      <sz val="10"/>
      <name val="Cambria"/>
      <family val="1"/>
    </font>
    <font>
      <b/>
      <u/>
      <sz val="16"/>
      <name val="Cambria"/>
      <family val="1"/>
    </font>
    <font>
      <sz val="10"/>
      <name val="Cambria"/>
      <family val="1"/>
    </font>
    <font>
      <b/>
      <sz val="14"/>
      <name val="Cambria"/>
      <family val="1"/>
    </font>
    <font>
      <sz val="14"/>
      <name val="Cambria"/>
      <family val="1"/>
    </font>
    <font>
      <b/>
      <sz val="10"/>
      <name val="Lucida Sans"/>
      <family val="2"/>
    </font>
    <font>
      <sz val="10"/>
      <name val="Lucida Sans"/>
      <family val="2"/>
    </font>
    <font>
      <sz val="10"/>
      <name val="Cambria"/>
      <family val="1"/>
      <scheme val="major"/>
    </font>
    <font>
      <b/>
      <sz val="10"/>
      <name val="Cambria"/>
      <family val="1"/>
      <scheme val="major"/>
    </font>
    <font>
      <b/>
      <u/>
      <sz val="14"/>
      <name val="Cambria"/>
      <family val="1"/>
      <scheme val="major"/>
    </font>
    <font>
      <b/>
      <u/>
      <sz val="10"/>
      <name val="Cambria"/>
      <family val="1"/>
      <scheme val="major"/>
    </font>
    <font>
      <vertAlign val="superscript"/>
      <sz val="10"/>
      <name val="Cambria"/>
      <family val="1"/>
      <scheme val="major"/>
    </font>
    <font>
      <i/>
      <u/>
      <sz val="10"/>
      <name val="Cambria"/>
      <family val="1"/>
      <scheme val="major"/>
    </font>
    <font>
      <sz val="10"/>
      <color rgb="FF000000"/>
      <name val="Cambria"/>
      <family val="1"/>
      <scheme val="major"/>
    </font>
    <font>
      <sz val="10"/>
      <color indexed="10"/>
      <name val="Cambria"/>
      <family val="1"/>
      <scheme val="major"/>
    </font>
    <font>
      <u/>
      <sz val="10"/>
      <name val="Cambria"/>
      <family val="1"/>
      <scheme val="major"/>
    </font>
    <font>
      <b/>
      <sz val="10"/>
      <color theme="0"/>
      <name val="Cambria"/>
      <family val="1"/>
      <scheme val="major"/>
    </font>
    <font>
      <sz val="10"/>
      <color theme="0"/>
      <name val="Cambria"/>
      <family val="1"/>
      <scheme val="major"/>
    </font>
    <font>
      <sz val="10"/>
      <color rgb="FFFF0000"/>
      <name val="Cambria"/>
      <family val="1"/>
      <scheme val="major"/>
    </font>
    <font>
      <sz val="10"/>
      <name val="MS Sans Serif"/>
      <family val="2"/>
    </font>
    <font>
      <b/>
      <sz val="10"/>
      <color rgb="FFFF0000"/>
      <name val="Cambria"/>
      <family val="1"/>
      <scheme val="major"/>
    </font>
    <font>
      <vertAlign val="superscript"/>
      <sz val="11"/>
      <name val="Cambria"/>
      <family val="1"/>
    </font>
    <font>
      <sz val="12"/>
      <name val="Cambria"/>
      <family val="1"/>
    </font>
    <font>
      <b/>
      <sz val="12"/>
      <name val="Cambria"/>
      <family val="1"/>
    </font>
    <font>
      <sz val="12"/>
      <color indexed="8"/>
      <name val="Cambria"/>
      <family val="1"/>
    </font>
    <font>
      <sz val="12"/>
      <color indexed="9"/>
      <name val="Cambria"/>
      <family val="1"/>
    </font>
    <font>
      <b/>
      <u val="doubleAccounting"/>
      <sz val="12"/>
      <color indexed="8"/>
      <name val="Cambria"/>
      <family val="1"/>
    </font>
    <font>
      <sz val="11"/>
      <color theme="1"/>
      <name val="Copperplate Gothic Bold"/>
      <family val="2"/>
    </font>
    <font>
      <b/>
      <sz val="26"/>
      <color theme="1"/>
      <name val="Copperplate Gothic Bold"/>
      <family val="2"/>
    </font>
    <font>
      <sz val="18"/>
      <color theme="1"/>
      <name val="Copperplate Gothic Bold"/>
      <family val="2"/>
    </font>
    <font>
      <b/>
      <u/>
      <sz val="18"/>
      <color theme="1"/>
      <name val="Copperplate Gothic Bold"/>
      <family val="2"/>
    </font>
    <font>
      <b/>
      <u/>
      <sz val="11"/>
      <color rgb="FFFF0000"/>
      <name val="Segoe Script"/>
      <family val="2"/>
    </font>
    <font>
      <b/>
      <sz val="10"/>
      <color rgb="FFFF0000"/>
      <name val="Segoe Script"/>
      <family val="2"/>
    </font>
    <font>
      <sz val="10"/>
      <color rgb="FFFF0000"/>
      <name val="Segoe Script"/>
      <family val="2"/>
    </font>
    <font>
      <sz val="11"/>
      <name val="Cambria"/>
      <family val="1"/>
      <scheme val="major"/>
    </font>
  </fonts>
  <fills count="6">
    <fill>
      <patternFill patternType="none"/>
    </fill>
    <fill>
      <patternFill patternType="gray125"/>
    </fill>
    <fill>
      <patternFill patternType="gray0625"/>
    </fill>
    <fill>
      <patternFill patternType="solid">
        <fgColor indexed="65"/>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thin">
        <color indexed="64"/>
      </left>
      <right/>
      <top/>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style="hair">
        <color indexed="64"/>
      </left>
      <right/>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11">
    <xf numFmtId="0" fontId="0" fillId="0" borderId="0"/>
    <xf numFmtId="0" fontId="1" fillId="0" borderId="0"/>
    <xf numFmtId="0" fontId="2" fillId="0" borderId="0"/>
    <xf numFmtId="0" fontId="2" fillId="0" borderId="0"/>
    <xf numFmtId="0" fontId="2" fillId="0" borderId="0"/>
    <xf numFmtId="43" fontId="3" fillId="0" borderId="0" applyFont="0" applyFill="0" applyBorder="0" applyAlignment="0" applyProtection="0"/>
    <xf numFmtId="0" fontId="4" fillId="0" borderId="0"/>
    <xf numFmtId="0" fontId="2" fillId="0" borderId="0"/>
    <xf numFmtId="0" fontId="28" fillId="0" borderId="0"/>
    <xf numFmtId="40" fontId="4" fillId="0" borderId="0" applyFont="0" applyFill="0" applyBorder="0" applyProtection="0"/>
    <xf numFmtId="0" fontId="4" fillId="0" borderId="0"/>
  </cellStyleXfs>
  <cellXfs count="230">
    <xf numFmtId="0" fontId="0" fillId="0" borderId="0" xfId="0"/>
    <xf numFmtId="0" fontId="5" fillId="4" borderId="0" xfId="0" applyFont="1" applyFill="1" applyAlignment="1">
      <alignment vertical="top"/>
    </xf>
    <xf numFmtId="2" fontId="6" fillId="4" borderId="0" xfId="0" applyNumberFormat="1" applyFont="1" applyFill="1" applyBorder="1" applyAlignment="1">
      <alignment horizontal="center" vertical="top" wrapText="1"/>
    </xf>
    <xf numFmtId="0" fontId="6" fillId="4" borderId="0" xfId="0" applyFont="1" applyFill="1" applyBorder="1" applyAlignment="1">
      <alignment horizontal="center" vertical="top" wrapText="1"/>
    </xf>
    <xf numFmtId="0" fontId="6" fillId="4" borderId="0" xfId="0" applyFont="1" applyFill="1" applyBorder="1" applyAlignment="1">
      <alignment horizontal="right" vertical="top" wrapText="1"/>
    </xf>
    <xf numFmtId="4" fontId="6" fillId="4" borderId="0" xfId="0" applyNumberFormat="1" applyFont="1" applyFill="1" applyAlignment="1">
      <alignment vertical="top"/>
    </xf>
    <xf numFmtId="0" fontId="6" fillId="4" borderId="0" xfId="0" applyFont="1" applyFill="1" applyAlignment="1">
      <alignment vertical="top"/>
    </xf>
    <xf numFmtId="0" fontId="6" fillId="4" borderId="0" xfId="0" applyFont="1" applyFill="1" applyBorder="1" applyAlignment="1">
      <alignment horizontal="left" vertical="top"/>
    </xf>
    <xf numFmtId="0" fontId="8" fillId="0" borderId="0" xfId="0" applyFont="1"/>
    <xf numFmtId="0" fontId="9" fillId="0" borderId="0" xfId="0" applyFont="1"/>
    <xf numFmtId="43" fontId="9" fillId="0" borderId="0" xfId="5" applyFont="1"/>
    <xf numFmtId="0" fontId="11" fillId="0" borderId="0" xfId="0" applyFont="1"/>
    <xf numFmtId="43" fontId="11" fillId="0" borderId="0" xfId="5" applyFont="1"/>
    <xf numFmtId="0" fontId="12" fillId="2" borderId="8" xfId="0" applyFont="1" applyFill="1" applyBorder="1" applyAlignment="1">
      <alignment horizontal="center" vertical="center"/>
    </xf>
    <xf numFmtId="43" fontId="12" fillId="2" borderId="8" xfId="5" applyFont="1" applyFill="1" applyBorder="1" applyAlignment="1">
      <alignment horizontal="center" vertical="center"/>
    </xf>
    <xf numFmtId="0" fontId="9" fillId="0" borderId="0" xfId="0" applyFont="1" applyAlignment="1">
      <alignment horizontal="center" vertical="center"/>
    </xf>
    <xf numFmtId="0" fontId="14" fillId="4" borderId="0" xfId="0" applyFont="1" applyFill="1" applyBorder="1" applyAlignment="1">
      <alignment vertical="top"/>
    </xf>
    <xf numFmtId="0" fontId="15" fillId="4" borderId="0" xfId="0" applyFont="1" applyFill="1" applyBorder="1" applyAlignment="1">
      <alignment vertical="top"/>
    </xf>
    <xf numFmtId="2" fontId="15" fillId="4" borderId="0" xfId="0" applyNumberFormat="1" applyFont="1" applyFill="1" applyBorder="1" applyAlignment="1">
      <alignment horizontal="center" vertical="top"/>
    </xf>
    <xf numFmtId="0" fontId="15" fillId="4" borderId="0" xfId="0" applyFont="1" applyFill="1" applyBorder="1" applyAlignment="1">
      <alignment horizontal="center" vertical="top"/>
    </xf>
    <xf numFmtId="0" fontId="15" fillId="4" borderId="0" xfId="0" applyFont="1" applyFill="1" applyBorder="1" applyAlignment="1">
      <alignment horizontal="right" vertical="top"/>
    </xf>
    <xf numFmtId="43" fontId="15" fillId="4" borderId="0" xfId="5" applyFont="1" applyFill="1" applyBorder="1" applyAlignment="1">
      <alignment vertical="top"/>
    </xf>
    <xf numFmtId="0" fontId="16" fillId="4" borderId="0" xfId="0" applyFont="1" applyFill="1" applyAlignment="1">
      <alignment vertical="top"/>
    </xf>
    <xf numFmtId="2" fontId="15" fillId="4" borderId="0" xfId="0" applyNumberFormat="1" applyFont="1" applyFill="1" applyBorder="1" applyAlignment="1">
      <alignment horizontal="center"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horizontal="right" vertical="top" wrapText="1"/>
    </xf>
    <xf numFmtId="43" fontId="15" fillId="4" borderId="0" xfId="5" applyFont="1" applyFill="1" applyBorder="1" applyAlignment="1">
      <alignment horizontal="center" vertical="top" wrapText="1"/>
    </xf>
    <xf numFmtId="0" fontId="15" fillId="4" borderId="0" xfId="0" applyFont="1" applyFill="1" applyBorder="1" applyAlignment="1">
      <alignment horizontal="left" vertical="top"/>
    </xf>
    <xf numFmtId="0" fontId="15" fillId="4" borderId="0" xfId="0" applyFont="1" applyFill="1" applyBorder="1" applyAlignment="1">
      <alignment horizontal="left" vertical="top" wrapText="1"/>
    </xf>
    <xf numFmtId="0" fontId="13" fillId="0" borderId="28" xfId="0" applyFont="1" applyBorder="1" applyAlignment="1">
      <alignment horizontal="center" vertical="center"/>
    </xf>
    <xf numFmtId="0" fontId="13" fillId="0" borderId="31" xfId="0" applyFont="1" applyBorder="1" applyAlignment="1">
      <alignment horizontal="center" vertical="center"/>
    </xf>
    <xf numFmtId="0" fontId="13" fillId="3" borderId="32" xfId="0" quotePrefix="1" applyFont="1" applyFill="1" applyBorder="1" applyAlignment="1">
      <alignment horizontal="left" vertical="center"/>
    </xf>
    <xf numFmtId="0" fontId="16" fillId="4" borderId="0" xfId="0" applyFont="1" applyFill="1" applyBorder="1" applyAlignment="1">
      <alignment vertical="top"/>
    </xf>
    <xf numFmtId="2" fontId="16" fillId="4" borderId="0" xfId="0" applyNumberFormat="1" applyFont="1" applyFill="1" applyBorder="1" applyAlignment="1">
      <alignment horizontal="center" vertical="top"/>
    </xf>
    <xf numFmtId="0" fontId="16" fillId="4" borderId="0" xfId="0" applyFont="1" applyFill="1" applyBorder="1" applyAlignment="1">
      <alignment horizontal="center" vertical="top"/>
    </xf>
    <xf numFmtId="4" fontId="16" fillId="4" borderId="0" xfId="0" applyNumberFormat="1" applyFont="1" applyFill="1" applyBorder="1" applyAlignment="1">
      <alignment horizontal="right" vertical="top"/>
    </xf>
    <xf numFmtId="166" fontId="16" fillId="4" borderId="0" xfId="0" applyNumberFormat="1" applyFont="1" applyFill="1" applyBorder="1" applyAlignment="1">
      <alignment horizontal="right" vertical="top"/>
    </xf>
    <xf numFmtId="0" fontId="17" fillId="4" borderId="2" xfId="0" applyFont="1" applyFill="1" applyBorder="1" applyAlignment="1">
      <alignment horizontal="center" vertical="top"/>
    </xf>
    <xf numFmtId="2" fontId="17" fillId="4" borderId="2" xfId="0" applyNumberFormat="1" applyFont="1" applyFill="1" applyBorder="1" applyAlignment="1">
      <alignment horizontal="center" vertical="top"/>
    </xf>
    <xf numFmtId="4" fontId="17" fillId="4" borderId="2" xfId="0" applyNumberFormat="1" applyFont="1" applyFill="1" applyBorder="1" applyAlignment="1">
      <alignment horizontal="center" vertical="top"/>
    </xf>
    <xf numFmtId="40" fontId="17" fillId="4" borderId="10" xfId="5" quotePrefix="1" applyNumberFormat="1" applyFont="1" applyFill="1" applyBorder="1" applyAlignment="1">
      <alignment horizontal="left" vertical="top"/>
    </xf>
    <xf numFmtId="164" fontId="16" fillId="4" borderId="14" xfId="5" applyNumberFormat="1" applyFont="1" applyFill="1" applyBorder="1" applyAlignment="1">
      <alignment horizontal="right" vertical="top"/>
    </xf>
    <xf numFmtId="2" fontId="16" fillId="4" borderId="16" xfId="5" applyNumberFormat="1" applyFont="1" applyFill="1" applyBorder="1" applyAlignment="1">
      <alignment horizontal="center" vertical="top"/>
    </xf>
    <xf numFmtId="167" fontId="16" fillId="4" borderId="16" xfId="5" applyNumberFormat="1" applyFont="1" applyFill="1" applyBorder="1" applyAlignment="1">
      <alignment horizontal="center" vertical="top"/>
    </xf>
    <xf numFmtId="40" fontId="16" fillId="4" borderId="23" xfId="5" applyNumberFormat="1" applyFont="1" applyFill="1" applyBorder="1" applyAlignment="1">
      <alignment vertical="top"/>
    </xf>
    <xf numFmtId="40" fontId="16" fillId="4" borderId="0" xfId="5" applyNumberFormat="1" applyFont="1" applyFill="1" applyAlignment="1">
      <alignment vertical="top"/>
    </xf>
    <xf numFmtId="164" fontId="16" fillId="4" borderId="18" xfId="5" applyNumberFormat="1" applyFont="1" applyFill="1" applyBorder="1" applyAlignment="1">
      <alignment horizontal="right" vertical="top"/>
    </xf>
    <xf numFmtId="40" fontId="19" fillId="4" borderId="19" xfId="5" applyNumberFormat="1" applyFont="1" applyFill="1" applyBorder="1" applyAlignment="1">
      <alignment horizontal="center" vertical="top"/>
    </xf>
    <xf numFmtId="2" fontId="16" fillId="4" borderId="19" xfId="5" applyNumberFormat="1" applyFont="1" applyFill="1" applyBorder="1" applyAlignment="1">
      <alignment horizontal="center" vertical="top"/>
    </xf>
    <xf numFmtId="167" fontId="16" fillId="4" borderId="19" xfId="5" applyNumberFormat="1" applyFont="1" applyFill="1" applyBorder="1" applyAlignment="1">
      <alignment horizontal="center" vertical="top"/>
    </xf>
    <xf numFmtId="40" fontId="16" fillId="4" borderId="19" xfId="5" applyNumberFormat="1" applyFont="1" applyFill="1" applyBorder="1" applyAlignment="1">
      <alignment horizontal="right" vertical="top"/>
    </xf>
    <xf numFmtId="40" fontId="16" fillId="4" borderId="21" xfId="5" applyNumberFormat="1" applyFont="1" applyFill="1" applyBorder="1" applyAlignment="1">
      <alignment vertical="top"/>
    </xf>
    <xf numFmtId="164" fontId="17" fillId="4" borderId="18" xfId="5" applyNumberFormat="1" applyFont="1" applyFill="1" applyBorder="1" applyAlignment="1">
      <alignment horizontal="right" vertical="top"/>
    </xf>
    <xf numFmtId="40" fontId="19" fillId="4" borderId="19" xfId="5" applyNumberFormat="1" applyFont="1" applyFill="1" applyBorder="1" applyAlignment="1">
      <alignment horizontal="justify" vertical="top"/>
    </xf>
    <xf numFmtId="40" fontId="19" fillId="4" borderId="19" xfId="5" applyNumberFormat="1" applyFont="1" applyFill="1" applyBorder="1" applyAlignment="1">
      <alignment horizontal="center" vertical="top" wrapText="1"/>
    </xf>
    <xf numFmtId="40" fontId="19" fillId="4" borderId="19" xfId="5" applyNumberFormat="1" applyFont="1" applyFill="1" applyBorder="1" applyAlignment="1">
      <alignment horizontal="left" vertical="top"/>
    </xf>
    <xf numFmtId="40" fontId="16" fillId="4" borderId="19" xfId="5" applyNumberFormat="1" applyFont="1" applyFill="1" applyBorder="1" applyAlignment="1">
      <alignment horizontal="left" vertical="top" wrapText="1"/>
    </xf>
    <xf numFmtId="168" fontId="16" fillId="4" borderId="19" xfId="5" applyNumberFormat="1" applyFont="1" applyFill="1" applyBorder="1" applyAlignment="1">
      <alignment horizontal="center" vertical="top"/>
    </xf>
    <xf numFmtId="40" fontId="16" fillId="4" borderId="19" xfId="5" applyNumberFormat="1" applyFont="1" applyFill="1" applyBorder="1" applyAlignment="1">
      <alignment horizontal="center" vertical="top"/>
    </xf>
    <xf numFmtId="40" fontId="16" fillId="4" borderId="21" xfId="5" applyNumberFormat="1" applyFont="1" applyFill="1" applyBorder="1" applyAlignment="1">
      <alignment horizontal="center" vertical="top"/>
    </xf>
    <xf numFmtId="165" fontId="16" fillId="4" borderId="18" xfId="5" applyNumberFormat="1" applyFont="1" applyFill="1" applyBorder="1" applyAlignment="1">
      <alignment horizontal="right" vertical="top"/>
    </xf>
    <xf numFmtId="40" fontId="16" fillId="4" borderId="19" xfId="5" applyNumberFormat="1" applyFont="1" applyFill="1" applyBorder="1" applyAlignment="1">
      <alignment horizontal="justify" vertical="top"/>
    </xf>
    <xf numFmtId="164" fontId="16" fillId="4" borderId="5" xfId="5" applyNumberFormat="1" applyFont="1" applyFill="1" applyBorder="1" applyAlignment="1">
      <alignment horizontal="right" vertical="top"/>
    </xf>
    <xf numFmtId="40" fontId="17" fillId="4" borderId="15" xfId="5" applyNumberFormat="1" applyFont="1" applyFill="1" applyBorder="1" applyAlignment="1">
      <alignment horizontal="left" vertical="top"/>
    </xf>
    <xf numFmtId="2" fontId="16" fillId="4" borderId="15" xfId="5" applyNumberFormat="1" applyFont="1" applyFill="1" applyBorder="1" applyAlignment="1">
      <alignment horizontal="center" vertical="top"/>
    </xf>
    <xf numFmtId="167" fontId="16" fillId="4" borderId="15" xfId="5" applyNumberFormat="1" applyFont="1" applyFill="1" applyBorder="1" applyAlignment="1">
      <alignment horizontal="center" vertical="top"/>
    </xf>
    <xf numFmtId="40" fontId="16" fillId="4" borderId="15" xfId="5" applyNumberFormat="1" applyFont="1" applyFill="1" applyBorder="1" applyAlignment="1">
      <alignment horizontal="right" vertical="top"/>
    </xf>
    <xf numFmtId="40" fontId="16" fillId="4" borderId="17" xfId="5" applyNumberFormat="1" applyFont="1" applyFill="1" applyBorder="1" applyAlignment="1">
      <alignment vertical="top"/>
    </xf>
    <xf numFmtId="164" fontId="17" fillId="4" borderId="4" xfId="5" applyNumberFormat="1" applyFont="1" applyFill="1" applyBorder="1" applyAlignment="1">
      <alignment horizontal="right" vertical="top"/>
    </xf>
    <xf numFmtId="40" fontId="17" fillId="4" borderId="3" xfId="5" quotePrefix="1" applyNumberFormat="1" applyFont="1" applyFill="1" applyBorder="1" applyAlignment="1">
      <alignment horizontal="left" vertical="top"/>
    </xf>
    <xf numFmtId="2" fontId="17" fillId="4" borderId="3" xfId="5" applyNumberFormat="1" applyFont="1" applyFill="1" applyBorder="1" applyAlignment="1">
      <alignment horizontal="center" vertical="top"/>
    </xf>
    <xf numFmtId="167" fontId="17" fillId="4" borderId="3" xfId="5" applyNumberFormat="1" applyFont="1" applyFill="1" applyBorder="1" applyAlignment="1">
      <alignment horizontal="center" vertical="top"/>
    </xf>
    <xf numFmtId="40" fontId="17" fillId="4" borderId="3" xfId="5" applyNumberFormat="1" applyFont="1" applyFill="1" applyBorder="1" applyAlignment="1">
      <alignment horizontal="right" vertical="top"/>
    </xf>
    <xf numFmtId="40" fontId="17" fillId="4" borderId="25" xfId="5" applyNumberFormat="1" applyFont="1" applyFill="1" applyBorder="1" applyAlignment="1">
      <alignment vertical="top"/>
    </xf>
    <xf numFmtId="164" fontId="17" fillId="4" borderId="13" xfId="5" applyNumberFormat="1" applyFont="1" applyFill="1" applyBorder="1" applyAlignment="1">
      <alignment horizontal="right" vertical="top"/>
    </xf>
    <xf numFmtId="2" fontId="17" fillId="4" borderId="0" xfId="5" applyNumberFormat="1" applyFont="1" applyFill="1" applyBorder="1" applyAlignment="1">
      <alignment horizontal="center" vertical="top"/>
    </xf>
    <xf numFmtId="167" fontId="17" fillId="4" borderId="0" xfId="5" applyNumberFormat="1" applyFont="1" applyFill="1" applyBorder="1" applyAlignment="1">
      <alignment horizontal="center" vertical="top"/>
    </xf>
    <xf numFmtId="40" fontId="17" fillId="4" borderId="0" xfId="5" applyNumberFormat="1" applyFont="1" applyFill="1" applyBorder="1" applyAlignment="1">
      <alignment horizontal="right" vertical="top"/>
    </xf>
    <xf numFmtId="40" fontId="17" fillId="4" borderId="20" xfId="5" applyNumberFormat="1" applyFont="1" applyFill="1" applyBorder="1" applyAlignment="1">
      <alignment horizontal="center" vertical="top"/>
    </xf>
    <xf numFmtId="164" fontId="17" fillId="4" borderId="14" xfId="5" applyNumberFormat="1" applyFont="1" applyFill="1" applyBorder="1" applyAlignment="1">
      <alignment horizontal="right" vertical="top"/>
    </xf>
    <xf numFmtId="40" fontId="19" fillId="4" borderId="16" xfId="5" applyNumberFormat="1" applyFont="1" applyFill="1" applyBorder="1" applyAlignment="1">
      <alignment horizontal="center" vertical="top"/>
    </xf>
    <xf numFmtId="2" fontId="17" fillId="4" borderId="16" xfId="5" applyNumberFormat="1" applyFont="1" applyFill="1" applyBorder="1" applyAlignment="1">
      <alignment horizontal="center" vertical="top"/>
    </xf>
    <xf numFmtId="167" fontId="17" fillId="4" borderId="16" xfId="5" applyNumberFormat="1" applyFont="1" applyFill="1" applyBorder="1" applyAlignment="1">
      <alignment horizontal="center" vertical="top"/>
    </xf>
    <xf numFmtId="40" fontId="17" fillId="4" borderId="16" xfId="5" applyNumberFormat="1" applyFont="1" applyFill="1" applyBorder="1" applyAlignment="1">
      <alignment horizontal="right" vertical="top"/>
    </xf>
    <xf numFmtId="40" fontId="17" fillId="4" borderId="23" xfId="5" applyNumberFormat="1" applyFont="1" applyFill="1" applyBorder="1" applyAlignment="1">
      <alignment vertical="top"/>
    </xf>
    <xf numFmtId="167" fontId="17" fillId="4" borderId="19" xfId="5" applyNumberFormat="1" applyFont="1" applyFill="1" applyBorder="1" applyAlignment="1">
      <alignment horizontal="center" vertical="top"/>
    </xf>
    <xf numFmtId="40" fontId="17" fillId="4" borderId="19" xfId="5" applyNumberFormat="1" applyFont="1" applyFill="1" applyBorder="1" applyAlignment="1">
      <alignment horizontal="right" vertical="top"/>
    </xf>
    <xf numFmtId="40" fontId="17" fillId="4" borderId="21" xfId="5" applyNumberFormat="1" applyFont="1" applyFill="1" applyBorder="1" applyAlignment="1">
      <alignment horizontal="center" vertical="top"/>
    </xf>
    <xf numFmtId="0" fontId="16" fillId="4" borderId="19" xfId="6" applyNumberFormat="1" applyFont="1" applyFill="1" applyBorder="1" applyAlignment="1">
      <alignment horizontal="left" vertical="top" wrapText="1"/>
    </xf>
    <xf numFmtId="2" fontId="17" fillId="4" borderId="19" xfId="5" applyNumberFormat="1" applyFont="1" applyFill="1" applyBorder="1" applyAlignment="1">
      <alignment horizontal="center" vertical="top"/>
    </xf>
    <xf numFmtId="40" fontId="17" fillId="4" borderId="21" xfId="5" applyNumberFormat="1" applyFont="1" applyFill="1" applyBorder="1" applyAlignment="1">
      <alignment vertical="top"/>
    </xf>
    <xf numFmtId="40" fontId="16" fillId="4" borderId="19" xfId="5" applyNumberFormat="1" applyFont="1" applyFill="1" applyBorder="1" applyAlignment="1">
      <alignment horizontal="justify" vertical="top" wrapText="1"/>
    </xf>
    <xf numFmtId="40" fontId="16" fillId="4" borderId="19" xfId="5" applyNumberFormat="1" applyFont="1" applyFill="1" applyBorder="1" applyAlignment="1">
      <alignment horizontal="left" vertical="top"/>
    </xf>
    <xf numFmtId="40" fontId="16" fillId="4" borderId="19" xfId="5" quotePrefix="1" applyNumberFormat="1" applyFont="1" applyFill="1" applyBorder="1" applyAlignment="1">
      <alignment horizontal="left" vertical="top"/>
    </xf>
    <xf numFmtId="165" fontId="16" fillId="4" borderId="13" xfId="5" applyNumberFormat="1" applyFont="1" applyFill="1" applyBorder="1" applyAlignment="1">
      <alignment horizontal="right" vertical="top"/>
    </xf>
    <xf numFmtId="40" fontId="17" fillId="4" borderId="19" xfId="5" applyNumberFormat="1" applyFont="1" applyFill="1" applyBorder="1" applyAlignment="1">
      <alignment horizontal="center" vertical="top"/>
    </xf>
    <xf numFmtId="40" fontId="16" fillId="4" borderId="0" xfId="5" applyNumberFormat="1" applyFont="1" applyFill="1" applyBorder="1" applyAlignment="1">
      <alignment vertical="top"/>
    </xf>
    <xf numFmtId="40" fontId="16" fillId="4" borderId="26" xfId="5" applyNumberFormat="1" applyFont="1" applyFill="1" applyBorder="1" applyAlignment="1">
      <alignment horizontal="justify" vertical="top"/>
    </xf>
    <xf numFmtId="2" fontId="16" fillId="4" borderId="26" xfId="5" applyNumberFormat="1" applyFont="1" applyFill="1" applyBorder="1" applyAlignment="1">
      <alignment horizontal="center" vertical="top"/>
    </xf>
    <xf numFmtId="40" fontId="16" fillId="4" borderId="26" xfId="5" applyNumberFormat="1" applyFont="1" applyFill="1" applyBorder="1" applyAlignment="1">
      <alignment horizontal="center" vertical="top"/>
    </xf>
    <xf numFmtId="40" fontId="16" fillId="4" borderId="26" xfId="5" applyNumberFormat="1" applyFont="1" applyFill="1" applyBorder="1" applyAlignment="1">
      <alignment horizontal="right" vertical="top"/>
    </xf>
    <xf numFmtId="40" fontId="16" fillId="4" borderId="21" xfId="5" applyNumberFormat="1" applyFont="1" applyFill="1" applyBorder="1" applyAlignment="1">
      <alignment horizontal="right" vertical="top"/>
    </xf>
    <xf numFmtId="40" fontId="17" fillId="4" borderId="15" xfId="5" quotePrefix="1" applyNumberFormat="1" applyFont="1" applyFill="1" applyBorder="1" applyAlignment="1">
      <alignment horizontal="left" vertical="top"/>
    </xf>
    <xf numFmtId="40" fontId="17" fillId="4" borderId="17" xfId="5" applyNumberFormat="1" applyFont="1" applyFill="1" applyBorder="1" applyAlignment="1">
      <alignment horizontal="center" vertical="top"/>
    </xf>
    <xf numFmtId="164" fontId="16" fillId="4" borderId="4" xfId="5" applyNumberFormat="1" applyFont="1" applyFill="1" applyBorder="1" applyAlignment="1">
      <alignment horizontal="right" vertical="top"/>
    </xf>
    <xf numFmtId="2" fontId="16" fillId="4" borderId="3" xfId="5" applyNumberFormat="1" applyFont="1" applyFill="1" applyBorder="1" applyAlignment="1">
      <alignment horizontal="center" vertical="top"/>
    </xf>
    <xf numFmtId="167" fontId="16" fillId="4" borderId="3" xfId="5" applyNumberFormat="1" applyFont="1" applyFill="1" applyBorder="1" applyAlignment="1">
      <alignment horizontal="center" vertical="top"/>
    </xf>
    <xf numFmtId="40" fontId="16" fillId="4" borderId="3" xfId="5" applyNumberFormat="1" applyFont="1" applyFill="1" applyBorder="1" applyAlignment="1">
      <alignment horizontal="right" vertical="top"/>
    </xf>
    <xf numFmtId="40" fontId="17" fillId="4" borderId="25" xfId="5" applyNumberFormat="1" applyFont="1" applyFill="1" applyBorder="1" applyAlignment="1">
      <alignment horizontal="center" vertical="top"/>
    </xf>
    <xf numFmtId="164" fontId="17" fillId="4" borderId="9" xfId="5" applyNumberFormat="1" applyFont="1" applyFill="1" applyBorder="1" applyAlignment="1">
      <alignment horizontal="right" vertical="top"/>
    </xf>
    <xf numFmtId="167" fontId="17" fillId="4" borderId="10" xfId="5" applyNumberFormat="1" applyFont="1" applyFill="1" applyBorder="1" applyAlignment="1">
      <alignment horizontal="center" vertical="top"/>
    </xf>
    <xf numFmtId="40" fontId="17" fillId="4" borderId="10" xfId="5" applyNumberFormat="1" applyFont="1" applyFill="1" applyBorder="1" applyAlignment="1">
      <alignment horizontal="right" vertical="top"/>
    </xf>
    <xf numFmtId="40" fontId="17" fillId="4" borderId="11" xfId="5" applyNumberFormat="1" applyFont="1" applyFill="1" applyBorder="1" applyAlignment="1">
      <alignment horizontal="center" vertical="top"/>
    </xf>
    <xf numFmtId="40" fontId="16" fillId="4" borderId="16" xfId="5" applyNumberFormat="1" applyFont="1" applyFill="1" applyBorder="1" applyAlignment="1">
      <alignment horizontal="right" vertical="top"/>
    </xf>
    <xf numFmtId="40" fontId="16" fillId="4" borderId="23" xfId="5" applyNumberFormat="1" applyFont="1" applyFill="1" applyBorder="1" applyAlignment="1">
      <alignment horizontal="center" vertical="top"/>
    </xf>
    <xf numFmtId="164" fontId="17" fillId="4" borderId="18" xfId="5" quotePrefix="1" applyNumberFormat="1" applyFont="1" applyFill="1" applyBorder="1" applyAlignment="1">
      <alignment horizontal="right" vertical="top"/>
    </xf>
    <xf numFmtId="40" fontId="16" fillId="4" borderId="19" xfId="5" quotePrefix="1" applyNumberFormat="1" applyFont="1" applyFill="1" applyBorder="1" applyAlignment="1">
      <alignment horizontal="justify" vertical="top"/>
    </xf>
    <xf numFmtId="0" fontId="19" fillId="4" borderId="19" xfId="5" applyNumberFormat="1" applyFont="1" applyFill="1" applyBorder="1" applyAlignment="1">
      <alignment horizontal="left" vertical="top"/>
    </xf>
    <xf numFmtId="0" fontId="16" fillId="4" borderId="19" xfId="5" applyNumberFormat="1" applyFont="1" applyFill="1" applyBorder="1" applyAlignment="1">
      <alignment horizontal="justify" vertical="top"/>
    </xf>
    <xf numFmtId="2" fontId="16" fillId="0" borderId="19" xfId="5" applyNumberFormat="1" applyFont="1" applyFill="1" applyBorder="1" applyAlignment="1">
      <alignment horizontal="center" vertical="top"/>
    </xf>
    <xf numFmtId="40" fontId="16" fillId="4" borderId="24" xfId="5" applyNumberFormat="1" applyFont="1" applyFill="1" applyBorder="1" applyAlignment="1">
      <alignment horizontal="left" vertical="top" wrapText="1"/>
    </xf>
    <xf numFmtId="40" fontId="16" fillId="4" borderId="12" xfId="5" applyNumberFormat="1" applyFont="1" applyFill="1" applyBorder="1" applyAlignment="1">
      <alignment horizontal="center" vertical="top"/>
    </xf>
    <xf numFmtId="2" fontId="16" fillId="4" borderId="18" xfId="5" applyNumberFormat="1" applyFont="1" applyFill="1" applyBorder="1" applyAlignment="1">
      <alignment horizontal="right" vertical="top"/>
    </xf>
    <xf numFmtId="40" fontId="21" fillId="4" borderId="19" xfId="5" applyNumberFormat="1" applyFont="1" applyFill="1" applyBorder="1" applyAlignment="1">
      <alignment horizontal="justify" vertical="top"/>
    </xf>
    <xf numFmtId="40" fontId="16" fillId="4" borderId="0" xfId="5" applyNumberFormat="1" applyFont="1" applyFill="1" applyBorder="1" applyAlignment="1">
      <alignment horizontal="justify" vertical="top"/>
    </xf>
    <xf numFmtId="165" fontId="16" fillId="4" borderId="27" xfId="5" applyNumberFormat="1" applyFont="1" applyFill="1" applyBorder="1" applyAlignment="1">
      <alignment horizontal="right" vertical="top"/>
    </xf>
    <xf numFmtId="40" fontId="16" fillId="4" borderId="26" xfId="5" quotePrefix="1" applyNumberFormat="1" applyFont="1" applyFill="1" applyBorder="1" applyAlignment="1">
      <alignment horizontal="left" vertical="top"/>
    </xf>
    <xf numFmtId="40" fontId="16" fillId="4" borderId="22" xfId="5" applyNumberFormat="1" applyFont="1" applyFill="1" applyBorder="1" applyAlignment="1">
      <alignment vertical="top"/>
    </xf>
    <xf numFmtId="164" fontId="17" fillId="4" borderId="5" xfId="5" applyNumberFormat="1" applyFont="1" applyFill="1" applyBorder="1" applyAlignment="1">
      <alignment horizontal="right" vertical="top"/>
    </xf>
    <xf numFmtId="40" fontId="17" fillId="4" borderId="0" xfId="5" quotePrefix="1" applyNumberFormat="1" applyFont="1" applyFill="1" applyBorder="1" applyAlignment="1">
      <alignment horizontal="left" vertical="top"/>
    </xf>
    <xf numFmtId="2" fontId="16" fillId="4" borderId="0" xfId="5" applyNumberFormat="1" applyFont="1" applyFill="1" applyBorder="1" applyAlignment="1">
      <alignment horizontal="center" vertical="top"/>
    </xf>
    <xf numFmtId="40" fontId="17" fillId="4" borderId="20" xfId="5" applyNumberFormat="1" applyFont="1" applyFill="1" applyBorder="1" applyAlignment="1">
      <alignment vertical="top"/>
    </xf>
    <xf numFmtId="164" fontId="16" fillId="4" borderId="9" xfId="5" applyNumberFormat="1" applyFont="1" applyFill="1" applyBorder="1" applyAlignment="1">
      <alignment horizontal="right" vertical="top"/>
    </xf>
    <xf numFmtId="2" fontId="16" fillId="4" borderId="10" xfId="5" applyNumberFormat="1" applyFont="1" applyFill="1" applyBorder="1" applyAlignment="1">
      <alignment horizontal="center" vertical="top"/>
    </xf>
    <xf numFmtId="40" fontId="16" fillId="4" borderId="10" xfId="5" applyNumberFormat="1" applyFont="1" applyFill="1" applyBorder="1" applyAlignment="1">
      <alignment horizontal="center" vertical="top"/>
    </xf>
    <xf numFmtId="40" fontId="16" fillId="4" borderId="10" xfId="5" applyNumberFormat="1" applyFont="1" applyFill="1" applyBorder="1" applyAlignment="1">
      <alignment horizontal="right" vertical="top"/>
    </xf>
    <xf numFmtId="40" fontId="16" fillId="4" borderId="11" xfId="5" applyNumberFormat="1" applyFont="1" applyFill="1" applyBorder="1" applyAlignment="1">
      <alignment vertical="top"/>
    </xf>
    <xf numFmtId="40" fontId="19" fillId="4" borderId="19" xfId="5" applyNumberFormat="1" applyFont="1" applyFill="1" applyBorder="1" applyAlignment="1">
      <alignment vertical="top"/>
    </xf>
    <xf numFmtId="40" fontId="17" fillId="4" borderId="0" xfId="5" applyNumberFormat="1" applyFont="1" applyFill="1" applyAlignment="1">
      <alignment vertical="top"/>
    </xf>
    <xf numFmtId="167" fontId="16" fillId="4" borderId="10" xfId="5" applyNumberFormat="1" applyFont="1" applyFill="1" applyBorder="1" applyAlignment="1">
      <alignment horizontal="center" vertical="top"/>
    </xf>
    <xf numFmtId="40" fontId="19" fillId="4" borderId="19" xfId="5" applyNumberFormat="1" applyFont="1" applyFill="1" applyBorder="1" applyAlignment="1">
      <alignment horizontal="left" vertical="top" wrapText="1"/>
    </xf>
    <xf numFmtId="40" fontId="16" fillId="4" borderId="24" xfId="5" applyNumberFormat="1" applyFont="1" applyFill="1" applyBorder="1" applyAlignment="1">
      <alignment horizontal="justify" vertical="top"/>
    </xf>
    <xf numFmtId="40" fontId="17" fillId="4" borderId="10" xfId="5" applyNumberFormat="1" applyFont="1" applyFill="1" applyBorder="1" applyAlignment="1">
      <alignment horizontal="left" vertical="top"/>
    </xf>
    <xf numFmtId="164" fontId="16" fillId="4" borderId="13" xfId="5" applyNumberFormat="1" applyFont="1" applyFill="1" applyBorder="1" applyAlignment="1">
      <alignment horizontal="right" vertical="top"/>
    </xf>
    <xf numFmtId="40" fontId="16" fillId="4" borderId="19" xfId="5" quotePrefix="1" applyNumberFormat="1" applyFont="1" applyFill="1" applyBorder="1" applyAlignment="1">
      <alignment horizontal="justify" vertical="top" wrapText="1"/>
    </xf>
    <xf numFmtId="40" fontId="16" fillId="4" borderId="13" xfId="5" applyNumberFormat="1" applyFont="1" applyFill="1" applyBorder="1" applyAlignment="1">
      <alignment horizontal="right" vertical="top"/>
    </xf>
    <xf numFmtId="40" fontId="16" fillId="4" borderId="19" xfId="5" applyNumberFormat="1" applyFont="1" applyFill="1" applyBorder="1" applyAlignment="1">
      <alignment vertical="top"/>
    </xf>
    <xf numFmtId="40" fontId="19" fillId="4" borderId="12" xfId="5" applyNumberFormat="1" applyFont="1" applyFill="1" applyBorder="1" applyAlignment="1">
      <alignment horizontal="center" vertical="top"/>
    </xf>
    <xf numFmtId="165" fontId="16" fillId="4" borderId="5" xfId="5" applyNumberFormat="1" applyFont="1" applyFill="1" applyBorder="1" applyAlignment="1">
      <alignment horizontal="right" vertical="top"/>
    </xf>
    <xf numFmtId="2" fontId="17" fillId="4" borderId="15" xfId="5" applyNumberFormat="1" applyFont="1" applyFill="1" applyBorder="1" applyAlignment="1">
      <alignment horizontal="center" vertical="top"/>
    </xf>
    <xf numFmtId="167" fontId="17" fillId="4" borderId="15" xfId="5" applyNumberFormat="1" applyFont="1" applyFill="1" applyBorder="1" applyAlignment="1">
      <alignment horizontal="center" vertical="top"/>
    </xf>
    <xf numFmtId="40" fontId="17" fillId="4" borderId="15" xfId="5" applyNumberFormat="1" applyFont="1" applyFill="1" applyBorder="1" applyAlignment="1">
      <alignment horizontal="right" vertical="top"/>
    </xf>
    <xf numFmtId="40" fontId="16" fillId="4" borderId="25" xfId="5" applyNumberFormat="1" applyFont="1" applyFill="1" applyBorder="1" applyAlignment="1">
      <alignment vertical="top"/>
    </xf>
    <xf numFmtId="0" fontId="22" fillId="4" borderId="0" xfId="0" applyFont="1" applyFill="1" applyAlignment="1">
      <alignment horizontal="justify" vertical="top"/>
    </xf>
    <xf numFmtId="40" fontId="16" fillId="4" borderId="24" xfId="5" applyNumberFormat="1" applyFont="1" applyFill="1" applyBorder="1" applyAlignment="1">
      <alignment vertical="top" wrapText="1"/>
    </xf>
    <xf numFmtId="40" fontId="19" fillId="4" borderId="24" xfId="5" applyNumberFormat="1" applyFont="1" applyFill="1" applyBorder="1" applyAlignment="1">
      <alignment horizontal="justify" vertical="top"/>
    </xf>
    <xf numFmtId="169" fontId="16" fillId="4" borderId="24" xfId="5" applyNumberFormat="1" applyFont="1" applyFill="1" applyBorder="1" applyAlignment="1">
      <alignment horizontal="justify" vertical="top" wrapText="1"/>
    </xf>
    <xf numFmtId="40" fontId="17" fillId="4" borderId="24" xfId="5" applyNumberFormat="1" applyFont="1" applyFill="1" applyBorder="1" applyAlignment="1">
      <alignment horizontal="justify" vertical="top"/>
    </xf>
    <xf numFmtId="165" fontId="16" fillId="4" borderId="18" xfId="5" applyNumberFormat="1" applyFont="1" applyFill="1" applyBorder="1" applyAlignment="1">
      <alignment vertical="top"/>
    </xf>
    <xf numFmtId="40" fontId="16" fillId="4" borderId="24" xfId="5" applyNumberFormat="1" applyFont="1" applyFill="1" applyBorder="1" applyAlignment="1">
      <alignment horizontal="justify" vertical="top" wrapText="1"/>
    </xf>
    <xf numFmtId="40" fontId="19" fillId="4" borderId="24" xfId="5" applyNumberFormat="1" applyFont="1" applyFill="1" applyBorder="1" applyAlignment="1">
      <alignment horizontal="left" vertical="top"/>
    </xf>
    <xf numFmtId="0" fontId="16" fillId="4" borderId="0" xfId="0" applyFont="1" applyFill="1" applyBorder="1" applyAlignment="1">
      <alignment vertical="top" wrapText="1"/>
    </xf>
    <xf numFmtId="2" fontId="16" fillId="4" borderId="24" xfId="5" applyNumberFormat="1" applyFont="1" applyFill="1" applyBorder="1" applyAlignment="1">
      <alignment horizontal="center" vertical="top"/>
    </xf>
    <xf numFmtId="40" fontId="24" fillId="4" borderId="19" xfId="5" applyNumberFormat="1" applyFont="1" applyFill="1" applyBorder="1" applyAlignment="1">
      <alignment horizontal="justify" vertical="top"/>
    </xf>
    <xf numFmtId="40" fontId="19" fillId="4" borderId="16" xfId="5" applyNumberFormat="1" applyFont="1" applyFill="1" applyBorder="1" applyAlignment="1">
      <alignment horizontal="centerContinuous" vertical="top"/>
    </xf>
    <xf numFmtId="40" fontId="19" fillId="4" borderId="12" xfId="5" applyNumberFormat="1" applyFont="1" applyFill="1" applyBorder="1" applyAlignment="1">
      <alignment horizontal="justify" vertical="top"/>
    </xf>
    <xf numFmtId="165" fontId="16" fillId="0" borderId="18" xfId="5" applyNumberFormat="1" applyFont="1" applyFill="1" applyBorder="1" applyAlignment="1">
      <alignment horizontal="right" vertical="top"/>
    </xf>
    <xf numFmtId="40" fontId="16" fillId="0" borderId="19" xfId="5" applyNumberFormat="1" applyFont="1" applyFill="1" applyBorder="1" applyAlignment="1">
      <alignment horizontal="justify" vertical="top"/>
    </xf>
    <xf numFmtId="40" fontId="16" fillId="0" borderId="19" xfId="5" applyNumberFormat="1" applyFont="1" applyFill="1" applyBorder="1" applyAlignment="1">
      <alignment horizontal="center" vertical="top"/>
    </xf>
    <xf numFmtId="40" fontId="16" fillId="4" borderId="0" xfId="5" applyNumberFormat="1" applyFont="1" applyFill="1" applyBorder="1" applyAlignment="1">
      <alignment horizontal="justify" vertical="top" wrapText="1"/>
    </xf>
    <xf numFmtId="40" fontId="16" fillId="4" borderId="20" xfId="5" applyNumberFormat="1" applyFont="1" applyFill="1" applyBorder="1" applyAlignment="1">
      <alignment horizontal="center" vertical="top"/>
    </xf>
    <xf numFmtId="40" fontId="16" fillId="4" borderId="20" xfId="5" applyNumberFormat="1" applyFont="1" applyFill="1" applyBorder="1" applyAlignment="1">
      <alignment vertical="top"/>
    </xf>
    <xf numFmtId="40" fontId="17" fillId="4" borderId="24" xfId="5" applyNumberFormat="1" applyFont="1" applyFill="1" applyBorder="1" applyAlignment="1">
      <alignment horizontal="left" vertical="top"/>
    </xf>
    <xf numFmtId="40" fontId="17" fillId="4" borderId="24" xfId="5" applyNumberFormat="1" applyFont="1" applyFill="1" applyBorder="1" applyAlignment="1">
      <alignment vertical="top"/>
    </xf>
    <xf numFmtId="40" fontId="19" fillId="4" borderId="24" xfId="5" applyNumberFormat="1" applyFont="1" applyFill="1" applyBorder="1" applyAlignment="1">
      <alignment vertical="top"/>
    </xf>
    <xf numFmtId="168" fontId="16" fillId="4" borderId="15" xfId="5" applyNumberFormat="1" applyFont="1" applyFill="1" applyBorder="1" applyAlignment="1">
      <alignment horizontal="center" vertical="top"/>
    </xf>
    <xf numFmtId="2" fontId="17" fillId="4" borderId="18" xfId="5" applyNumberFormat="1" applyFont="1" applyFill="1" applyBorder="1" applyAlignment="1">
      <alignment horizontal="right" vertical="top"/>
    </xf>
    <xf numFmtId="164" fontId="25" fillId="4" borderId="0" xfId="5" applyNumberFormat="1" applyFont="1" applyFill="1" applyBorder="1" applyAlignment="1">
      <alignment horizontal="right" vertical="top"/>
    </xf>
    <xf numFmtId="2" fontId="26" fillId="4" borderId="0" xfId="5" applyNumberFormat="1" applyFont="1" applyFill="1" applyBorder="1" applyAlignment="1">
      <alignment horizontal="center" vertical="top"/>
    </xf>
    <xf numFmtId="0" fontId="26" fillId="4" borderId="0" xfId="0" applyFont="1" applyFill="1" applyBorder="1" applyAlignment="1">
      <alignment vertical="top"/>
    </xf>
    <xf numFmtId="40" fontId="25" fillId="4" borderId="0" xfId="5" applyNumberFormat="1" applyFont="1" applyFill="1" applyBorder="1" applyAlignment="1">
      <alignment horizontal="right" vertical="top"/>
    </xf>
    <xf numFmtId="40" fontId="25" fillId="4" borderId="0" xfId="5" applyNumberFormat="1" applyFont="1" applyFill="1" applyBorder="1" applyAlignment="1">
      <alignment vertical="top"/>
    </xf>
    <xf numFmtId="0" fontId="16" fillId="4" borderId="0" xfId="0" applyFont="1" applyFill="1" applyBorder="1" applyAlignment="1">
      <alignment horizontal="right" vertical="top"/>
    </xf>
    <xf numFmtId="40" fontId="16" fillId="4" borderId="0" xfId="5" applyNumberFormat="1" applyFont="1" applyFill="1" applyBorder="1" applyAlignment="1">
      <alignment horizontal="center" vertical="top"/>
    </xf>
    <xf numFmtId="40" fontId="16" fillId="0" borderId="19" xfId="9" applyFont="1" applyFill="1" applyBorder="1" applyAlignment="1">
      <alignment horizontal="justify" vertical="top"/>
    </xf>
    <xf numFmtId="2" fontId="27" fillId="4" borderId="19" xfId="5" applyNumberFormat="1" applyFont="1" applyFill="1" applyBorder="1" applyAlignment="1">
      <alignment horizontal="center" vertical="top"/>
    </xf>
    <xf numFmtId="2" fontId="27" fillId="4" borderId="26" xfId="5" applyNumberFormat="1" applyFont="1" applyFill="1" applyBorder="1" applyAlignment="1">
      <alignment horizontal="center" vertical="top"/>
    </xf>
    <xf numFmtId="2" fontId="27" fillId="4" borderId="15" xfId="5" applyNumberFormat="1" applyFont="1" applyFill="1" applyBorder="1" applyAlignment="1">
      <alignment horizontal="center" vertical="top"/>
    </xf>
    <xf numFmtId="2" fontId="27" fillId="4" borderId="3" xfId="5" applyNumberFormat="1" applyFont="1" applyFill="1" applyBorder="1" applyAlignment="1">
      <alignment horizontal="center" vertical="top"/>
    </xf>
    <xf numFmtId="2" fontId="29" fillId="4" borderId="10" xfId="5" applyNumberFormat="1" applyFont="1" applyFill="1" applyBorder="1" applyAlignment="1">
      <alignment horizontal="center" vertical="top"/>
    </xf>
    <xf numFmtId="2" fontId="27" fillId="4" borderId="16" xfId="5" applyNumberFormat="1" applyFont="1" applyFill="1" applyBorder="1" applyAlignment="1">
      <alignment horizontal="center" vertical="top"/>
    </xf>
    <xf numFmtId="0" fontId="16" fillId="4" borderId="0" xfId="0" applyFont="1" applyFill="1" applyAlignment="1">
      <alignment horizontal="center" vertical="top"/>
    </xf>
    <xf numFmtId="40" fontId="16" fillId="4" borderId="0" xfId="5" applyNumberFormat="1" applyFont="1" applyFill="1" applyAlignment="1">
      <alignment horizontal="center" vertical="top"/>
    </xf>
    <xf numFmtId="40" fontId="17" fillId="4" borderId="0" xfId="5" applyNumberFormat="1" applyFont="1" applyFill="1" applyAlignment="1">
      <alignment horizontal="center" vertical="top"/>
    </xf>
    <xf numFmtId="0" fontId="26" fillId="4" borderId="0" xfId="0" applyFont="1" applyFill="1" applyBorder="1" applyAlignment="1">
      <alignment horizontal="center" vertical="top"/>
    </xf>
    <xf numFmtId="169" fontId="16" fillId="0" borderId="24" xfId="5" applyNumberFormat="1" applyFont="1" applyFill="1" applyBorder="1" applyAlignment="1">
      <alignment horizontal="justify" vertical="top" wrapText="1"/>
    </xf>
    <xf numFmtId="168" fontId="16" fillId="0" borderId="19" xfId="5" applyNumberFormat="1" applyFont="1" applyFill="1" applyBorder="1" applyAlignment="1">
      <alignment horizontal="center" vertical="top"/>
    </xf>
    <xf numFmtId="168" fontId="16" fillId="4" borderId="0" xfId="5" applyNumberFormat="1" applyFont="1" applyFill="1" applyBorder="1" applyAlignment="1">
      <alignment horizontal="center" vertical="top"/>
    </xf>
    <xf numFmtId="40" fontId="31" fillId="3" borderId="2" xfId="0" applyNumberFormat="1" applyFont="1" applyFill="1" applyBorder="1" applyAlignment="1">
      <alignment horizontal="left" vertical="center"/>
    </xf>
    <xf numFmtId="0" fontId="31" fillId="3" borderId="2" xfId="0" applyFont="1" applyFill="1" applyBorder="1" applyAlignment="1">
      <alignment horizontal="left" vertical="center"/>
    </xf>
    <xf numFmtId="0" fontId="31" fillId="0" borderId="6" xfId="0" applyFont="1" applyBorder="1" applyAlignment="1">
      <alignment horizontal="center" vertical="center"/>
    </xf>
    <xf numFmtId="0" fontId="32" fillId="3" borderId="29" xfId="0" applyFont="1" applyFill="1" applyBorder="1" applyAlignment="1">
      <alignment horizontal="right" vertical="center"/>
    </xf>
    <xf numFmtId="43" fontId="33" fillId="0" borderId="7" xfId="5" applyFont="1" applyBorder="1" applyAlignment="1">
      <alignment horizontal="center" vertical="center"/>
    </xf>
    <xf numFmtId="43" fontId="34" fillId="0" borderId="7" xfId="5" applyFont="1" applyBorder="1" applyAlignment="1">
      <alignment horizontal="center" vertical="center"/>
    </xf>
    <xf numFmtId="43" fontId="34" fillId="0" borderId="1" xfId="5" applyFont="1" applyBorder="1" applyAlignment="1">
      <alignment horizontal="center" vertical="center"/>
    </xf>
    <xf numFmtId="43" fontId="35" fillId="0" borderId="30" xfId="5" applyFont="1" applyBorder="1" applyAlignment="1">
      <alignment horizontal="center" vertical="center"/>
    </xf>
    <xf numFmtId="40" fontId="19" fillId="4" borderId="24" xfId="5" applyNumberFormat="1" applyFont="1" applyFill="1" applyBorder="1" applyAlignment="1">
      <alignment horizontal="centerContinuous" vertical="top"/>
    </xf>
    <xf numFmtId="0" fontId="36" fillId="0" borderId="0" xfId="0" applyFont="1"/>
    <xf numFmtId="0" fontId="40" fillId="0" borderId="0" xfId="0" applyFont="1"/>
    <xf numFmtId="0" fontId="41" fillId="0" borderId="0" xfId="0" applyFont="1"/>
    <xf numFmtId="0" fontId="42" fillId="0" borderId="0" xfId="0" applyFont="1"/>
    <xf numFmtId="40" fontId="16" fillId="5" borderId="0" xfId="5" applyNumberFormat="1" applyFont="1" applyFill="1" applyAlignment="1">
      <alignment horizontal="center" vertical="top"/>
    </xf>
    <xf numFmtId="170" fontId="16" fillId="4" borderId="19" xfId="5" applyNumberFormat="1" applyFont="1" applyFill="1" applyBorder="1" applyAlignment="1">
      <alignment horizontal="center" vertical="top"/>
    </xf>
    <xf numFmtId="171" fontId="16" fillId="4" borderId="0" xfId="5" applyNumberFormat="1" applyFont="1" applyFill="1" applyAlignment="1">
      <alignment horizontal="center" vertical="top"/>
    </xf>
    <xf numFmtId="0" fontId="43" fillId="4" borderId="0" xfId="0" applyFont="1" applyFill="1" applyBorder="1" applyAlignment="1">
      <alignment vertical="top" wrapText="1"/>
    </xf>
    <xf numFmtId="40" fontId="43" fillId="4" borderId="19" xfId="5" applyNumberFormat="1" applyFont="1" applyFill="1" applyBorder="1" applyAlignment="1">
      <alignment horizontal="justify" vertical="top"/>
    </xf>
    <xf numFmtId="40" fontId="43" fillId="4" borderId="0" xfId="5" applyNumberFormat="1" applyFont="1" applyFill="1" applyBorder="1" applyAlignment="1">
      <alignment horizontal="center" vertical="top"/>
    </xf>
    <xf numFmtId="0" fontId="37" fillId="0" borderId="0" xfId="0" applyFont="1" applyAlignment="1">
      <alignment horizontal="center"/>
    </xf>
    <xf numFmtId="0" fontId="38" fillId="0" borderId="0" xfId="0" applyFont="1" applyAlignment="1">
      <alignment horizontal="center" vertical="center" wrapText="1"/>
    </xf>
    <xf numFmtId="0" fontId="39" fillId="0" borderId="0" xfId="0" applyFont="1" applyAlignment="1">
      <alignment horizontal="center" vertical="center" wrapText="1"/>
    </xf>
    <xf numFmtId="0" fontId="6" fillId="4" borderId="0" xfId="0" applyFont="1" applyFill="1" applyBorder="1" applyAlignment="1">
      <alignment horizontal="left" vertical="top" wrapText="1"/>
    </xf>
    <xf numFmtId="0" fontId="10" fillId="0" borderId="12" xfId="0" applyFont="1" applyBorder="1" applyAlignment="1">
      <alignment horizontal="center"/>
    </xf>
    <xf numFmtId="0" fontId="15" fillId="4" borderId="0" xfId="0" applyFont="1" applyFill="1" applyBorder="1" applyAlignment="1">
      <alignment horizontal="left" vertical="top" wrapText="1"/>
    </xf>
    <xf numFmtId="0" fontId="18" fillId="4" borderId="0" xfId="0" applyFont="1" applyFill="1" applyBorder="1" applyAlignment="1">
      <alignment horizontal="center" vertical="top" wrapText="1"/>
    </xf>
    <xf numFmtId="165" fontId="43" fillId="4" borderId="0" xfId="5" applyNumberFormat="1" applyFont="1" applyFill="1" applyBorder="1" applyAlignment="1">
      <alignment horizontal="right" vertical="top"/>
    </xf>
    <xf numFmtId="2" fontId="43" fillId="4" borderId="0" xfId="0" applyNumberFormat="1" applyFont="1" applyFill="1" applyBorder="1" applyAlignment="1">
      <alignment horizontal="center" vertical="top"/>
    </xf>
    <xf numFmtId="0" fontId="43" fillId="4" borderId="0" xfId="0" applyFont="1" applyFill="1" applyBorder="1" applyAlignment="1">
      <alignment horizontal="center" vertical="top"/>
    </xf>
    <xf numFmtId="0" fontId="43" fillId="4" borderId="0" xfId="10" applyFont="1" applyFill="1" applyBorder="1" applyAlignment="1">
      <alignment horizontal="left" vertical="top" wrapText="1"/>
    </xf>
    <xf numFmtId="40" fontId="43" fillId="4" borderId="0" xfId="5" applyNumberFormat="1" applyFont="1" applyFill="1" applyBorder="1" applyAlignment="1">
      <alignment horizontal="justify" vertical="top"/>
    </xf>
    <xf numFmtId="2" fontId="43" fillId="4" borderId="0" xfId="5" applyNumberFormat="1" applyFont="1" applyFill="1" applyBorder="1" applyAlignment="1">
      <alignment horizontal="center" vertical="top"/>
    </xf>
  </cellXfs>
  <cellStyles count="11">
    <cellStyle name="Comma" xfId="5" builtinId="3"/>
    <cellStyle name="Comma 2" xfId="9"/>
    <cellStyle name="Normal" xfId="0" builtinId="0"/>
    <cellStyle name="Normal 2" xfId="1"/>
    <cellStyle name="Normal 2 2" xfId="7"/>
    <cellStyle name="Normal 2 3" xfId="8"/>
    <cellStyle name="Normal 3" xfId="2"/>
    <cellStyle name="Normal 4" xfId="3"/>
    <cellStyle name="Normal 5" xfId="4"/>
    <cellStyle name="Normal_eydha accom" xfId="10"/>
    <cellStyle name="Normal_Sheet2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5:H19"/>
  <sheetViews>
    <sheetView topLeftCell="A16" zoomScaleNormal="100" workbookViewId="0">
      <selection activeCell="K18" sqref="K18"/>
    </sheetView>
  </sheetViews>
  <sheetFormatPr defaultRowHeight="15" x14ac:dyDescent="0.25"/>
  <sheetData>
    <row r="15" spans="1:8" ht="33" x14ac:dyDescent="0.45">
      <c r="A15" s="217" t="s">
        <v>112</v>
      </c>
      <c r="B15" s="217"/>
      <c r="C15" s="217"/>
      <c r="D15" s="217"/>
      <c r="E15" s="217"/>
      <c r="F15" s="217"/>
      <c r="G15" s="217"/>
      <c r="H15" s="217"/>
    </row>
    <row r="16" spans="1:8" x14ac:dyDescent="0.25">
      <c r="A16" s="207"/>
      <c r="B16" s="207"/>
      <c r="C16" s="207"/>
      <c r="D16" s="207"/>
      <c r="E16" s="207"/>
      <c r="F16" s="207"/>
      <c r="G16" s="207"/>
      <c r="H16" s="207"/>
    </row>
    <row r="17" spans="1:8" ht="33" customHeight="1" x14ac:dyDescent="0.25">
      <c r="A17" s="218" t="s">
        <v>163</v>
      </c>
      <c r="B17" s="218"/>
      <c r="C17" s="218"/>
      <c r="D17" s="218"/>
      <c r="E17" s="218"/>
      <c r="F17" s="218"/>
      <c r="G17" s="218"/>
      <c r="H17" s="218"/>
    </row>
    <row r="18" spans="1:8" ht="36.75" customHeight="1" x14ac:dyDescent="0.25">
      <c r="A18" s="219" t="s">
        <v>161</v>
      </c>
      <c r="B18" s="219"/>
      <c r="C18" s="219"/>
      <c r="D18" s="219"/>
      <c r="E18" s="219"/>
      <c r="F18" s="219"/>
      <c r="G18" s="219"/>
      <c r="H18" s="219"/>
    </row>
    <row r="19" spans="1:8" ht="48.75" customHeight="1" x14ac:dyDescent="0.25">
      <c r="A19" s="218" t="s">
        <v>162</v>
      </c>
      <c r="B19" s="218"/>
      <c r="C19" s="218"/>
      <c r="D19" s="218"/>
      <c r="E19" s="218"/>
      <c r="F19" s="218"/>
      <c r="G19" s="218"/>
      <c r="H19" s="218"/>
    </row>
  </sheetData>
  <mergeCells count="4">
    <mergeCell ref="A15:H15"/>
    <mergeCell ref="A17:H17"/>
    <mergeCell ref="A18:H18"/>
    <mergeCell ref="A19:H19"/>
  </mergeCells>
  <pageMargins left="1" right="1" top="1" bottom="1" header="0.5" footer="0.5"/>
  <pageSetup paperSize="9" orientation="portrait" r:id="rId1"/>
  <headerFooter>
    <oddHeader>&amp;R&amp;"Copperplate Gothic Light,Regular"&amp;9BILL OF QUANTITIES</oddHeader>
    <oddFooter>&amp;L&amp;"Copperplate Gothic Light,Regular"&amp;9INFRASTRUCTURE UNIT
MALDIVES POLICE SERVICE / FINANCE DEPARTMENT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5"/>
  <sheetViews>
    <sheetView view="pageLayout" topLeftCell="A19" zoomScale="85" zoomScaleNormal="100" zoomScalePageLayoutView="85" workbookViewId="0">
      <selection activeCell="B36" sqref="B36"/>
    </sheetView>
  </sheetViews>
  <sheetFormatPr defaultRowHeight="12.75" x14ac:dyDescent="0.2"/>
  <cols>
    <col min="1" max="1" width="10" style="9" customWidth="1"/>
    <col min="2" max="2" width="52.5703125" style="9" customWidth="1"/>
    <col min="3" max="3" width="24" style="10" customWidth="1"/>
    <col min="4" max="16384" width="9.140625" style="9"/>
  </cols>
  <sheetData>
    <row r="1" spans="1:14" s="1" customFormat="1" ht="15" customHeight="1" x14ac:dyDescent="0.25">
      <c r="A1" s="16" t="s">
        <v>120</v>
      </c>
      <c r="B1" s="17"/>
      <c r="C1" s="18"/>
      <c r="D1" s="19"/>
      <c r="E1" s="20"/>
      <c r="F1" s="21"/>
      <c r="I1" s="22"/>
      <c r="J1" s="22"/>
      <c r="K1" s="22"/>
      <c r="L1" s="22"/>
      <c r="M1" s="22"/>
      <c r="N1" s="22"/>
    </row>
    <row r="2" spans="1:14" s="1" customFormat="1" ht="15" customHeight="1" x14ac:dyDescent="0.25">
      <c r="A2" s="222" t="s">
        <v>209</v>
      </c>
      <c r="B2" s="222"/>
      <c r="C2" s="23"/>
      <c r="D2" s="24"/>
      <c r="E2" s="25"/>
      <c r="F2" s="26"/>
      <c r="I2" s="22"/>
      <c r="J2" s="22"/>
      <c r="K2" s="22"/>
      <c r="L2" s="22"/>
      <c r="M2" s="22"/>
      <c r="N2" s="22"/>
    </row>
    <row r="3" spans="1:14" s="1" customFormat="1" ht="15" customHeight="1" x14ac:dyDescent="0.25">
      <c r="A3" s="27" t="s">
        <v>123</v>
      </c>
      <c r="B3" s="28"/>
      <c r="C3" s="23"/>
      <c r="D3" s="24"/>
      <c r="E3" s="25"/>
      <c r="F3" s="26"/>
      <c r="I3" s="22"/>
      <c r="J3" s="22"/>
      <c r="K3" s="22"/>
      <c r="L3" s="22"/>
      <c r="M3" s="22"/>
      <c r="N3" s="22"/>
    </row>
    <row r="4" spans="1:14" s="1" customFormat="1" ht="15" customHeight="1" x14ac:dyDescent="0.25">
      <c r="A4" s="222" t="s">
        <v>121</v>
      </c>
      <c r="B4" s="222"/>
      <c r="C4" s="23"/>
      <c r="D4" s="24"/>
      <c r="E4" s="25"/>
      <c r="F4" s="26"/>
      <c r="I4" s="22"/>
      <c r="J4" s="22"/>
      <c r="K4" s="22"/>
      <c r="L4" s="22"/>
      <c r="M4" s="22"/>
      <c r="N4" s="22"/>
    </row>
    <row r="5" spans="1:14" s="1" customFormat="1" ht="9.9499999999999993" customHeight="1" x14ac:dyDescent="0.25">
      <c r="A5" s="28"/>
      <c r="B5" s="28"/>
      <c r="C5" s="23"/>
      <c r="D5" s="24"/>
      <c r="E5" s="25"/>
      <c r="F5" s="26"/>
      <c r="I5" s="22"/>
      <c r="J5" s="22"/>
      <c r="K5" s="22"/>
      <c r="L5" s="22"/>
      <c r="M5" s="22"/>
      <c r="N5" s="22"/>
    </row>
    <row r="6" spans="1:14" s="6" customFormat="1" ht="19.5" customHeight="1" x14ac:dyDescent="0.25">
      <c r="A6" s="7" t="s">
        <v>210</v>
      </c>
      <c r="B6" s="3"/>
      <c r="C6" s="2"/>
      <c r="D6" s="3"/>
      <c r="E6" s="4"/>
      <c r="F6" s="3"/>
      <c r="G6" s="5"/>
    </row>
    <row r="7" spans="1:14" s="6" customFormat="1" ht="9.9499999999999993" customHeight="1" x14ac:dyDescent="0.25">
      <c r="A7" s="3"/>
      <c r="B7" s="3"/>
      <c r="C7" s="2"/>
      <c r="D7" s="3"/>
      <c r="E7" s="4"/>
      <c r="F7" s="3"/>
      <c r="G7" s="5"/>
    </row>
    <row r="8" spans="1:14" s="6" customFormat="1" ht="15" customHeight="1" x14ac:dyDescent="0.25">
      <c r="A8" s="220" t="s">
        <v>211</v>
      </c>
      <c r="B8" s="220"/>
      <c r="C8" s="220"/>
      <c r="D8" s="3"/>
      <c r="E8" s="4"/>
      <c r="F8" s="3"/>
      <c r="G8" s="5"/>
    </row>
    <row r="9" spans="1:14" s="6" customFormat="1" ht="15" customHeight="1" x14ac:dyDescent="0.25">
      <c r="A9" s="220" t="s">
        <v>122</v>
      </c>
      <c r="B9" s="220"/>
      <c r="C9" s="2"/>
      <c r="D9" s="3"/>
      <c r="E9" s="4"/>
      <c r="F9" s="3"/>
      <c r="G9" s="5"/>
    </row>
    <row r="10" spans="1:14" s="6" customFormat="1" ht="15" customHeight="1" x14ac:dyDescent="0.25">
      <c r="A10" s="220" t="s">
        <v>212</v>
      </c>
      <c r="B10" s="220"/>
      <c r="C10" s="2"/>
      <c r="D10" s="3"/>
      <c r="E10" s="4"/>
      <c r="F10" s="3"/>
      <c r="G10" s="5"/>
    </row>
    <row r="11" spans="1:14" ht="15.75" x14ac:dyDescent="0.25">
      <c r="A11" s="8"/>
    </row>
    <row r="12" spans="1:14" ht="20.25" x14ac:dyDescent="0.3">
      <c r="A12" s="221" t="s">
        <v>6</v>
      </c>
      <c r="B12" s="221"/>
      <c r="C12" s="221"/>
    </row>
    <row r="13" spans="1:14" ht="13.5" thickBot="1" x14ac:dyDescent="0.25">
      <c r="A13" s="11"/>
      <c r="B13" s="11"/>
      <c r="C13" s="12"/>
    </row>
    <row r="14" spans="1:14" s="15" customFormat="1" ht="24.95" customHeight="1" thickBot="1" x14ac:dyDescent="0.3">
      <c r="A14" s="13" t="s">
        <v>7</v>
      </c>
      <c r="B14" s="13" t="s">
        <v>8</v>
      </c>
      <c r="C14" s="14" t="s">
        <v>9</v>
      </c>
    </row>
    <row r="15" spans="1:14" s="15" customFormat="1" ht="24.95" customHeight="1" x14ac:dyDescent="0.25">
      <c r="A15" s="200">
        <v>1</v>
      </c>
      <c r="B15" s="198" t="s">
        <v>0</v>
      </c>
      <c r="C15" s="202"/>
    </row>
    <row r="16" spans="1:14" s="15" customFormat="1" ht="24.95" customHeight="1" x14ac:dyDescent="0.25">
      <c r="A16" s="200">
        <v>2</v>
      </c>
      <c r="B16" s="198" t="s">
        <v>19</v>
      </c>
      <c r="C16" s="202"/>
    </row>
    <row r="17" spans="1:3" s="15" customFormat="1" ht="24.95" customHeight="1" x14ac:dyDescent="0.25">
      <c r="A17" s="200">
        <v>3</v>
      </c>
      <c r="B17" s="198" t="s">
        <v>133</v>
      </c>
      <c r="C17" s="202"/>
    </row>
    <row r="18" spans="1:3" s="15" customFormat="1" ht="24.95" customHeight="1" x14ac:dyDescent="0.25">
      <c r="A18" s="200">
        <v>4</v>
      </c>
      <c r="B18" s="198" t="s">
        <v>29</v>
      </c>
      <c r="C18" s="202"/>
    </row>
    <row r="19" spans="1:3" s="15" customFormat="1" ht="24.95" customHeight="1" x14ac:dyDescent="0.25">
      <c r="A19" s="200">
        <v>5</v>
      </c>
      <c r="B19" s="198" t="s">
        <v>31</v>
      </c>
      <c r="C19" s="202"/>
    </row>
    <row r="20" spans="1:3" s="15" customFormat="1" ht="24.95" customHeight="1" x14ac:dyDescent="0.25">
      <c r="A20" s="200">
        <v>6</v>
      </c>
      <c r="B20" s="198" t="s">
        <v>32</v>
      </c>
      <c r="C20" s="202"/>
    </row>
    <row r="21" spans="1:3" s="15" customFormat="1" ht="24.95" customHeight="1" x14ac:dyDescent="0.25">
      <c r="A21" s="200">
        <v>7</v>
      </c>
      <c r="B21" s="198" t="s">
        <v>134</v>
      </c>
      <c r="C21" s="202"/>
    </row>
    <row r="22" spans="1:3" s="15" customFormat="1" ht="24.95" customHeight="1" x14ac:dyDescent="0.25">
      <c r="A22" s="200">
        <v>8</v>
      </c>
      <c r="B22" s="198" t="s">
        <v>135</v>
      </c>
      <c r="C22" s="202"/>
    </row>
    <row r="23" spans="1:3" s="15" customFormat="1" ht="24.95" customHeight="1" x14ac:dyDescent="0.25">
      <c r="A23" s="200">
        <v>9</v>
      </c>
      <c r="B23" s="198" t="s">
        <v>136</v>
      </c>
      <c r="C23" s="202"/>
    </row>
    <row r="24" spans="1:3" s="15" customFormat="1" ht="24.95" customHeight="1" x14ac:dyDescent="0.25">
      <c r="A24" s="200">
        <v>10</v>
      </c>
      <c r="B24" s="198" t="s">
        <v>137</v>
      </c>
      <c r="C24" s="202"/>
    </row>
    <row r="25" spans="1:3" s="15" customFormat="1" ht="24.95" customHeight="1" x14ac:dyDescent="0.25">
      <c r="A25" s="200"/>
      <c r="B25" s="198"/>
      <c r="C25" s="202"/>
    </row>
    <row r="26" spans="1:3" s="15" customFormat="1" ht="24.95" customHeight="1" x14ac:dyDescent="0.25">
      <c r="A26" s="200"/>
      <c r="B26" s="199"/>
      <c r="C26" s="203"/>
    </row>
    <row r="27" spans="1:3" s="15" customFormat="1" ht="24.95" customHeight="1" thickBot="1" x14ac:dyDescent="0.3">
      <c r="A27" s="30"/>
      <c r="B27" s="31"/>
      <c r="C27" s="204"/>
    </row>
    <row r="28" spans="1:3" s="15" customFormat="1" ht="30" customHeight="1" thickBot="1" x14ac:dyDescent="0.3">
      <c r="A28" s="29"/>
      <c r="B28" s="201" t="s">
        <v>213</v>
      </c>
      <c r="C28" s="205"/>
    </row>
    <row r="30" spans="1:3" ht="21.75" customHeight="1" x14ac:dyDescent="0.55000000000000004">
      <c r="A30" s="208" t="s">
        <v>206</v>
      </c>
    </row>
    <row r="31" spans="1:3" ht="16.5" x14ac:dyDescent="0.4">
      <c r="A31" s="209" t="s">
        <v>207</v>
      </c>
    </row>
    <row r="32" spans="1:3" ht="16.5" x14ac:dyDescent="0.4">
      <c r="A32" s="210" t="s">
        <v>208</v>
      </c>
    </row>
    <row r="33" spans="1:1" ht="16.5" x14ac:dyDescent="0.4">
      <c r="A33" s="210" t="s">
        <v>123</v>
      </c>
    </row>
    <row r="34" spans="1:1" ht="16.5" x14ac:dyDescent="0.4">
      <c r="A34" s="210" t="s">
        <v>120</v>
      </c>
    </row>
    <row r="255" spans="3:6" x14ac:dyDescent="0.2">
      <c r="C255" s="9"/>
      <c r="F255" s="9">
        <v>100</v>
      </c>
    </row>
  </sheetData>
  <mergeCells count="6">
    <mergeCell ref="A10:B10"/>
    <mergeCell ref="A12:C12"/>
    <mergeCell ref="A4:B4"/>
    <mergeCell ref="A2:B2"/>
    <mergeCell ref="A9:B9"/>
    <mergeCell ref="A8:C8"/>
  </mergeCells>
  <pageMargins left="0.5" right="0.5" top="0.75" bottom="0.75" header="0.3" footer="0.3"/>
  <pageSetup paperSize="9" orientation="portrait" r:id="rId1"/>
  <headerFooter>
    <oddHeader>&amp;R&amp;"Copperplate Gothic Light,Regular"&amp;7BILL OF QUANTITIES / CELL BLOCK</oddHeader>
    <oddFooter xml:space="preserve">&amp;L&amp;"Copperplate Gothic Light,Regular"&amp;7&amp;K000000INFRASTRUCTURE UNIT
MALDIVES POLICE SERVICE / FINANCE DEPARTMENT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7"/>
  <sheetViews>
    <sheetView tabSelected="1" zoomScaleNormal="100" workbookViewId="0">
      <selection activeCell="D225" sqref="D225"/>
    </sheetView>
  </sheetViews>
  <sheetFormatPr defaultRowHeight="15" customHeight="1" x14ac:dyDescent="0.25"/>
  <cols>
    <col min="1" max="1" width="7.140625" style="32" customWidth="1"/>
    <col min="2" max="2" width="48.140625" style="32" customWidth="1"/>
    <col min="3" max="3" width="9.5703125" style="33" customWidth="1"/>
    <col min="4" max="4" width="7.7109375" style="34" customWidth="1"/>
    <col min="5" max="5" width="11.5703125" style="182" customWidth="1"/>
    <col min="6" max="6" width="14.7109375" style="32" customWidth="1"/>
    <col min="7" max="7" width="9.140625" style="22"/>
    <col min="8" max="9" width="9.140625" style="191"/>
    <col min="10" max="10" width="34.5703125" style="191" customWidth="1"/>
    <col min="11" max="13" width="9.5703125" style="191" bestFit="1" customWidth="1"/>
    <col min="14" max="14" width="9.5703125" style="22" bestFit="1" customWidth="1"/>
    <col min="15" max="16384" width="9.140625" style="22"/>
  </cols>
  <sheetData>
    <row r="1" spans="1:14" ht="23.25" customHeight="1" x14ac:dyDescent="0.25">
      <c r="A1" s="223" t="s">
        <v>35</v>
      </c>
      <c r="B1" s="223"/>
      <c r="C1" s="223"/>
      <c r="D1" s="223"/>
      <c r="E1" s="223"/>
      <c r="F1" s="223"/>
    </row>
    <row r="2" spans="1:14" ht="6.95" customHeight="1" x14ac:dyDescent="0.25">
      <c r="E2" s="35"/>
      <c r="F2" s="36"/>
    </row>
    <row r="3" spans="1:14" ht="15" customHeight="1" x14ac:dyDescent="0.25">
      <c r="A3" s="37" t="s">
        <v>10</v>
      </c>
      <c r="B3" s="37" t="s">
        <v>8</v>
      </c>
      <c r="C3" s="38" t="s">
        <v>12</v>
      </c>
      <c r="D3" s="37" t="s">
        <v>11</v>
      </c>
      <c r="E3" s="39" t="s">
        <v>13</v>
      </c>
      <c r="F3" s="39" t="s">
        <v>9</v>
      </c>
    </row>
    <row r="4" spans="1:14" s="45" customFormat="1" ht="15" customHeight="1" x14ac:dyDescent="0.25">
      <c r="A4" s="74"/>
      <c r="B4" s="69" t="s">
        <v>138</v>
      </c>
      <c r="C4" s="75"/>
      <c r="D4" s="76"/>
      <c r="E4" s="77"/>
      <c r="F4" s="78"/>
      <c r="H4" s="192"/>
      <c r="I4" s="192"/>
      <c r="J4" s="192"/>
      <c r="K4" s="192"/>
      <c r="L4" s="192"/>
      <c r="M4" s="192"/>
    </row>
    <row r="5" spans="1:14" s="45" customFormat="1" ht="15" customHeight="1" x14ac:dyDescent="0.25">
      <c r="A5" s="79"/>
      <c r="B5" s="80" t="s">
        <v>0</v>
      </c>
      <c r="C5" s="81"/>
      <c r="D5" s="82"/>
      <c r="E5" s="83"/>
      <c r="F5" s="84"/>
      <c r="H5" s="192"/>
      <c r="I5" s="192"/>
      <c r="J5" s="192"/>
      <c r="K5" s="192"/>
      <c r="L5" s="192"/>
      <c r="M5" s="192"/>
    </row>
    <row r="6" spans="1:14" s="45" customFormat="1" ht="15" customHeight="1" x14ac:dyDescent="0.25">
      <c r="A6" s="52">
        <v>1.1000000000000001</v>
      </c>
      <c r="B6" s="53" t="s">
        <v>39</v>
      </c>
      <c r="C6" s="48"/>
      <c r="D6" s="85"/>
      <c r="E6" s="86"/>
      <c r="F6" s="87"/>
      <c r="H6" s="192"/>
      <c r="I6" s="192"/>
      <c r="J6" s="192"/>
      <c r="K6" s="192"/>
      <c r="L6" s="192"/>
      <c r="M6" s="192"/>
    </row>
    <row r="7" spans="1:14" s="45" customFormat="1" ht="38.25" x14ac:dyDescent="0.25">
      <c r="A7" s="52"/>
      <c r="B7" s="88" t="s">
        <v>55</v>
      </c>
      <c r="C7" s="48"/>
      <c r="D7" s="49"/>
      <c r="E7" s="58"/>
      <c r="F7" s="59"/>
      <c r="H7" s="192"/>
      <c r="I7" s="192"/>
      <c r="J7" s="192"/>
      <c r="K7" s="192"/>
      <c r="L7" s="192"/>
      <c r="M7" s="192"/>
    </row>
    <row r="8" spans="1:14" s="45" customFormat="1" ht="15" customHeight="1" x14ac:dyDescent="0.25">
      <c r="A8" s="52"/>
      <c r="B8" s="47"/>
      <c r="C8" s="89"/>
      <c r="D8" s="85"/>
      <c r="E8" s="86"/>
      <c r="F8" s="90"/>
      <c r="H8" s="192"/>
      <c r="I8" s="192"/>
      <c r="J8" s="192"/>
      <c r="K8" s="192"/>
      <c r="L8" s="192"/>
      <c r="M8" s="192">
        <f>1.258*2</f>
        <v>2.516</v>
      </c>
    </row>
    <row r="9" spans="1:14" s="45" customFormat="1" ht="15" customHeight="1" x14ac:dyDescent="0.25">
      <c r="A9" s="52">
        <v>1.2</v>
      </c>
      <c r="B9" s="53" t="s">
        <v>36</v>
      </c>
      <c r="C9" s="48"/>
      <c r="D9" s="49"/>
      <c r="E9" s="58"/>
      <c r="F9" s="59"/>
      <c r="H9" s="192"/>
      <c r="I9" s="192"/>
      <c r="J9" s="192"/>
      <c r="K9" s="192"/>
      <c r="L9" s="192"/>
      <c r="M9" s="192">
        <f>4.75*7</f>
        <v>33.25</v>
      </c>
    </row>
    <row r="10" spans="1:14" s="45" customFormat="1" ht="51" x14ac:dyDescent="0.25">
      <c r="A10" s="46"/>
      <c r="B10" s="91" t="s">
        <v>37</v>
      </c>
      <c r="C10" s="48"/>
      <c r="D10" s="49"/>
      <c r="E10" s="58"/>
      <c r="F10" s="59"/>
      <c r="H10" s="183"/>
      <c r="I10" s="183"/>
      <c r="J10" s="192"/>
      <c r="K10" s="192"/>
      <c r="L10" s="192"/>
      <c r="M10" s="192">
        <f>23.15*4</f>
        <v>92.6</v>
      </c>
      <c r="N10" s="45">
        <f>SUM(M8:M10)</f>
        <v>128.36599999999999</v>
      </c>
    </row>
    <row r="11" spans="1:14" s="45" customFormat="1" ht="5.0999999999999996" customHeight="1" x14ac:dyDescent="0.25">
      <c r="A11" s="46"/>
      <c r="B11" s="92"/>
      <c r="C11" s="48"/>
      <c r="D11" s="49"/>
      <c r="E11" s="58"/>
      <c r="F11" s="59"/>
      <c r="H11" s="183"/>
      <c r="I11" s="183"/>
      <c r="J11" s="192"/>
      <c r="K11" s="192"/>
      <c r="L11" s="192"/>
      <c r="M11" s="192"/>
    </row>
    <row r="12" spans="1:14" s="45" customFormat="1" ht="15" customHeight="1" x14ac:dyDescent="0.25">
      <c r="A12" s="60">
        <v>1</v>
      </c>
      <c r="B12" s="92" t="s">
        <v>214</v>
      </c>
      <c r="C12" s="48">
        <f>128.37*0.5*0.2</f>
        <v>12.837000000000002</v>
      </c>
      <c r="D12" s="58" t="s">
        <v>17</v>
      </c>
      <c r="E12" s="58"/>
      <c r="F12" s="59"/>
      <c r="H12" s="183"/>
      <c r="I12" s="183"/>
      <c r="J12" s="192"/>
      <c r="K12" s="192"/>
      <c r="L12" s="192"/>
      <c r="M12" s="192"/>
    </row>
    <row r="13" spans="1:14" s="45" customFormat="1" ht="15" customHeight="1" x14ac:dyDescent="0.25">
      <c r="A13" s="60">
        <v>2</v>
      </c>
      <c r="B13" s="92" t="s">
        <v>216</v>
      </c>
      <c r="C13" s="48">
        <f>0.75*0.75*0.8*8</f>
        <v>3.6</v>
      </c>
      <c r="D13" s="58" t="s">
        <v>17</v>
      </c>
      <c r="E13" s="58"/>
      <c r="F13" s="59"/>
      <c r="H13" s="183"/>
      <c r="I13" s="183"/>
      <c r="J13" s="192"/>
      <c r="K13" s="192"/>
      <c r="L13" s="192"/>
      <c r="M13" s="192"/>
    </row>
    <row r="14" spans="1:14" s="45" customFormat="1" ht="15" customHeight="1" x14ac:dyDescent="0.25">
      <c r="A14" s="60">
        <v>3</v>
      </c>
      <c r="B14" s="92" t="s">
        <v>215</v>
      </c>
      <c r="C14" s="48">
        <f>1*1*0.8*6</f>
        <v>4.8000000000000007</v>
      </c>
      <c r="D14" s="58" t="s">
        <v>17</v>
      </c>
      <c r="E14" s="58"/>
      <c r="F14" s="59"/>
      <c r="H14" s="183"/>
      <c r="I14" s="183"/>
      <c r="J14" s="192"/>
      <c r="K14" s="192"/>
      <c r="L14" s="192"/>
      <c r="M14" s="192"/>
    </row>
    <row r="15" spans="1:14" s="45" customFormat="1" ht="15" customHeight="1" x14ac:dyDescent="0.25">
      <c r="A15" s="60"/>
      <c r="B15" s="93"/>
      <c r="C15" s="48"/>
      <c r="D15" s="58"/>
      <c r="E15" s="58"/>
      <c r="F15" s="59"/>
      <c r="H15" s="183"/>
      <c r="I15" s="183"/>
      <c r="J15" s="192"/>
      <c r="K15" s="192"/>
      <c r="L15" s="192"/>
      <c r="M15" s="192"/>
    </row>
    <row r="16" spans="1:14" s="45" customFormat="1" ht="15" customHeight="1" x14ac:dyDescent="0.25">
      <c r="A16" s="52">
        <v>1.3</v>
      </c>
      <c r="B16" s="53" t="s">
        <v>38</v>
      </c>
      <c r="C16" s="48"/>
      <c r="D16" s="58"/>
      <c r="E16" s="50"/>
      <c r="F16" s="59"/>
      <c r="H16" s="183"/>
      <c r="I16" s="183"/>
      <c r="J16" s="192"/>
      <c r="K16" s="192"/>
      <c r="L16" s="192"/>
      <c r="M16" s="192"/>
    </row>
    <row r="17" spans="1:13" s="45" customFormat="1" ht="30" customHeight="1" x14ac:dyDescent="0.25">
      <c r="A17" s="74"/>
      <c r="B17" s="61" t="s">
        <v>56</v>
      </c>
      <c r="C17" s="48"/>
      <c r="D17" s="58"/>
      <c r="E17" s="58"/>
      <c r="F17" s="59"/>
      <c r="H17" s="183"/>
      <c r="I17" s="183"/>
      <c r="J17" s="192"/>
      <c r="K17" s="192"/>
      <c r="L17" s="192"/>
      <c r="M17" s="192"/>
    </row>
    <row r="18" spans="1:13" s="45" customFormat="1" ht="30" customHeight="1" x14ac:dyDescent="0.25">
      <c r="A18" s="74"/>
      <c r="B18" s="61" t="s">
        <v>57</v>
      </c>
      <c r="C18" s="48"/>
      <c r="D18" s="58"/>
      <c r="E18" s="58"/>
      <c r="F18" s="59"/>
      <c r="H18" s="183"/>
      <c r="I18" s="183"/>
      <c r="J18" s="192"/>
      <c r="K18" s="192"/>
      <c r="L18" s="192"/>
      <c r="M18" s="192"/>
    </row>
    <row r="19" spans="1:13" s="45" customFormat="1" ht="15" customHeight="1" x14ac:dyDescent="0.25">
      <c r="A19" s="94">
        <v>1</v>
      </c>
      <c r="B19" s="61" t="s">
        <v>245</v>
      </c>
      <c r="C19" s="48">
        <f>0.05*128.37*0.2</f>
        <v>1.2837000000000003</v>
      </c>
      <c r="D19" s="58" t="s">
        <v>17</v>
      </c>
      <c r="E19" s="58"/>
      <c r="F19" s="59"/>
      <c r="H19" s="192"/>
      <c r="I19" s="192"/>
      <c r="J19" s="192"/>
      <c r="K19" s="192"/>
      <c r="L19" s="192"/>
      <c r="M19" s="192"/>
    </row>
    <row r="20" spans="1:13" s="45" customFormat="1" ht="15" customHeight="1" x14ac:dyDescent="0.25">
      <c r="A20" s="94">
        <v>2</v>
      </c>
      <c r="B20" s="61" t="s">
        <v>217</v>
      </c>
      <c r="C20" s="48">
        <f>0.75*0.75*0.5*8</f>
        <v>2.25</v>
      </c>
      <c r="D20" s="58" t="s">
        <v>17</v>
      </c>
      <c r="E20" s="58"/>
      <c r="F20" s="59"/>
      <c r="H20" s="192"/>
      <c r="I20" s="192"/>
      <c r="J20" s="192"/>
      <c r="K20" s="192"/>
      <c r="L20" s="192"/>
      <c r="M20" s="192"/>
    </row>
    <row r="21" spans="1:13" s="45" customFormat="1" ht="15" customHeight="1" x14ac:dyDescent="0.25">
      <c r="A21" s="94">
        <v>3</v>
      </c>
      <c r="B21" s="61" t="s">
        <v>218</v>
      </c>
      <c r="C21" s="48">
        <f>1*1*0.5*6</f>
        <v>3</v>
      </c>
      <c r="D21" s="58" t="s">
        <v>17</v>
      </c>
      <c r="E21" s="58"/>
      <c r="F21" s="59"/>
      <c r="H21" s="192"/>
      <c r="I21" s="192"/>
      <c r="J21" s="192"/>
      <c r="K21" s="192"/>
      <c r="L21" s="192"/>
      <c r="M21" s="192"/>
    </row>
    <row r="22" spans="1:13" s="45" customFormat="1" ht="15" customHeight="1" x14ac:dyDescent="0.25">
      <c r="A22" s="94">
        <v>4</v>
      </c>
      <c r="B22" s="61" t="s">
        <v>113</v>
      </c>
      <c r="C22" s="48">
        <f>23.15*4.75*0.375</f>
        <v>41.235937499999999</v>
      </c>
      <c r="D22" s="58" t="s">
        <v>17</v>
      </c>
      <c r="E22" s="58"/>
      <c r="F22" s="59"/>
      <c r="H22" s="192"/>
      <c r="I22" s="192"/>
      <c r="J22" s="192"/>
      <c r="K22" s="192"/>
      <c r="L22" s="192"/>
      <c r="M22" s="192"/>
    </row>
    <row r="23" spans="1:13" s="96" customFormat="1" ht="15" customHeight="1" x14ac:dyDescent="0.25">
      <c r="A23" s="52"/>
      <c r="B23" s="53"/>
      <c r="C23" s="89"/>
      <c r="D23" s="85"/>
      <c r="E23" s="95"/>
      <c r="F23" s="59"/>
      <c r="H23" s="183"/>
      <c r="I23" s="183"/>
      <c r="J23" s="183"/>
      <c r="K23" s="183"/>
      <c r="L23" s="183"/>
      <c r="M23" s="183"/>
    </row>
    <row r="24" spans="1:13" s="45" customFormat="1" ht="15" customHeight="1" x14ac:dyDescent="0.25">
      <c r="A24" s="52">
        <v>1.4</v>
      </c>
      <c r="B24" s="53" t="s">
        <v>58</v>
      </c>
      <c r="C24" s="89"/>
      <c r="D24" s="85"/>
      <c r="E24" s="58"/>
      <c r="F24" s="59"/>
      <c r="H24" s="192"/>
      <c r="I24" s="192"/>
      <c r="J24" s="192"/>
      <c r="K24" s="192"/>
      <c r="L24" s="192"/>
      <c r="M24" s="192"/>
    </row>
    <row r="25" spans="1:13" s="45" customFormat="1" ht="25.5" x14ac:dyDescent="0.25">
      <c r="A25" s="46" t="s">
        <v>147</v>
      </c>
      <c r="B25" s="61" t="s">
        <v>59</v>
      </c>
      <c r="C25" s="48"/>
      <c r="D25" s="49"/>
      <c r="E25" s="58"/>
      <c r="F25" s="59"/>
      <c r="H25" s="192"/>
      <c r="I25" s="192"/>
      <c r="J25" s="192"/>
      <c r="K25" s="192"/>
      <c r="L25" s="192"/>
      <c r="M25" s="192">
        <f>950-300-75-200</f>
        <v>375</v>
      </c>
    </row>
    <row r="26" spans="1:13" s="45" customFormat="1" ht="5.0999999999999996" customHeight="1" x14ac:dyDescent="0.25">
      <c r="A26" s="46"/>
      <c r="B26" s="61"/>
      <c r="C26" s="48"/>
      <c r="D26" s="49"/>
      <c r="E26" s="58"/>
      <c r="F26" s="59"/>
      <c r="H26" s="192"/>
      <c r="I26" s="192"/>
      <c r="J26" s="192"/>
      <c r="K26" s="192"/>
      <c r="L26" s="192"/>
      <c r="M26" s="192"/>
    </row>
    <row r="27" spans="1:13" s="45" customFormat="1" ht="12.75" x14ac:dyDescent="0.25">
      <c r="A27" s="60"/>
      <c r="B27" s="61" t="s">
        <v>106</v>
      </c>
      <c r="C27" s="185"/>
      <c r="D27" s="58"/>
      <c r="E27" s="58"/>
      <c r="F27" s="59"/>
      <c r="H27" s="192"/>
      <c r="I27" s="192"/>
      <c r="J27" s="192"/>
      <c r="K27" s="192"/>
      <c r="L27" s="192"/>
      <c r="M27" s="192"/>
    </row>
    <row r="28" spans="1:13" s="45" customFormat="1" x14ac:dyDescent="0.25">
      <c r="A28" s="60">
        <v>1</v>
      </c>
      <c r="B28" s="61" t="s">
        <v>114</v>
      </c>
      <c r="C28" s="48">
        <f>128.37*0.2</f>
        <v>25.674000000000003</v>
      </c>
      <c r="D28" s="58" t="s">
        <v>125</v>
      </c>
      <c r="E28" s="58"/>
      <c r="F28" s="59"/>
      <c r="H28" s="192"/>
      <c r="I28" s="192"/>
      <c r="J28" s="192"/>
      <c r="K28" s="192"/>
      <c r="L28" s="192"/>
      <c r="M28" s="192"/>
    </row>
    <row r="29" spans="1:13" s="45" customFormat="1" x14ac:dyDescent="0.25">
      <c r="A29" s="60">
        <v>2</v>
      </c>
      <c r="B29" s="61" t="s">
        <v>219</v>
      </c>
      <c r="C29" s="48">
        <f>0.75*0.75*8</f>
        <v>4.5</v>
      </c>
      <c r="D29" s="58" t="s">
        <v>125</v>
      </c>
      <c r="E29" s="58"/>
      <c r="F29" s="59"/>
      <c r="H29" s="192"/>
      <c r="I29" s="192"/>
      <c r="J29" s="192"/>
      <c r="K29" s="192"/>
      <c r="L29" s="192"/>
      <c r="M29" s="192"/>
    </row>
    <row r="30" spans="1:13" s="45" customFormat="1" x14ac:dyDescent="0.25">
      <c r="A30" s="60">
        <v>3</v>
      </c>
      <c r="B30" s="61" t="s">
        <v>220</v>
      </c>
      <c r="C30" s="48">
        <f>1*1*6</f>
        <v>6</v>
      </c>
      <c r="D30" s="58" t="s">
        <v>125</v>
      </c>
      <c r="E30" s="58"/>
      <c r="F30" s="59"/>
      <c r="H30" s="192"/>
      <c r="I30" s="192"/>
      <c r="J30" s="192"/>
      <c r="K30" s="192"/>
      <c r="L30" s="192"/>
      <c r="M30" s="192"/>
    </row>
    <row r="31" spans="1:13" s="45" customFormat="1" x14ac:dyDescent="0.25">
      <c r="A31" s="166">
        <v>4</v>
      </c>
      <c r="B31" s="167" t="s">
        <v>115</v>
      </c>
      <c r="C31" s="48">
        <f>23.15*4.75</f>
        <v>109.96249999999999</v>
      </c>
      <c r="D31" s="168" t="s">
        <v>125</v>
      </c>
      <c r="E31" s="58"/>
      <c r="F31" s="59"/>
      <c r="H31" s="192"/>
      <c r="I31" s="192"/>
      <c r="J31" s="192"/>
      <c r="K31" s="192"/>
      <c r="L31" s="192"/>
      <c r="M31" s="192"/>
    </row>
    <row r="32" spans="1:13" s="45" customFormat="1" ht="12.75" x14ac:dyDescent="0.25">
      <c r="A32" s="60"/>
      <c r="B32" s="61"/>
      <c r="C32" s="48"/>
      <c r="D32" s="58"/>
      <c r="E32" s="58"/>
      <c r="F32" s="59"/>
      <c r="H32" s="192"/>
      <c r="I32" s="192"/>
      <c r="J32" s="192"/>
      <c r="K32" s="192"/>
      <c r="L32" s="192"/>
      <c r="M32" s="192"/>
    </row>
    <row r="33" spans="1:13" s="45" customFormat="1" ht="54.75" customHeight="1" x14ac:dyDescent="0.25">
      <c r="A33" s="60" t="s">
        <v>148</v>
      </c>
      <c r="B33" s="61" t="s">
        <v>149</v>
      </c>
      <c r="C33" s="185"/>
      <c r="D33" s="58"/>
      <c r="E33" s="58"/>
      <c r="F33" s="59"/>
      <c r="H33" s="192"/>
      <c r="I33" s="192"/>
      <c r="J33" s="192"/>
      <c r="K33" s="192"/>
      <c r="L33" s="192"/>
      <c r="M33" s="192"/>
    </row>
    <row r="34" spans="1:13" s="45" customFormat="1" ht="15" customHeight="1" x14ac:dyDescent="0.25">
      <c r="A34" s="94">
        <v>1</v>
      </c>
      <c r="B34" s="61" t="s">
        <v>246</v>
      </c>
      <c r="C34" s="48">
        <f>128.37*0.8</f>
        <v>102.69600000000001</v>
      </c>
      <c r="D34" s="58" t="s">
        <v>125</v>
      </c>
      <c r="E34" s="58"/>
      <c r="F34" s="59"/>
      <c r="H34" s="192"/>
      <c r="I34" s="192"/>
      <c r="J34" s="192"/>
      <c r="K34" s="192"/>
      <c r="L34" s="192"/>
      <c r="M34" s="192"/>
    </row>
    <row r="35" spans="1:13" s="45" customFormat="1" ht="15" customHeight="1" x14ac:dyDescent="0.25">
      <c r="A35" s="94">
        <v>2</v>
      </c>
      <c r="B35" s="61" t="s">
        <v>219</v>
      </c>
      <c r="C35" s="48">
        <f>((0.75*0.3*4)+(0.75*0.75))*8</f>
        <v>11.7</v>
      </c>
      <c r="D35" s="58" t="s">
        <v>125</v>
      </c>
      <c r="E35" s="58"/>
      <c r="F35" s="59"/>
      <c r="H35" s="192"/>
      <c r="I35" s="192"/>
      <c r="J35" s="192"/>
      <c r="K35" s="192"/>
      <c r="L35" s="192"/>
      <c r="M35" s="192"/>
    </row>
    <row r="36" spans="1:13" s="45" customFormat="1" ht="15" customHeight="1" x14ac:dyDescent="0.25">
      <c r="A36" s="94">
        <v>3</v>
      </c>
      <c r="B36" s="61" t="s">
        <v>220</v>
      </c>
      <c r="C36" s="48">
        <f>((1*0.3*4)+(1*1))*6</f>
        <v>13.200000000000001</v>
      </c>
      <c r="D36" s="58" t="s">
        <v>125</v>
      </c>
      <c r="E36" s="58"/>
      <c r="F36" s="59"/>
      <c r="H36" s="192"/>
      <c r="I36" s="192"/>
      <c r="J36" s="192"/>
      <c r="K36" s="192"/>
      <c r="L36" s="192"/>
      <c r="M36" s="192"/>
    </row>
    <row r="37" spans="1:13" s="45" customFormat="1" ht="25.5" x14ac:dyDescent="0.25">
      <c r="A37" s="94">
        <v>4</v>
      </c>
      <c r="B37" s="61" t="s">
        <v>140</v>
      </c>
      <c r="C37" s="48">
        <f>128.37*0.95*2</f>
        <v>243.90299999999999</v>
      </c>
      <c r="D37" s="58" t="s">
        <v>125</v>
      </c>
      <c r="E37" s="58"/>
      <c r="F37" s="59"/>
      <c r="H37" s="192"/>
      <c r="I37" s="192"/>
      <c r="J37" s="192"/>
      <c r="K37" s="192"/>
      <c r="L37" s="192"/>
      <c r="M37" s="192"/>
    </row>
    <row r="38" spans="1:13" s="45" customFormat="1" ht="15" customHeight="1" x14ac:dyDescent="0.25">
      <c r="A38" s="94"/>
      <c r="B38" s="61"/>
      <c r="C38" s="185"/>
      <c r="D38" s="58"/>
      <c r="E38" s="58"/>
      <c r="F38" s="59"/>
      <c r="H38" s="192"/>
      <c r="I38" s="192"/>
      <c r="J38" s="192"/>
      <c r="K38" s="192"/>
      <c r="L38" s="192"/>
      <c r="M38" s="192"/>
    </row>
    <row r="39" spans="1:13" s="45" customFormat="1" ht="15" customHeight="1" x14ac:dyDescent="0.25">
      <c r="A39" s="94"/>
      <c r="B39" s="61"/>
      <c r="C39" s="185"/>
      <c r="D39" s="58"/>
      <c r="E39" s="58"/>
      <c r="F39" s="59"/>
      <c r="H39" s="192"/>
      <c r="I39" s="192"/>
      <c r="J39" s="192"/>
      <c r="K39" s="192"/>
      <c r="L39" s="192"/>
      <c r="M39" s="192"/>
    </row>
    <row r="40" spans="1:13" s="45" customFormat="1" ht="15" customHeight="1" x14ac:dyDescent="0.25">
      <c r="A40" s="94"/>
      <c r="B40" s="61"/>
      <c r="C40" s="185"/>
      <c r="D40" s="58"/>
      <c r="E40" s="58"/>
      <c r="F40" s="59"/>
      <c r="H40" s="192"/>
      <c r="I40" s="192"/>
      <c r="J40" s="192"/>
      <c r="K40" s="192"/>
      <c r="L40" s="192"/>
      <c r="M40" s="192"/>
    </row>
    <row r="41" spans="1:13" s="45" customFormat="1" ht="15" customHeight="1" x14ac:dyDescent="0.25">
      <c r="A41" s="94"/>
      <c r="B41" s="61"/>
      <c r="C41" s="185"/>
      <c r="D41" s="58"/>
      <c r="E41" s="58"/>
      <c r="F41" s="59"/>
      <c r="H41" s="192"/>
      <c r="I41" s="192"/>
      <c r="J41" s="192"/>
      <c r="K41" s="192"/>
      <c r="L41" s="192"/>
      <c r="M41" s="192"/>
    </row>
    <row r="42" spans="1:13" s="45" customFormat="1" ht="15" customHeight="1" x14ac:dyDescent="0.25">
      <c r="A42" s="94"/>
      <c r="B42" s="61"/>
      <c r="C42" s="185"/>
      <c r="D42" s="58"/>
      <c r="E42" s="58"/>
      <c r="F42" s="59"/>
      <c r="H42" s="192"/>
      <c r="I42" s="192"/>
      <c r="J42" s="192"/>
      <c r="K42" s="192"/>
      <c r="L42" s="192"/>
      <c r="M42" s="192"/>
    </row>
    <row r="43" spans="1:13" s="45" customFormat="1" ht="15" customHeight="1" x14ac:dyDescent="0.25">
      <c r="A43" s="94"/>
      <c r="B43" s="61"/>
      <c r="C43" s="185"/>
      <c r="D43" s="58"/>
      <c r="E43" s="58"/>
      <c r="F43" s="59"/>
      <c r="H43" s="192"/>
      <c r="I43" s="192"/>
      <c r="J43" s="192"/>
      <c r="K43" s="192"/>
      <c r="L43" s="192"/>
      <c r="M43" s="192"/>
    </row>
    <row r="44" spans="1:13" s="45" customFormat="1" ht="14.25" customHeight="1" x14ac:dyDescent="0.25">
      <c r="A44" s="60"/>
      <c r="B44" s="61"/>
      <c r="C44" s="185"/>
      <c r="D44" s="58"/>
      <c r="E44" s="58"/>
      <c r="F44" s="59"/>
      <c r="H44" s="192"/>
      <c r="I44" s="192"/>
      <c r="J44" s="192"/>
      <c r="K44" s="192"/>
      <c r="L44" s="192"/>
      <c r="M44" s="192"/>
    </row>
    <row r="45" spans="1:13" s="45" customFormat="1" ht="15" customHeight="1" x14ac:dyDescent="0.25">
      <c r="A45" s="94"/>
      <c r="B45" s="61"/>
      <c r="C45" s="185"/>
      <c r="D45" s="58"/>
      <c r="E45" s="58"/>
      <c r="F45" s="59"/>
      <c r="H45" s="192"/>
      <c r="I45" s="192"/>
      <c r="J45" s="192"/>
      <c r="K45" s="192"/>
      <c r="L45" s="192"/>
      <c r="M45" s="192"/>
    </row>
    <row r="46" spans="1:13" s="45" customFormat="1" ht="15" customHeight="1" x14ac:dyDescent="0.25">
      <c r="A46" s="94"/>
      <c r="B46" s="61"/>
      <c r="C46" s="185"/>
      <c r="D46" s="58"/>
      <c r="E46" s="58"/>
      <c r="F46" s="59"/>
      <c r="H46" s="192"/>
      <c r="I46" s="192"/>
      <c r="J46" s="192"/>
      <c r="K46" s="192"/>
      <c r="L46" s="192"/>
      <c r="M46" s="192"/>
    </row>
    <row r="47" spans="1:13" s="45" customFormat="1" ht="15" customHeight="1" x14ac:dyDescent="0.25">
      <c r="A47" s="94"/>
      <c r="B47" s="97"/>
      <c r="C47" s="186"/>
      <c r="D47" s="99"/>
      <c r="E47" s="100"/>
      <c r="F47" s="101"/>
      <c r="H47" s="192"/>
      <c r="I47" s="192"/>
      <c r="J47" s="192"/>
      <c r="K47" s="192"/>
      <c r="L47" s="192"/>
      <c r="M47" s="192"/>
    </row>
    <row r="48" spans="1:13" s="45" customFormat="1" ht="15" customHeight="1" x14ac:dyDescent="0.25">
      <c r="A48" s="62"/>
      <c r="B48" s="102" t="s">
        <v>139</v>
      </c>
      <c r="C48" s="187"/>
      <c r="D48" s="65"/>
      <c r="E48" s="66"/>
      <c r="F48" s="103"/>
      <c r="H48" s="192"/>
      <c r="I48" s="192"/>
      <c r="J48" s="192"/>
      <c r="K48" s="192"/>
      <c r="L48" s="192"/>
      <c r="M48" s="192"/>
    </row>
    <row r="49" spans="1:13" s="45" customFormat="1" ht="15" customHeight="1" x14ac:dyDescent="0.25">
      <c r="A49" s="104"/>
      <c r="B49" s="69" t="s">
        <v>15</v>
      </c>
      <c r="C49" s="188"/>
      <c r="D49" s="106"/>
      <c r="E49" s="107"/>
      <c r="F49" s="108"/>
      <c r="H49" s="192"/>
      <c r="I49" s="192"/>
      <c r="J49" s="192"/>
      <c r="K49" s="192"/>
      <c r="L49" s="192"/>
      <c r="M49" s="192"/>
    </row>
    <row r="50" spans="1:13" s="45" customFormat="1" ht="15" customHeight="1" x14ac:dyDescent="0.25">
      <c r="A50" s="109"/>
      <c r="B50" s="40" t="s">
        <v>179</v>
      </c>
      <c r="C50" s="189"/>
      <c r="D50" s="110"/>
      <c r="E50" s="111"/>
      <c r="F50" s="112"/>
      <c r="H50" s="192"/>
      <c r="I50" s="192"/>
      <c r="J50" s="192"/>
      <c r="K50" s="192"/>
      <c r="L50" s="192"/>
      <c r="M50" s="192"/>
    </row>
    <row r="51" spans="1:13" s="45" customFormat="1" ht="15" customHeight="1" x14ac:dyDescent="0.25">
      <c r="A51" s="79"/>
      <c r="B51" s="80" t="s">
        <v>19</v>
      </c>
      <c r="C51" s="190"/>
      <c r="D51" s="43"/>
      <c r="E51" s="113"/>
      <c r="F51" s="114"/>
      <c r="H51" s="192"/>
      <c r="I51" s="192"/>
      <c r="J51" s="192"/>
      <c r="K51" s="192"/>
      <c r="L51" s="192"/>
      <c r="M51" s="192"/>
    </row>
    <row r="52" spans="1:13" s="45" customFormat="1" ht="15" customHeight="1" x14ac:dyDescent="0.25">
      <c r="A52" s="52">
        <v>2.1</v>
      </c>
      <c r="B52" s="53" t="s">
        <v>39</v>
      </c>
      <c r="C52" s="185"/>
      <c r="D52" s="49"/>
      <c r="E52" s="50"/>
      <c r="F52" s="59"/>
      <c r="H52" s="192"/>
      <c r="I52" s="192"/>
      <c r="J52" s="192"/>
      <c r="K52" s="192"/>
      <c r="L52" s="192"/>
      <c r="M52" s="192"/>
    </row>
    <row r="53" spans="1:13" s="45" customFormat="1" ht="51" x14ac:dyDescent="0.25">
      <c r="A53" s="46"/>
      <c r="B53" s="61" t="s">
        <v>74</v>
      </c>
      <c r="C53" s="185"/>
      <c r="D53" s="49"/>
      <c r="E53" s="50"/>
      <c r="F53" s="59"/>
      <c r="H53" s="192"/>
      <c r="I53" s="192"/>
      <c r="J53" s="192"/>
      <c r="K53" s="192"/>
      <c r="L53" s="192"/>
      <c r="M53" s="192"/>
    </row>
    <row r="54" spans="1:13" s="45" customFormat="1" ht="25.5" x14ac:dyDescent="0.25">
      <c r="A54" s="46"/>
      <c r="B54" s="61" t="s">
        <v>40</v>
      </c>
      <c r="C54" s="185"/>
      <c r="D54" s="49"/>
      <c r="E54" s="50"/>
      <c r="F54" s="59"/>
      <c r="H54" s="192"/>
      <c r="I54" s="192"/>
      <c r="J54" s="192"/>
      <c r="K54" s="192"/>
      <c r="L54" s="192"/>
      <c r="M54" s="192"/>
    </row>
    <row r="55" spans="1:13" s="45" customFormat="1" ht="25.5" x14ac:dyDescent="0.25">
      <c r="A55" s="46"/>
      <c r="B55" s="61" t="s">
        <v>60</v>
      </c>
      <c r="C55" s="185"/>
      <c r="D55" s="49"/>
      <c r="E55" s="50"/>
      <c r="F55" s="59"/>
      <c r="H55" s="192"/>
      <c r="I55" s="192"/>
      <c r="J55" s="192"/>
      <c r="K55" s="192"/>
      <c r="L55" s="192"/>
      <c r="M55" s="192"/>
    </row>
    <row r="56" spans="1:13" s="45" customFormat="1" ht="12.75" x14ac:dyDescent="0.25">
      <c r="A56" s="46"/>
      <c r="B56" s="61"/>
      <c r="C56" s="185"/>
      <c r="D56" s="49"/>
      <c r="E56" s="50"/>
      <c r="F56" s="59"/>
      <c r="H56" s="192"/>
      <c r="I56" s="192"/>
      <c r="J56" s="192"/>
      <c r="K56" s="192"/>
      <c r="L56" s="192"/>
      <c r="M56" s="192"/>
    </row>
    <row r="57" spans="1:13" s="45" customFormat="1" ht="15" customHeight="1" x14ac:dyDescent="0.25">
      <c r="A57" s="52">
        <v>2.2000000000000002</v>
      </c>
      <c r="B57" s="53" t="s">
        <v>41</v>
      </c>
      <c r="C57" s="185"/>
      <c r="D57" s="57">
        <v>0</v>
      </c>
      <c r="E57" s="50"/>
      <c r="F57" s="59"/>
      <c r="H57" s="192"/>
      <c r="I57" s="192"/>
      <c r="J57" s="192"/>
      <c r="K57" s="192"/>
      <c r="L57" s="192"/>
      <c r="M57" s="192"/>
    </row>
    <row r="58" spans="1:13" s="45" customFormat="1" ht="38.25" x14ac:dyDescent="0.25">
      <c r="A58" s="46"/>
      <c r="B58" s="61" t="s">
        <v>42</v>
      </c>
      <c r="C58" s="185"/>
      <c r="D58" s="57">
        <v>0</v>
      </c>
      <c r="E58" s="50"/>
      <c r="F58" s="59"/>
      <c r="H58" s="192"/>
      <c r="I58" s="192"/>
      <c r="J58" s="192"/>
      <c r="K58" s="192"/>
      <c r="L58" s="192"/>
      <c r="M58" s="192"/>
    </row>
    <row r="59" spans="1:13" s="45" customFormat="1" ht="10.5" customHeight="1" x14ac:dyDescent="0.25">
      <c r="A59" s="46"/>
      <c r="B59" s="61"/>
      <c r="C59" s="185"/>
      <c r="D59" s="57"/>
      <c r="E59" s="50"/>
      <c r="F59" s="59"/>
      <c r="H59" s="192"/>
      <c r="I59" s="192"/>
      <c r="J59" s="192"/>
      <c r="K59" s="192"/>
      <c r="L59" s="192"/>
      <c r="M59" s="192"/>
    </row>
    <row r="60" spans="1:13" s="45" customFormat="1" ht="12.75" x14ac:dyDescent="0.25">
      <c r="A60" s="60">
        <v>1</v>
      </c>
      <c r="B60" s="61" t="s">
        <v>247</v>
      </c>
      <c r="C60" s="48">
        <f>128.37*0.05*0.2</f>
        <v>1.2837000000000003</v>
      </c>
      <c r="D60" s="58" t="s">
        <v>17</v>
      </c>
      <c r="E60" s="58"/>
      <c r="F60" s="59"/>
      <c r="H60" s="192"/>
      <c r="I60" s="192"/>
      <c r="J60" s="192"/>
      <c r="K60" s="192"/>
      <c r="L60" s="192"/>
      <c r="M60" s="192"/>
    </row>
    <row r="61" spans="1:13" s="45" customFormat="1" ht="12.75" x14ac:dyDescent="0.25">
      <c r="A61" s="60">
        <v>2</v>
      </c>
      <c r="B61" s="61" t="s">
        <v>222</v>
      </c>
      <c r="C61" s="48">
        <f>0.75*0.75*0.05*8</f>
        <v>0.22500000000000001</v>
      </c>
      <c r="D61" s="58" t="s">
        <v>17</v>
      </c>
      <c r="E61" s="58"/>
      <c r="F61" s="59"/>
      <c r="H61" s="192"/>
      <c r="I61" s="192"/>
      <c r="J61" s="192"/>
      <c r="K61" s="192"/>
      <c r="L61" s="192"/>
      <c r="M61" s="192"/>
    </row>
    <row r="62" spans="1:13" s="45" customFormat="1" ht="15" customHeight="1" x14ac:dyDescent="0.25">
      <c r="A62" s="60">
        <v>3</v>
      </c>
      <c r="B62" s="61" t="s">
        <v>221</v>
      </c>
      <c r="C62" s="48">
        <f>1*1*0.05*6</f>
        <v>0.30000000000000004</v>
      </c>
      <c r="D62" s="58" t="s">
        <v>17</v>
      </c>
      <c r="E62" s="58"/>
      <c r="F62" s="59"/>
      <c r="H62" s="192"/>
      <c r="I62" s="192"/>
      <c r="J62" s="192"/>
      <c r="K62" s="192"/>
      <c r="L62" s="192"/>
      <c r="M62" s="192"/>
    </row>
    <row r="63" spans="1:13" s="45" customFormat="1" ht="15" customHeight="1" x14ac:dyDescent="0.25">
      <c r="A63" s="46"/>
      <c r="B63" s="61"/>
      <c r="C63" s="185"/>
      <c r="D63" s="57"/>
      <c r="E63" s="58"/>
      <c r="F63" s="59"/>
      <c r="H63" s="192"/>
      <c r="I63" s="192"/>
      <c r="J63" s="192"/>
      <c r="K63" s="192"/>
      <c r="L63" s="192"/>
      <c r="M63" s="192"/>
    </row>
    <row r="64" spans="1:13" s="45" customFormat="1" ht="15" customHeight="1" x14ac:dyDescent="0.25">
      <c r="A64" s="115">
        <v>2.2999999999999998</v>
      </c>
      <c r="B64" s="55" t="s">
        <v>43</v>
      </c>
      <c r="C64" s="185"/>
      <c r="D64" s="57">
        <v>0</v>
      </c>
      <c r="E64" s="58"/>
      <c r="F64" s="59"/>
      <c r="H64" s="192"/>
      <c r="I64" s="192"/>
      <c r="J64" s="192"/>
      <c r="K64" s="192"/>
      <c r="L64" s="192"/>
      <c r="M64" s="192"/>
    </row>
    <row r="65" spans="1:13" s="45" customFormat="1" ht="15" customHeight="1" x14ac:dyDescent="0.25">
      <c r="A65" s="46" t="s">
        <v>20</v>
      </c>
      <c r="B65" s="61" t="s">
        <v>62</v>
      </c>
      <c r="C65" s="185"/>
      <c r="D65" s="57">
        <v>0</v>
      </c>
      <c r="E65" s="58"/>
      <c r="F65" s="59"/>
      <c r="H65" s="192"/>
      <c r="I65" s="192"/>
      <c r="J65" s="192"/>
      <c r="K65" s="192"/>
      <c r="L65" s="192"/>
      <c r="M65" s="192"/>
    </row>
    <row r="66" spans="1:13" s="45" customFormat="1" ht="25.5" x14ac:dyDescent="0.25">
      <c r="A66" s="46"/>
      <c r="B66" s="61" t="s">
        <v>61</v>
      </c>
      <c r="C66" s="185"/>
      <c r="D66" s="57"/>
      <c r="E66" s="58"/>
      <c r="F66" s="59"/>
      <c r="H66" s="192"/>
      <c r="I66" s="192"/>
      <c r="J66" s="192"/>
      <c r="K66" s="192"/>
      <c r="L66" s="192"/>
      <c r="M66" s="192"/>
    </row>
    <row r="67" spans="1:13" s="45" customFormat="1" ht="10.5" customHeight="1" x14ac:dyDescent="0.25">
      <c r="A67" s="46"/>
      <c r="B67" s="116"/>
      <c r="C67" s="185"/>
      <c r="D67" s="57"/>
      <c r="E67" s="58"/>
      <c r="F67" s="59"/>
      <c r="H67" s="192"/>
      <c r="I67" s="192"/>
      <c r="J67" s="192"/>
      <c r="K67" s="192"/>
      <c r="L67" s="192"/>
      <c r="M67" s="192"/>
    </row>
    <row r="68" spans="1:13" s="45" customFormat="1" ht="15" customHeight="1" x14ac:dyDescent="0.25">
      <c r="A68" s="46" t="s">
        <v>150</v>
      </c>
      <c r="B68" s="53" t="s">
        <v>3</v>
      </c>
      <c r="C68" s="185"/>
      <c r="D68" s="57">
        <v>0</v>
      </c>
      <c r="E68" s="58"/>
      <c r="F68" s="59"/>
      <c r="H68" s="192"/>
      <c r="I68" s="192"/>
      <c r="J68" s="192"/>
      <c r="K68" s="192"/>
      <c r="L68" s="192"/>
      <c r="M68" s="192"/>
    </row>
    <row r="69" spans="1:13" s="45" customFormat="1" ht="15" customHeight="1" x14ac:dyDescent="0.25">
      <c r="A69" s="60">
        <v>1</v>
      </c>
      <c r="B69" s="61" t="s">
        <v>246</v>
      </c>
      <c r="C69" s="48">
        <f>128.37*0.2*0.3</f>
        <v>7.7022000000000004</v>
      </c>
      <c r="D69" s="58" t="s">
        <v>17</v>
      </c>
      <c r="E69" s="58"/>
      <c r="F69" s="59"/>
      <c r="H69" s="192"/>
      <c r="I69" s="192"/>
      <c r="J69" s="192"/>
      <c r="K69" s="192"/>
      <c r="L69" s="192"/>
      <c r="M69" s="192"/>
    </row>
    <row r="70" spans="1:13" s="45" customFormat="1" ht="15" customHeight="1" x14ac:dyDescent="0.25">
      <c r="A70" s="60">
        <v>2</v>
      </c>
      <c r="B70" s="61" t="s">
        <v>223</v>
      </c>
      <c r="C70" s="48">
        <f>0.75*0.75*0.3*8</f>
        <v>1.3499999999999999</v>
      </c>
      <c r="D70" s="58" t="s">
        <v>17</v>
      </c>
      <c r="E70" s="58"/>
      <c r="F70" s="59"/>
      <c r="H70" s="192"/>
      <c r="I70" s="192"/>
      <c r="J70" s="192"/>
      <c r="K70" s="192"/>
      <c r="L70" s="192"/>
      <c r="M70" s="192"/>
    </row>
    <row r="71" spans="1:13" s="45" customFormat="1" ht="15" customHeight="1" x14ac:dyDescent="0.25">
      <c r="A71" s="60">
        <v>3</v>
      </c>
      <c r="B71" s="61" t="s">
        <v>224</v>
      </c>
      <c r="C71" s="48">
        <f>1*1*0.3*6</f>
        <v>1.7999999999999998</v>
      </c>
      <c r="D71" s="58" t="s">
        <v>17</v>
      </c>
      <c r="E71" s="58"/>
      <c r="F71" s="59"/>
      <c r="H71" s="192"/>
      <c r="I71" s="192"/>
      <c r="J71" s="192"/>
      <c r="K71" s="192"/>
      <c r="L71" s="192"/>
      <c r="M71" s="192"/>
    </row>
    <row r="72" spans="1:13" s="45" customFormat="1" ht="15" customHeight="1" x14ac:dyDescent="0.25">
      <c r="A72" s="60">
        <v>4</v>
      </c>
      <c r="B72" s="92" t="s">
        <v>225</v>
      </c>
      <c r="C72" s="48">
        <f>0.2*0.2*0.625*21</f>
        <v>0.52500000000000013</v>
      </c>
      <c r="D72" s="58" t="s">
        <v>17</v>
      </c>
      <c r="E72" s="58"/>
      <c r="F72" s="59"/>
      <c r="G72" s="45" t="s">
        <v>227</v>
      </c>
      <c r="H72" s="192"/>
      <c r="I72" s="192"/>
      <c r="J72" s="192"/>
      <c r="K72" s="192"/>
      <c r="L72" s="192"/>
      <c r="M72" s="192"/>
    </row>
    <row r="73" spans="1:13" s="45" customFormat="1" ht="15" customHeight="1" x14ac:dyDescent="0.25">
      <c r="A73" s="60">
        <v>4</v>
      </c>
      <c r="B73" s="92" t="s">
        <v>226</v>
      </c>
      <c r="C73" s="48">
        <f>0.15*0.15*0.62*25</f>
        <v>0.34874999999999995</v>
      </c>
      <c r="D73" s="58" t="s">
        <v>17</v>
      </c>
      <c r="E73" s="58"/>
      <c r="F73" s="59"/>
      <c r="G73" s="45" t="s">
        <v>227</v>
      </c>
      <c r="H73" s="192"/>
      <c r="I73" s="192"/>
      <c r="J73" s="192"/>
      <c r="K73" s="192"/>
      <c r="L73" s="192"/>
      <c r="M73" s="192"/>
    </row>
    <row r="74" spans="1:13" s="45" customFormat="1" ht="15" customHeight="1" x14ac:dyDescent="0.25">
      <c r="A74" s="60"/>
      <c r="B74" s="92"/>
      <c r="C74" s="48"/>
      <c r="D74" s="58"/>
      <c r="E74" s="58"/>
      <c r="F74" s="59"/>
      <c r="H74" s="192"/>
      <c r="I74" s="192"/>
      <c r="J74" s="192"/>
      <c r="K74" s="192"/>
      <c r="L74" s="192"/>
      <c r="M74" s="192"/>
    </row>
    <row r="75" spans="1:13" s="45" customFormat="1" ht="15" customHeight="1" x14ac:dyDescent="0.25">
      <c r="A75" s="46" t="s">
        <v>151</v>
      </c>
      <c r="B75" s="53" t="s">
        <v>2</v>
      </c>
      <c r="C75" s="48"/>
      <c r="D75" s="58"/>
      <c r="E75" s="58"/>
      <c r="F75" s="59"/>
      <c r="H75" s="192"/>
      <c r="I75" s="192"/>
      <c r="J75" s="192"/>
      <c r="K75" s="192"/>
      <c r="L75" s="192"/>
      <c r="M75" s="192"/>
    </row>
    <row r="76" spans="1:13" s="45" customFormat="1" ht="15" customHeight="1" x14ac:dyDescent="0.25">
      <c r="A76" s="60">
        <v>1</v>
      </c>
      <c r="B76" s="92" t="str">
        <f>B72</f>
        <v>Columns C1, (200x200mm)</v>
      </c>
      <c r="C76" s="48">
        <f>0.2*0.2*2.65*21</f>
        <v>2.2260000000000004</v>
      </c>
      <c r="D76" s="58" t="s">
        <v>17</v>
      </c>
      <c r="E76" s="58"/>
      <c r="F76" s="59"/>
      <c r="H76" s="192"/>
      <c r="I76" s="192"/>
      <c r="J76" s="192"/>
      <c r="K76" s="192"/>
      <c r="L76" s="192"/>
      <c r="M76" s="192"/>
    </row>
    <row r="77" spans="1:13" s="45" customFormat="1" ht="15" customHeight="1" x14ac:dyDescent="0.25">
      <c r="A77" s="60">
        <v>2</v>
      </c>
      <c r="B77" s="92" t="str">
        <f>B73</f>
        <v>Columns C2, (150x150mm)</v>
      </c>
      <c r="C77" s="48">
        <f>0.15*0.15*2.65*25</f>
        <v>1.4906249999999999</v>
      </c>
      <c r="D77" s="58" t="s">
        <v>17</v>
      </c>
      <c r="E77" s="58"/>
      <c r="F77" s="59"/>
      <c r="H77" s="192"/>
      <c r="I77" s="192"/>
      <c r="J77" s="192"/>
      <c r="K77" s="192"/>
      <c r="L77" s="192"/>
      <c r="M77" s="192"/>
    </row>
    <row r="78" spans="1:13" s="45" customFormat="1" ht="15" customHeight="1" x14ac:dyDescent="0.25">
      <c r="A78" s="60">
        <v>3</v>
      </c>
      <c r="B78" s="92" t="s">
        <v>105</v>
      </c>
      <c r="C78" s="48">
        <f>23.15*4.75*0.075</f>
        <v>8.247187499999999</v>
      </c>
      <c r="D78" s="58" t="s">
        <v>17</v>
      </c>
      <c r="E78" s="58"/>
      <c r="F78" s="59"/>
      <c r="H78" s="192"/>
      <c r="I78" s="192"/>
      <c r="J78" s="192"/>
      <c r="K78" s="192"/>
      <c r="L78" s="192"/>
      <c r="M78" s="192"/>
    </row>
    <row r="79" spans="1:13" s="45" customFormat="1" ht="12.75" x14ac:dyDescent="0.25">
      <c r="A79" s="60">
        <v>4</v>
      </c>
      <c r="B79" s="56" t="s">
        <v>244</v>
      </c>
      <c r="C79" s="48">
        <f>0.15*0.15*23.15+(2.3*0.6*0.15)+(0.6*1.4*0.15)</f>
        <v>0.85387499999999994</v>
      </c>
      <c r="D79" s="58" t="s">
        <v>17</v>
      </c>
      <c r="E79" s="58"/>
      <c r="F79" s="59"/>
      <c r="H79" s="192"/>
      <c r="I79" s="192"/>
      <c r="J79" s="192"/>
      <c r="K79" s="192"/>
      <c r="L79" s="192"/>
      <c r="M79" s="192"/>
    </row>
    <row r="80" spans="1:13" s="45" customFormat="1" ht="12.75" x14ac:dyDescent="0.25">
      <c r="A80" s="60"/>
      <c r="B80" s="56"/>
      <c r="C80" s="48"/>
      <c r="D80" s="58"/>
      <c r="E80" s="58"/>
      <c r="F80" s="59"/>
      <c r="H80" s="192"/>
      <c r="I80" s="192"/>
      <c r="J80" s="192"/>
      <c r="K80" s="192"/>
      <c r="L80" s="192"/>
      <c r="M80" s="192"/>
    </row>
    <row r="81" spans="1:13" s="45" customFormat="1" ht="15" customHeight="1" x14ac:dyDescent="0.25">
      <c r="A81" s="46" t="s">
        <v>180</v>
      </c>
      <c r="B81" s="55" t="s">
        <v>22</v>
      </c>
      <c r="C81" s="48"/>
      <c r="D81" s="58"/>
      <c r="E81" s="58"/>
      <c r="F81" s="59"/>
      <c r="H81" s="192"/>
      <c r="I81" s="192"/>
      <c r="J81" s="192"/>
      <c r="K81" s="192"/>
      <c r="L81" s="192"/>
      <c r="M81" s="192"/>
    </row>
    <row r="82" spans="1:13" s="45" customFormat="1" ht="15" customHeight="1" x14ac:dyDescent="0.25">
      <c r="A82" s="60">
        <v>1</v>
      </c>
      <c r="B82" s="92" t="s">
        <v>228</v>
      </c>
      <c r="C82" s="48">
        <f>0.2*0.35*79.55</f>
        <v>5.5684999999999993</v>
      </c>
      <c r="D82" s="58" t="s">
        <v>17</v>
      </c>
      <c r="E82" s="58"/>
      <c r="F82" s="59"/>
      <c r="H82" s="192">
        <f>23.15*2</f>
        <v>46.3</v>
      </c>
      <c r="I82" s="192"/>
      <c r="J82" s="192"/>
      <c r="K82" s="192"/>
      <c r="L82" s="192"/>
      <c r="M82" s="192"/>
    </row>
    <row r="83" spans="1:13" s="45" customFormat="1" ht="15" customHeight="1" x14ac:dyDescent="0.25">
      <c r="A83" s="60">
        <v>2</v>
      </c>
      <c r="B83" s="92" t="s">
        <v>164</v>
      </c>
      <c r="C83" s="48">
        <f>5.95*24.2*0.125</f>
        <v>17.998750000000001</v>
      </c>
      <c r="D83" s="58" t="s">
        <v>17</v>
      </c>
      <c r="E83" s="58"/>
      <c r="F83" s="59"/>
      <c r="H83" s="192">
        <f>4.75*7</f>
        <v>33.25</v>
      </c>
      <c r="I83" s="192"/>
      <c r="J83" s="192"/>
      <c r="K83" s="192"/>
      <c r="L83" s="192"/>
      <c r="M83" s="192"/>
    </row>
    <row r="84" spans="1:13" s="45" customFormat="1" ht="15" customHeight="1" x14ac:dyDescent="0.25">
      <c r="A84" s="60"/>
      <c r="B84" s="93"/>
      <c r="C84" s="48"/>
      <c r="D84" s="58"/>
      <c r="E84" s="58"/>
      <c r="F84" s="59"/>
      <c r="H84" s="192">
        <f>33.25+46.3</f>
        <v>79.55</v>
      </c>
      <c r="I84" s="192"/>
      <c r="J84" s="192"/>
      <c r="K84" s="192"/>
      <c r="L84" s="192"/>
      <c r="M84" s="192"/>
    </row>
    <row r="85" spans="1:13" s="45" customFormat="1" ht="15" customHeight="1" x14ac:dyDescent="0.25">
      <c r="A85" s="52">
        <v>2.4</v>
      </c>
      <c r="B85" s="117" t="s">
        <v>99</v>
      </c>
      <c r="C85" s="48"/>
      <c r="D85" s="58"/>
      <c r="E85" s="50"/>
      <c r="F85" s="59"/>
      <c r="H85" s="192"/>
      <c r="I85" s="192"/>
      <c r="J85" s="192"/>
      <c r="K85" s="192"/>
      <c r="L85" s="192"/>
      <c r="M85" s="192"/>
    </row>
    <row r="86" spans="1:13" s="45" customFormat="1" ht="51" x14ac:dyDescent="0.25">
      <c r="A86" s="60"/>
      <c r="B86" s="118" t="s">
        <v>141</v>
      </c>
      <c r="C86" s="48"/>
      <c r="D86" s="58"/>
      <c r="E86" s="50"/>
      <c r="F86" s="59"/>
      <c r="H86" s="192"/>
      <c r="I86" s="192"/>
      <c r="J86" s="192"/>
      <c r="K86" s="192"/>
      <c r="L86" s="192"/>
      <c r="M86" s="192"/>
    </row>
    <row r="87" spans="1:13" s="45" customFormat="1" ht="15" customHeight="1" x14ac:dyDescent="0.25">
      <c r="A87" s="46" t="s">
        <v>152</v>
      </c>
      <c r="B87" s="53" t="s">
        <v>3</v>
      </c>
      <c r="C87" s="48"/>
      <c r="D87" s="57">
        <v>0</v>
      </c>
      <c r="E87" s="58"/>
      <c r="F87" s="59"/>
      <c r="H87" s="192"/>
      <c r="I87" s="192"/>
      <c r="J87" s="192"/>
      <c r="K87" s="192"/>
      <c r="L87" s="192"/>
      <c r="M87" s="192"/>
    </row>
    <row r="88" spans="1:13" s="45" customFormat="1" ht="15" customHeight="1" x14ac:dyDescent="0.25">
      <c r="A88" s="60">
        <v>1</v>
      </c>
      <c r="B88" s="61" t="s">
        <v>114</v>
      </c>
      <c r="C88" s="48">
        <f>128.37*0.6</f>
        <v>77.022000000000006</v>
      </c>
      <c r="D88" s="58" t="s">
        <v>16</v>
      </c>
      <c r="E88" s="58"/>
      <c r="F88" s="59"/>
      <c r="H88" s="192"/>
      <c r="I88" s="192"/>
      <c r="J88" s="192"/>
      <c r="K88" s="192"/>
      <c r="L88" s="192"/>
      <c r="M88" s="192"/>
    </row>
    <row r="89" spans="1:13" s="45" customFormat="1" ht="15" customHeight="1" x14ac:dyDescent="0.25">
      <c r="A89" s="60">
        <v>2</v>
      </c>
      <c r="B89" s="61" t="s">
        <v>223</v>
      </c>
      <c r="C89" s="48">
        <f>0.75*0.3*4*8</f>
        <v>7.1999999999999993</v>
      </c>
      <c r="D89" s="58" t="s">
        <v>16</v>
      </c>
      <c r="E89" s="58"/>
      <c r="F89" s="59"/>
      <c r="H89" s="192"/>
      <c r="I89" s="192"/>
      <c r="J89" s="192"/>
      <c r="K89" s="192"/>
      <c r="L89" s="192"/>
      <c r="M89" s="192"/>
    </row>
    <row r="90" spans="1:13" s="45" customFormat="1" ht="15" customHeight="1" x14ac:dyDescent="0.25">
      <c r="A90" s="60">
        <v>3</v>
      </c>
      <c r="B90" s="61" t="s">
        <v>224</v>
      </c>
      <c r="C90" s="48">
        <f>1*0.3*4*6</f>
        <v>7.1999999999999993</v>
      </c>
      <c r="D90" s="58" t="s">
        <v>16</v>
      </c>
      <c r="E90" s="58"/>
      <c r="F90" s="59"/>
      <c r="H90" s="192"/>
      <c r="I90" s="192"/>
      <c r="J90" s="192"/>
      <c r="K90" s="192"/>
      <c r="L90" s="192"/>
      <c r="M90" s="192"/>
    </row>
    <row r="91" spans="1:13" s="45" customFormat="1" ht="15" customHeight="1" x14ac:dyDescent="0.25">
      <c r="A91" s="60">
        <v>4</v>
      </c>
      <c r="B91" s="92" t="s">
        <v>225</v>
      </c>
      <c r="C91" s="48">
        <f>0.2*0.625*4*21</f>
        <v>10.5</v>
      </c>
      <c r="D91" s="58" t="s">
        <v>16</v>
      </c>
      <c r="E91" s="58"/>
      <c r="F91" s="59"/>
      <c r="H91" s="192"/>
      <c r="I91" s="192"/>
      <c r="J91" s="192"/>
      <c r="K91" s="192"/>
      <c r="L91" s="192"/>
      <c r="M91" s="192"/>
    </row>
    <row r="92" spans="1:13" s="45" customFormat="1" ht="15" customHeight="1" x14ac:dyDescent="0.25">
      <c r="A92" s="60">
        <v>5</v>
      </c>
      <c r="B92" s="92" t="s">
        <v>226</v>
      </c>
      <c r="C92" s="48">
        <f>0.15*0.625*4*25</f>
        <v>9.375</v>
      </c>
      <c r="D92" s="58" t="s">
        <v>16</v>
      </c>
      <c r="E92" s="58"/>
      <c r="F92" s="59"/>
      <c r="H92" s="192"/>
      <c r="I92" s="192"/>
      <c r="J92" s="192"/>
      <c r="K92" s="192"/>
      <c r="L92" s="192"/>
      <c r="M92" s="192"/>
    </row>
    <row r="93" spans="1:13" s="45" customFormat="1" ht="15" customHeight="1" x14ac:dyDescent="0.25">
      <c r="A93" s="60"/>
      <c r="B93" s="92"/>
      <c r="C93" s="48"/>
      <c r="D93" s="58"/>
      <c r="E93" s="58"/>
      <c r="F93" s="59"/>
      <c r="H93" s="192"/>
      <c r="I93" s="192"/>
      <c r="J93" s="192"/>
      <c r="K93" s="192"/>
      <c r="L93" s="192"/>
      <c r="M93" s="192"/>
    </row>
    <row r="94" spans="1:13" s="45" customFormat="1" ht="15" customHeight="1" x14ac:dyDescent="0.25">
      <c r="A94" s="46" t="s">
        <v>153</v>
      </c>
      <c r="B94" s="53" t="s">
        <v>2</v>
      </c>
      <c r="C94" s="48"/>
      <c r="D94" s="58"/>
      <c r="E94" s="58"/>
      <c r="F94" s="59"/>
      <c r="H94" s="192"/>
      <c r="I94" s="192"/>
      <c r="J94" s="192"/>
      <c r="K94" s="192"/>
      <c r="L94" s="192"/>
      <c r="M94" s="192"/>
    </row>
    <row r="95" spans="1:13" s="45" customFormat="1" ht="15" customHeight="1" x14ac:dyDescent="0.25">
      <c r="A95" s="60">
        <v>1</v>
      </c>
      <c r="B95" s="92" t="str">
        <f>B91</f>
        <v>Columns C1, (200x200mm)</v>
      </c>
      <c r="C95" s="48">
        <f>0.2*2.65*4*21</f>
        <v>44.52</v>
      </c>
      <c r="D95" s="58" t="s">
        <v>16</v>
      </c>
      <c r="E95" s="58"/>
      <c r="F95" s="59"/>
      <c r="H95" s="192"/>
      <c r="I95" s="192"/>
      <c r="J95" s="192"/>
      <c r="K95" s="192"/>
      <c r="L95" s="192"/>
      <c r="M95" s="192"/>
    </row>
    <row r="96" spans="1:13" s="45" customFormat="1" ht="15" customHeight="1" x14ac:dyDescent="0.25">
      <c r="A96" s="60">
        <v>2</v>
      </c>
      <c r="B96" s="92" t="str">
        <f>B92</f>
        <v>Columns C2, (150x150mm)</v>
      </c>
      <c r="C96" s="48">
        <f>0.15*2.65*4*25</f>
        <v>39.75</v>
      </c>
      <c r="D96" s="58" t="s">
        <v>16</v>
      </c>
      <c r="E96" s="58"/>
      <c r="F96" s="59"/>
      <c r="H96" s="192"/>
      <c r="I96" s="192"/>
      <c r="J96" s="192"/>
      <c r="K96" s="192"/>
      <c r="L96" s="192"/>
      <c r="M96" s="192"/>
    </row>
    <row r="97" spans="1:13" s="45" customFormat="1" ht="15" customHeight="1" x14ac:dyDescent="0.25">
      <c r="A97" s="60">
        <v>3</v>
      </c>
      <c r="B97" s="92" t="s">
        <v>105</v>
      </c>
      <c r="C97" s="48">
        <f>23.15*4.75</f>
        <v>109.96249999999999</v>
      </c>
      <c r="D97" s="58" t="s">
        <v>16</v>
      </c>
      <c r="E97" s="58"/>
      <c r="F97" s="59"/>
      <c r="H97" s="192"/>
      <c r="I97" s="192"/>
      <c r="J97" s="192"/>
      <c r="K97" s="192"/>
      <c r="L97" s="192"/>
      <c r="M97" s="192"/>
    </row>
    <row r="98" spans="1:13" s="45" customFormat="1" ht="15" customHeight="1" x14ac:dyDescent="0.25">
      <c r="A98" s="60">
        <v>4</v>
      </c>
      <c r="B98" s="56" t="s">
        <v>244</v>
      </c>
      <c r="C98" s="48">
        <f>0.15*3*23.15+(0.15*2*2.1)+(2.3*0.6)+(0.6*1.4)+(2.6*0.15)</f>
        <v>13.657499999999999</v>
      </c>
      <c r="D98" s="58" t="s">
        <v>16</v>
      </c>
      <c r="E98" s="58"/>
      <c r="F98" s="59"/>
      <c r="H98" s="192"/>
      <c r="I98" s="192"/>
      <c r="J98" s="192"/>
      <c r="K98" s="192"/>
      <c r="L98" s="192"/>
      <c r="M98" s="192"/>
    </row>
    <row r="99" spans="1:13" s="45" customFormat="1" ht="15" customHeight="1" x14ac:dyDescent="0.25">
      <c r="A99" s="60"/>
      <c r="B99" s="56"/>
      <c r="C99" s="48"/>
      <c r="D99" s="58"/>
      <c r="E99" s="58"/>
      <c r="F99" s="59"/>
      <c r="H99" s="192"/>
      <c r="I99" s="192"/>
      <c r="J99" s="192"/>
      <c r="K99" s="192"/>
      <c r="L99" s="192"/>
      <c r="M99" s="192"/>
    </row>
    <row r="100" spans="1:13" s="45" customFormat="1" ht="15" customHeight="1" x14ac:dyDescent="0.25">
      <c r="A100" s="46" t="s">
        <v>181</v>
      </c>
      <c r="B100" s="55" t="s">
        <v>22</v>
      </c>
      <c r="C100" s="48"/>
      <c r="D100" s="58"/>
      <c r="E100" s="58"/>
      <c r="F100" s="59"/>
      <c r="H100" s="192"/>
      <c r="I100" s="192"/>
      <c r="J100" s="192">
        <f>0.2+0.35+0.35</f>
        <v>0.9</v>
      </c>
      <c r="K100" s="192"/>
      <c r="L100" s="192"/>
      <c r="M100" s="192"/>
    </row>
    <row r="101" spans="1:13" s="45" customFormat="1" ht="15" customHeight="1" x14ac:dyDescent="0.25">
      <c r="A101" s="60">
        <v>1</v>
      </c>
      <c r="B101" s="92" t="s">
        <v>228</v>
      </c>
      <c r="C101" s="48">
        <f>79.55*0.9</f>
        <v>71.594999999999999</v>
      </c>
      <c r="D101" s="58" t="s">
        <v>16</v>
      </c>
      <c r="E101" s="58"/>
      <c r="F101" s="59"/>
      <c r="H101" s="192"/>
      <c r="I101" s="192"/>
      <c r="J101" s="192"/>
      <c r="K101" s="192"/>
      <c r="L101" s="192"/>
      <c r="M101" s="192"/>
    </row>
    <row r="102" spans="1:13" s="45" customFormat="1" ht="15" customHeight="1" x14ac:dyDescent="0.25">
      <c r="A102" s="60">
        <v>2</v>
      </c>
      <c r="B102" s="92" t="s">
        <v>164</v>
      </c>
      <c r="C102" s="48">
        <f>5.95*24.2-(79.55*0.2)</f>
        <v>128.08000000000001</v>
      </c>
      <c r="D102" s="58" t="s">
        <v>16</v>
      </c>
      <c r="E102" s="58"/>
      <c r="F102" s="59"/>
      <c r="H102" s="192"/>
      <c r="I102" s="192"/>
      <c r="J102" s="192">
        <f>79.55*0.2</f>
        <v>15.91</v>
      </c>
      <c r="K102" s="192"/>
      <c r="L102" s="192"/>
      <c r="M102" s="192"/>
    </row>
    <row r="103" spans="1:13" s="45" customFormat="1" ht="15" customHeight="1" x14ac:dyDescent="0.25">
      <c r="A103" s="60"/>
      <c r="B103" s="120"/>
      <c r="C103" s="48"/>
      <c r="D103" s="121"/>
      <c r="E103" s="50"/>
      <c r="F103" s="59"/>
      <c r="H103" s="192"/>
      <c r="I103" s="192"/>
      <c r="J103" s="192"/>
      <c r="K103" s="192"/>
      <c r="L103" s="192"/>
      <c r="M103" s="192"/>
    </row>
    <row r="104" spans="1:13" s="45" customFormat="1" ht="15" customHeight="1" x14ac:dyDescent="0.25">
      <c r="A104" s="52">
        <v>2.5</v>
      </c>
      <c r="B104" s="55" t="s">
        <v>44</v>
      </c>
      <c r="C104" s="48"/>
      <c r="D104" s="57">
        <v>0</v>
      </c>
      <c r="E104" s="50"/>
      <c r="F104" s="59"/>
      <c r="H104" s="192"/>
      <c r="I104" s="192"/>
      <c r="J104" s="192"/>
      <c r="K104" s="192"/>
      <c r="L104" s="192"/>
      <c r="M104" s="192"/>
    </row>
    <row r="105" spans="1:13" s="45" customFormat="1" ht="39" customHeight="1" x14ac:dyDescent="0.25">
      <c r="A105" s="46"/>
      <c r="B105" s="61" t="s">
        <v>142</v>
      </c>
      <c r="C105" s="48"/>
      <c r="D105" s="57">
        <v>0</v>
      </c>
      <c r="E105" s="50"/>
      <c r="F105" s="59"/>
      <c r="H105" s="192"/>
      <c r="I105" s="192"/>
      <c r="J105" s="192"/>
      <c r="K105" s="192"/>
      <c r="L105" s="192"/>
      <c r="M105" s="192"/>
    </row>
    <row r="106" spans="1:13" s="45" customFormat="1" ht="25.5" x14ac:dyDescent="0.25">
      <c r="A106" s="46"/>
      <c r="B106" s="56" t="s">
        <v>101</v>
      </c>
      <c r="C106" s="48"/>
      <c r="D106" s="57">
        <v>0</v>
      </c>
      <c r="E106" s="50"/>
      <c r="F106" s="59"/>
      <c r="H106" s="192"/>
      <c r="I106" s="192"/>
      <c r="J106" s="192"/>
      <c r="K106" s="192"/>
      <c r="L106" s="192"/>
      <c r="M106" s="192"/>
    </row>
    <row r="107" spans="1:13" s="45" customFormat="1" ht="25.5" x14ac:dyDescent="0.25">
      <c r="A107" s="46"/>
      <c r="B107" s="56" t="s">
        <v>100</v>
      </c>
      <c r="C107" s="48"/>
      <c r="D107" s="57"/>
      <c r="E107" s="50"/>
      <c r="F107" s="59"/>
      <c r="H107" s="192"/>
      <c r="I107" s="192"/>
      <c r="J107" s="192"/>
      <c r="K107" s="192"/>
      <c r="L107" s="192"/>
      <c r="M107" s="192"/>
    </row>
    <row r="108" spans="1:13" s="45" customFormat="1" ht="15" customHeight="1" x14ac:dyDescent="0.25">
      <c r="A108" s="46"/>
      <c r="B108" s="56"/>
      <c r="C108" s="48"/>
      <c r="D108" s="57"/>
      <c r="E108" s="50"/>
      <c r="F108" s="59"/>
      <c r="H108" s="192"/>
      <c r="I108" s="192"/>
      <c r="J108" s="211">
        <v>79.55</v>
      </c>
      <c r="K108" s="192"/>
      <c r="L108" s="192"/>
      <c r="M108" s="192"/>
    </row>
    <row r="109" spans="1:13" s="45" customFormat="1" ht="15" customHeight="1" x14ac:dyDescent="0.25">
      <c r="A109" s="122" t="s">
        <v>154</v>
      </c>
      <c r="B109" s="53" t="s">
        <v>3</v>
      </c>
      <c r="C109" s="48"/>
      <c r="D109" s="57"/>
      <c r="E109" s="50"/>
      <c r="F109" s="59"/>
      <c r="H109" s="192"/>
      <c r="I109" s="192"/>
      <c r="J109" s="192"/>
      <c r="K109" s="192"/>
      <c r="L109" s="192"/>
      <c r="M109" s="192"/>
    </row>
    <row r="110" spans="1:13" s="45" customFormat="1" ht="15" customHeight="1" x14ac:dyDescent="0.25">
      <c r="A110" s="60">
        <v>1</v>
      </c>
      <c r="B110" s="61" t="s">
        <v>229</v>
      </c>
      <c r="C110" s="48">
        <f>128.37*4*0.00158</f>
        <v>0.81129840000000009</v>
      </c>
      <c r="D110" s="57" t="s">
        <v>34</v>
      </c>
      <c r="E110" s="50"/>
      <c r="F110" s="59"/>
      <c r="H110" s="192"/>
      <c r="I110" s="192"/>
      <c r="J110" s="192">
        <f>128.37/0.15</f>
        <v>855.80000000000007</v>
      </c>
      <c r="K110" s="192">
        <f>0.2+0.2+0.3+0.3-0.05*4</f>
        <v>0.8</v>
      </c>
      <c r="L110" s="192"/>
      <c r="M110" s="192"/>
    </row>
    <row r="111" spans="1:13" s="45" customFormat="1" ht="15" customHeight="1" x14ac:dyDescent="0.25">
      <c r="A111" s="60">
        <v>2</v>
      </c>
      <c r="B111" s="61" t="s">
        <v>230</v>
      </c>
      <c r="C111" s="48">
        <f>856*0.8*0.000222</f>
        <v>0.15202560000000001</v>
      </c>
      <c r="D111" s="57" t="s">
        <v>34</v>
      </c>
      <c r="E111" s="50"/>
      <c r="F111" s="59"/>
      <c r="H111" s="192"/>
      <c r="I111" s="192"/>
      <c r="J111" s="192">
        <f>0.75/0.15</f>
        <v>5</v>
      </c>
      <c r="K111" s="192"/>
      <c r="L111" s="192"/>
      <c r="M111" s="192"/>
    </row>
    <row r="112" spans="1:13" s="45" customFormat="1" ht="15" customHeight="1" x14ac:dyDescent="0.25">
      <c r="A112" s="60">
        <v>3</v>
      </c>
      <c r="B112" s="61" t="s">
        <v>231</v>
      </c>
      <c r="C112" s="48">
        <f>12*0.8*0.000888*8</f>
        <v>6.8198400000000006E-2</v>
      </c>
      <c r="D112" s="58" t="s">
        <v>34</v>
      </c>
      <c r="E112" s="50"/>
      <c r="F112" s="59"/>
      <c r="H112" s="192"/>
      <c r="I112" s="192"/>
      <c r="J112" s="192">
        <f>1/0.15</f>
        <v>6.666666666666667</v>
      </c>
      <c r="K112" s="192"/>
      <c r="L112" s="192"/>
      <c r="M112" s="192"/>
    </row>
    <row r="113" spans="1:13" s="45" customFormat="1" ht="15" customHeight="1" x14ac:dyDescent="0.25">
      <c r="A113" s="60">
        <v>4</v>
      </c>
      <c r="B113" s="61" t="s">
        <v>232</v>
      </c>
      <c r="C113" s="48">
        <f>14*1.1*0.000888*6</f>
        <v>8.2051200000000019E-2</v>
      </c>
      <c r="D113" s="58" t="s">
        <v>34</v>
      </c>
      <c r="E113" s="50"/>
      <c r="F113" s="59"/>
      <c r="H113" s="192"/>
      <c r="I113" s="192"/>
      <c r="J113" s="192"/>
      <c r="K113" s="192"/>
      <c r="L113" s="192"/>
      <c r="M113" s="192"/>
    </row>
    <row r="114" spans="1:13" s="45" customFormat="1" ht="15" customHeight="1" x14ac:dyDescent="0.25">
      <c r="A114" s="60"/>
      <c r="B114" s="61" t="s">
        <v>239</v>
      </c>
      <c r="C114" s="212"/>
      <c r="D114" s="58"/>
      <c r="E114" s="50"/>
      <c r="F114" s="59"/>
      <c r="H114" s="192"/>
      <c r="I114" s="192"/>
      <c r="J114" s="192"/>
      <c r="K114" s="192"/>
      <c r="L114" s="192"/>
      <c r="M114" s="192"/>
    </row>
    <row r="115" spans="1:13" s="45" customFormat="1" ht="12" customHeight="1" x14ac:dyDescent="0.25">
      <c r="A115" s="60">
        <v>5</v>
      </c>
      <c r="B115" s="92" t="s">
        <v>241</v>
      </c>
      <c r="C115" s="48">
        <f>4*0.725*0.000888*46</f>
        <v>0.1184592</v>
      </c>
      <c r="D115" s="58" t="s">
        <v>34</v>
      </c>
      <c r="E115" s="50"/>
      <c r="F115" s="59"/>
      <c r="H115" s="192"/>
      <c r="I115" s="192"/>
      <c r="J115" s="192">
        <f>0.625/0.15</f>
        <v>4.166666666666667</v>
      </c>
      <c r="K115" s="192"/>
      <c r="L115" s="192"/>
      <c r="M115" s="192"/>
    </row>
    <row r="116" spans="1:13" s="45" customFormat="1" ht="12" customHeight="1" x14ac:dyDescent="0.25">
      <c r="A116" s="60">
        <v>6</v>
      </c>
      <c r="B116" s="92" t="s">
        <v>240</v>
      </c>
      <c r="C116" s="48">
        <f>0.6*5*0.000222*46</f>
        <v>3.0636E-2</v>
      </c>
      <c r="D116" s="58" t="s">
        <v>34</v>
      </c>
      <c r="E116" s="50"/>
      <c r="F116" s="59"/>
      <c r="H116" s="192"/>
      <c r="I116" s="192"/>
      <c r="J116" s="192"/>
      <c r="K116" s="192"/>
      <c r="L116" s="192"/>
      <c r="M116" s="192"/>
    </row>
    <row r="117" spans="1:13" s="45" customFormat="1" ht="15" customHeight="1" x14ac:dyDescent="0.25">
      <c r="A117" s="60"/>
      <c r="B117" s="92"/>
      <c r="C117" s="212"/>
      <c r="D117" s="57"/>
      <c r="E117" s="50"/>
      <c r="F117" s="59"/>
      <c r="H117" s="192"/>
      <c r="I117" s="192"/>
      <c r="J117" s="212"/>
      <c r="K117" s="212"/>
      <c r="L117" s="213"/>
      <c r="M117" s="192"/>
    </row>
    <row r="118" spans="1:13" s="45" customFormat="1" ht="15" customHeight="1" x14ac:dyDescent="0.25">
      <c r="A118" s="60"/>
      <c r="B118" s="92"/>
      <c r="C118" s="48"/>
      <c r="D118" s="57"/>
      <c r="E118" s="50"/>
      <c r="F118" s="59"/>
      <c r="H118" s="192"/>
      <c r="I118" s="192"/>
      <c r="J118" s="212"/>
      <c r="K118" s="212"/>
      <c r="L118" s="192"/>
      <c r="M118" s="192"/>
    </row>
    <row r="119" spans="1:13" s="45" customFormat="1" ht="15" customHeight="1" x14ac:dyDescent="0.25">
      <c r="A119" s="60"/>
      <c r="B119" s="61"/>
      <c r="C119" s="48"/>
      <c r="D119" s="58"/>
      <c r="E119" s="50"/>
      <c r="F119" s="59"/>
      <c r="H119" s="192"/>
      <c r="I119" s="192"/>
      <c r="J119" s="192"/>
      <c r="K119" s="192"/>
      <c r="L119" s="192"/>
      <c r="M119" s="192"/>
    </row>
    <row r="120" spans="1:13" s="45" customFormat="1" ht="15" customHeight="1" x14ac:dyDescent="0.25">
      <c r="A120" s="122" t="s">
        <v>155</v>
      </c>
      <c r="B120" s="53" t="s">
        <v>2</v>
      </c>
      <c r="C120" s="48"/>
      <c r="D120" s="58"/>
      <c r="E120" s="50"/>
      <c r="F120" s="59"/>
      <c r="H120" s="192"/>
      <c r="I120" s="192"/>
      <c r="J120" s="192"/>
      <c r="K120" s="192"/>
      <c r="L120" s="192"/>
      <c r="M120" s="192"/>
    </row>
    <row r="121" spans="1:13" s="45" customFormat="1" ht="15" customHeight="1" x14ac:dyDescent="0.25">
      <c r="A121" s="60">
        <v>1</v>
      </c>
      <c r="B121" s="92" t="s">
        <v>235</v>
      </c>
      <c r="C121" s="48">
        <f>(93*4.65*0.000616)+(20*23.15*0.000616)</f>
        <v>0.55159720000000001</v>
      </c>
      <c r="D121" s="58" t="s">
        <v>34</v>
      </c>
      <c r="E121" s="50"/>
      <c r="F121" s="59"/>
      <c r="H121" s="192"/>
      <c r="I121" s="192"/>
      <c r="J121" s="192">
        <f>23.15/0.25</f>
        <v>92.6</v>
      </c>
      <c r="K121" s="192"/>
      <c r="L121" s="192"/>
      <c r="M121" s="192"/>
    </row>
    <row r="122" spans="1:13" s="45" customFormat="1" ht="15" customHeight="1" x14ac:dyDescent="0.25">
      <c r="A122" s="60"/>
      <c r="B122" s="61" t="s">
        <v>239</v>
      </c>
      <c r="C122" s="48"/>
      <c r="D122" s="58"/>
      <c r="E122" s="50"/>
      <c r="F122" s="59"/>
      <c r="H122" s="192"/>
      <c r="I122" s="192"/>
      <c r="J122" s="192">
        <f>2.65/0.15</f>
        <v>17.666666666666668</v>
      </c>
      <c r="K122" s="192"/>
      <c r="L122" s="192"/>
      <c r="M122" s="192"/>
    </row>
    <row r="123" spans="1:13" s="45" customFormat="1" ht="15" customHeight="1" x14ac:dyDescent="0.25">
      <c r="A123" s="60">
        <v>2</v>
      </c>
      <c r="B123" s="92" t="s">
        <v>234</v>
      </c>
      <c r="C123" s="48">
        <f>4*2.65*0.000888*46</f>
        <v>0.43298879999999995</v>
      </c>
      <c r="D123" s="58" t="s">
        <v>34</v>
      </c>
      <c r="E123" s="50"/>
      <c r="F123" s="59"/>
      <c r="H123" s="192"/>
      <c r="I123" s="192"/>
      <c r="J123" s="192"/>
      <c r="K123" s="192"/>
      <c r="L123" s="192"/>
      <c r="M123" s="192"/>
    </row>
    <row r="124" spans="1:13" s="45" customFormat="1" ht="15" customHeight="1" x14ac:dyDescent="0.25">
      <c r="A124" s="60">
        <v>3</v>
      </c>
      <c r="B124" s="92" t="s">
        <v>233</v>
      </c>
      <c r="C124" s="48">
        <f>19*0.6*0.000222*46</f>
        <v>0.1164168</v>
      </c>
      <c r="D124" s="58" t="s">
        <v>34</v>
      </c>
      <c r="E124" s="50"/>
      <c r="F124" s="59"/>
      <c r="H124" s="192"/>
      <c r="I124" s="192"/>
      <c r="J124" s="192"/>
      <c r="K124" s="192"/>
      <c r="L124" s="192"/>
      <c r="M124" s="192"/>
    </row>
    <row r="125" spans="1:13" s="45" customFormat="1" ht="15" customHeight="1" x14ac:dyDescent="0.25">
      <c r="A125" s="46" t="s">
        <v>182</v>
      </c>
      <c r="B125" s="53" t="s">
        <v>22</v>
      </c>
      <c r="C125" s="48"/>
      <c r="D125" s="58"/>
      <c r="E125" s="50"/>
      <c r="F125" s="59"/>
      <c r="H125" s="192"/>
      <c r="I125" s="192"/>
      <c r="J125" s="192">
        <f>79.55/0.15</f>
        <v>530.33333333333337</v>
      </c>
      <c r="K125" s="192"/>
      <c r="L125" s="192"/>
      <c r="M125" s="192"/>
    </row>
    <row r="126" spans="1:13" s="45" customFormat="1" ht="15" customHeight="1" x14ac:dyDescent="0.25">
      <c r="A126" s="46"/>
      <c r="B126" s="123" t="s">
        <v>236</v>
      </c>
      <c r="C126" s="48"/>
      <c r="D126" s="58"/>
      <c r="E126" s="50"/>
      <c r="F126" s="59"/>
      <c r="H126" s="192"/>
      <c r="I126" s="192"/>
      <c r="J126" s="192"/>
      <c r="K126" s="192"/>
      <c r="L126" s="192"/>
      <c r="M126" s="192"/>
    </row>
    <row r="127" spans="1:13" s="45" customFormat="1" ht="15" customHeight="1" x14ac:dyDescent="0.25">
      <c r="A127" s="60">
        <v>1</v>
      </c>
      <c r="B127" s="92" t="s">
        <v>237</v>
      </c>
      <c r="C127" s="48">
        <f>4*79.55*0.00158</f>
        <v>0.50275599999999998</v>
      </c>
      <c r="D127" s="58" t="s">
        <v>34</v>
      </c>
      <c r="E127" s="50"/>
      <c r="F127" s="59"/>
      <c r="H127" s="192"/>
      <c r="I127" s="192"/>
      <c r="J127" s="192"/>
      <c r="K127" s="192"/>
      <c r="L127" s="192"/>
      <c r="M127" s="192"/>
    </row>
    <row r="128" spans="1:13" s="45" customFormat="1" ht="15" customHeight="1" x14ac:dyDescent="0.25">
      <c r="A128" s="60">
        <v>2</v>
      </c>
      <c r="B128" s="61" t="s">
        <v>238</v>
      </c>
      <c r="C128" s="48">
        <f>531*0.9*0.000222</f>
        <v>0.1060938</v>
      </c>
      <c r="D128" s="58" t="s">
        <v>34</v>
      </c>
      <c r="E128" s="50"/>
      <c r="F128" s="59"/>
      <c r="H128" s="192"/>
      <c r="I128" s="192"/>
      <c r="J128" s="192"/>
      <c r="K128" s="192"/>
      <c r="L128" s="192"/>
      <c r="M128" s="192"/>
    </row>
    <row r="129" spans="1:13" s="45" customFormat="1" ht="5.0999999999999996" customHeight="1" x14ac:dyDescent="0.25">
      <c r="A129" s="60"/>
      <c r="B129" s="61"/>
      <c r="C129" s="48"/>
      <c r="D129" s="58"/>
      <c r="E129" s="50"/>
      <c r="F129" s="59"/>
      <c r="H129" s="192"/>
      <c r="I129" s="192"/>
      <c r="J129" s="192"/>
      <c r="K129" s="192"/>
      <c r="L129" s="192"/>
      <c r="M129" s="192"/>
    </row>
    <row r="130" spans="1:13" s="45" customFormat="1" ht="15" customHeight="1" x14ac:dyDescent="0.25">
      <c r="A130" s="60"/>
      <c r="B130" s="123" t="s">
        <v>116</v>
      </c>
      <c r="C130" s="48"/>
      <c r="D130" s="58"/>
      <c r="E130" s="50"/>
      <c r="F130" s="59"/>
      <c r="H130" s="192"/>
      <c r="I130" s="192"/>
      <c r="J130" s="192">
        <f>24.2/0.15</f>
        <v>161.33333333333334</v>
      </c>
      <c r="K130" s="192"/>
      <c r="L130" s="192"/>
      <c r="M130" s="192"/>
    </row>
    <row r="131" spans="1:13" s="45" customFormat="1" ht="15" customHeight="1" x14ac:dyDescent="0.25">
      <c r="A131" s="60">
        <v>3</v>
      </c>
      <c r="B131" s="93" t="s">
        <v>165</v>
      </c>
      <c r="C131" s="48">
        <f>(162*5.85*0.000888)+(41*24.1*0.000888)</f>
        <v>1.7189904</v>
      </c>
      <c r="D131" s="58" t="s">
        <v>34</v>
      </c>
      <c r="E131" s="50"/>
      <c r="F131" s="59"/>
      <c r="H131" s="192"/>
      <c r="I131" s="192"/>
      <c r="J131" s="192">
        <f>5.95/0.15</f>
        <v>39.666666666666671</v>
      </c>
      <c r="K131" s="192"/>
      <c r="L131" s="192"/>
      <c r="M131" s="192"/>
    </row>
    <row r="132" spans="1:13" s="45" customFormat="1" ht="15" customHeight="1" x14ac:dyDescent="0.25">
      <c r="A132" s="60"/>
      <c r="B132" s="93"/>
      <c r="C132" s="48"/>
      <c r="D132" s="58"/>
      <c r="E132" s="50"/>
      <c r="F132" s="59"/>
      <c r="H132" s="192"/>
      <c r="I132" s="192"/>
      <c r="J132" s="192"/>
      <c r="K132" s="192"/>
      <c r="L132" s="192"/>
      <c r="M132" s="192"/>
    </row>
    <row r="133" spans="1:13" s="45" customFormat="1" ht="15" customHeight="1" x14ac:dyDescent="0.25">
      <c r="A133" s="52">
        <v>2.6</v>
      </c>
      <c r="B133" s="55" t="s">
        <v>44</v>
      </c>
      <c r="C133" s="48"/>
      <c r="D133" s="58"/>
      <c r="E133" s="50"/>
      <c r="F133" s="59"/>
      <c r="H133" s="192"/>
      <c r="I133" s="192"/>
      <c r="J133" s="192"/>
      <c r="K133" s="192"/>
      <c r="L133" s="192"/>
      <c r="M133" s="192"/>
    </row>
    <row r="134" spans="1:13" s="45" customFormat="1" ht="15" customHeight="1" x14ac:dyDescent="0.25">
      <c r="A134" s="60" t="s">
        <v>183</v>
      </c>
      <c r="B134" s="53" t="s">
        <v>166</v>
      </c>
      <c r="C134" s="48"/>
      <c r="D134" s="58"/>
      <c r="E134" s="50"/>
      <c r="F134" s="59"/>
      <c r="H134" s="192"/>
      <c r="I134" s="192"/>
      <c r="J134" s="192"/>
      <c r="K134" s="192"/>
      <c r="L134" s="192"/>
      <c r="M134" s="192"/>
    </row>
    <row r="135" spans="1:13" s="45" customFormat="1" ht="38.25" x14ac:dyDescent="0.25">
      <c r="A135" s="60"/>
      <c r="B135" s="61" t="s">
        <v>167</v>
      </c>
      <c r="C135" s="48"/>
      <c r="D135" s="58"/>
      <c r="E135" s="50"/>
      <c r="F135" s="59"/>
      <c r="H135" s="192"/>
      <c r="I135" s="192"/>
      <c r="J135" s="192"/>
      <c r="K135" s="192"/>
      <c r="L135" s="192"/>
      <c r="M135" s="192"/>
    </row>
    <row r="136" spans="1:13" s="45" customFormat="1" ht="12.75" x14ac:dyDescent="0.25">
      <c r="A136" s="60"/>
      <c r="B136" s="163" t="s">
        <v>184</v>
      </c>
      <c r="C136" s="48"/>
      <c r="D136" s="58"/>
      <c r="E136" s="50"/>
      <c r="F136" s="59"/>
      <c r="H136" s="192"/>
      <c r="I136" s="48">
        <f t="shared" ref="I136" si="0">2.1*0.15*0.15</f>
        <v>4.725E-2</v>
      </c>
      <c r="J136" s="192"/>
      <c r="K136" s="192"/>
      <c r="L136" s="192">
        <f>2.1/0.15</f>
        <v>14.000000000000002</v>
      </c>
      <c r="M136" s="192"/>
    </row>
    <row r="137" spans="1:13" s="45" customFormat="1" ht="12.75" x14ac:dyDescent="0.25">
      <c r="A137" s="60">
        <v>1</v>
      </c>
      <c r="B137" s="56" t="s">
        <v>242</v>
      </c>
      <c r="C137" s="48">
        <f>4*23.15*0.000616+(4*2.1*0.000616)+(1.4*4*0.000616)+(0.6*10*0.000616)</f>
        <v>6.9361600000000009E-2</v>
      </c>
      <c r="D137" s="58" t="s">
        <v>34</v>
      </c>
      <c r="E137" s="50"/>
      <c r="F137" s="59"/>
      <c r="H137" s="192"/>
      <c r="I137" s="192"/>
      <c r="J137" s="192"/>
      <c r="K137" s="192"/>
      <c r="L137" s="192"/>
      <c r="M137" s="192"/>
    </row>
    <row r="138" spans="1:13" s="45" customFormat="1" ht="12.75" x14ac:dyDescent="0.25">
      <c r="A138" s="60">
        <v>2</v>
      </c>
      <c r="B138" s="56" t="s">
        <v>243</v>
      </c>
      <c r="C138" s="48">
        <f>155*0.4*0.000222+(15*0.4*0.000222)+(16*0.4*0.00022)+(18*0.4*0.000222)</f>
        <v>1.8102400000000001E-2</v>
      </c>
      <c r="D138" s="58" t="s">
        <v>34</v>
      </c>
      <c r="E138" s="50"/>
      <c r="F138" s="59"/>
      <c r="H138" s="192"/>
      <c r="I138" s="192"/>
      <c r="J138" s="192"/>
      <c r="K138" s="212">
        <f>4*2.1*0.000616</f>
        <v>5.1744E-3</v>
      </c>
      <c r="L138" s="192"/>
      <c r="M138" s="192"/>
    </row>
    <row r="139" spans="1:13" s="45" customFormat="1" ht="12.75" x14ac:dyDescent="0.25">
      <c r="A139" s="60"/>
      <c r="B139" s="61"/>
      <c r="C139" s="48"/>
      <c r="D139" s="58"/>
      <c r="E139" s="50"/>
      <c r="F139" s="59"/>
      <c r="H139" s="192"/>
      <c r="I139" s="192"/>
      <c r="J139" s="192"/>
      <c r="K139" s="192"/>
      <c r="L139" s="192"/>
      <c r="M139" s="192"/>
    </row>
    <row r="140" spans="1:13" s="45" customFormat="1" ht="12.75" x14ac:dyDescent="0.25">
      <c r="A140" s="60"/>
      <c r="B140" s="61"/>
      <c r="C140" s="48"/>
      <c r="D140" s="58"/>
      <c r="E140" s="50"/>
      <c r="F140" s="59"/>
      <c r="H140" s="192"/>
      <c r="I140" s="192"/>
      <c r="J140" s="192"/>
      <c r="K140" s="192"/>
      <c r="L140" s="192"/>
      <c r="M140" s="192"/>
    </row>
    <row r="141" spans="1:13" s="45" customFormat="1" ht="12.75" x14ac:dyDescent="0.25">
      <c r="A141" s="60"/>
      <c r="B141" s="61"/>
      <c r="C141" s="48"/>
      <c r="D141" s="58"/>
      <c r="E141" s="50"/>
      <c r="F141" s="59"/>
      <c r="H141" s="192"/>
      <c r="I141" s="192"/>
      <c r="J141" s="192"/>
      <c r="K141" s="192"/>
      <c r="L141" s="192"/>
      <c r="M141" s="192"/>
    </row>
    <row r="142" spans="1:13" s="45" customFormat="1" ht="12.75" x14ac:dyDescent="0.25">
      <c r="A142" s="60"/>
      <c r="B142" s="61"/>
      <c r="C142" s="48"/>
      <c r="D142" s="58"/>
      <c r="E142" s="50"/>
      <c r="F142" s="59"/>
      <c r="H142" s="192"/>
      <c r="I142" s="192"/>
      <c r="J142" s="192"/>
      <c r="K142" s="192"/>
      <c r="L142" s="192"/>
      <c r="M142" s="192"/>
    </row>
    <row r="143" spans="1:13" s="45" customFormat="1" ht="12.75" x14ac:dyDescent="0.25">
      <c r="A143" s="60"/>
      <c r="B143" s="61"/>
      <c r="C143" s="48"/>
      <c r="D143" s="58"/>
      <c r="E143" s="50"/>
      <c r="F143" s="59"/>
      <c r="H143" s="192"/>
      <c r="I143" s="192"/>
      <c r="J143" s="192"/>
      <c r="K143" s="192"/>
      <c r="L143" s="192"/>
      <c r="M143" s="192"/>
    </row>
    <row r="144" spans="1:13" s="45" customFormat="1" ht="15" customHeight="1" x14ac:dyDescent="0.25">
      <c r="A144" s="60"/>
      <c r="B144" s="61"/>
      <c r="C144" s="48"/>
      <c r="D144" s="58"/>
      <c r="E144" s="50"/>
      <c r="F144" s="59"/>
      <c r="H144" s="192"/>
      <c r="I144" s="192"/>
      <c r="J144" s="192"/>
      <c r="K144" s="192"/>
      <c r="L144" s="192"/>
      <c r="M144" s="192"/>
    </row>
    <row r="145" spans="1:13" s="45" customFormat="1" ht="15" customHeight="1" x14ac:dyDescent="0.25">
      <c r="A145" s="60"/>
      <c r="B145" s="61"/>
      <c r="C145" s="48"/>
      <c r="D145" s="58"/>
      <c r="E145" s="50"/>
      <c r="F145" s="59"/>
      <c r="H145" s="192"/>
      <c r="I145" s="192"/>
      <c r="J145" s="192"/>
      <c r="K145" s="192"/>
      <c r="L145" s="192"/>
      <c r="M145" s="192"/>
    </row>
    <row r="146" spans="1:13" s="45" customFormat="1" ht="15" customHeight="1" x14ac:dyDescent="0.25">
      <c r="A146" s="60"/>
      <c r="B146" s="93"/>
      <c r="C146" s="48"/>
      <c r="D146" s="58"/>
      <c r="E146" s="50"/>
      <c r="F146" s="59"/>
      <c r="H146" s="192"/>
      <c r="I146" s="192"/>
      <c r="J146" s="192"/>
      <c r="K146" s="192"/>
      <c r="L146" s="192"/>
      <c r="M146" s="192"/>
    </row>
    <row r="147" spans="1:13" s="45" customFormat="1" ht="15" customHeight="1" x14ac:dyDescent="0.25">
      <c r="A147" s="60"/>
      <c r="B147" s="93"/>
      <c r="C147" s="48"/>
      <c r="D147" s="58"/>
      <c r="E147" s="50"/>
      <c r="F147" s="59"/>
      <c r="H147" s="192"/>
      <c r="I147" s="192"/>
      <c r="J147" s="192"/>
      <c r="K147" s="192"/>
      <c r="L147" s="192"/>
      <c r="M147" s="192"/>
    </row>
    <row r="148" spans="1:13" s="45" customFormat="1" ht="15" customHeight="1" x14ac:dyDescent="0.25">
      <c r="A148" s="60"/>
      <c r="B148" s="93"/>
      <c r="C148" s="48"/>
      <c r="D148" s="58"/>
      <c r="E148" s="50"/>
      <c r="F148" s="59"/>
      <c r="H148" s="192"/>
      <c r="I148" s="192"/>
      <c r="J148" s="192"/>
      <c r="K148" s="192"/>
      <c r="L148" s="192"/>
      <c r="M148" s="192"/>
    </row>
    <row r="149" spans="1:13" s="45" customFormat="1" ht="15" customHeight="1" x14ac:dyDescent="0.25">
      <c r="A149" s="60"/>
      <c r="B149" s="93"/>
      <c r="C149" s="48"/>
      <c r="D149" s="58"/>
      <c r="E149" s="50"/>
      <c r="F149" s="59"/>
      <c r="H149" s="192"/>
      <c r="I149" s="192"/>
      <c r="J149" s="192"/>
      <c r="K149" s="192"/>
      <c r="L149" s="192"/>
      <c r="M149" s="192"/>
    </row>
    <row r="150" spans="1:13" s="45" customFormat="1" ht="15" customHeight="1" x14ac:dyDescent="0.25">
      <c r="A150" s="60"/>
      <c r="B150" s="93"/>
      <c r="C150" s="48"/>
      <c r="D150" s="58"/>
      <c r="E150" s="50"/>
      <c r="F150" s="59"/>
      <c r="H150" s="192"/>
      <c r="I150" s="192"/>
      <c r="J150" s="192"/>
      <c r="K150" s="192"/>
      <c r="L150" s="192"/>
      <c r="M150" s="192"/>
    </row>
    <row r="151" spans="1:13" s="45" customFormat="1" ht="15" customHeight="1" x14ac:dyDescent="0.25">
      <c r="A151" s="60"/>
      <c r="B151" s="93"/>
      <c r="C151" s="48"/>
      <c r="D151" s="58"/>
      <c r="E151" s="50"/>
      <c r="F151" s="59"/>
      <c r="H151" s="192"/>
      <c r="I151" s="192"/>
      <c r="J151" s="192"/>
      <c r="K151" s="192"/>
      <c r="L151" s="192"/>
      <c r="M151" s="192"/>
    </row>
    <row r="152" spans="1:13" s="45" customFormat="1" ht="15" customHeight="1" x14ac:dyDescent="0.25">
      <c r="A152" s="60"/>
      <c r="B152" s="93"/>
      <c r="C152" s="48"/>
      <c r="D152" s="58"/>
      <c r="E152" s="50"/>
      <c r="F152" s="59"/>
      <c r="H152" s="192"/>
      <c r="I152" s="192"/>
      <c r="J152" s="192"/>
      <c r="K152" s="192"/>
      <c r="L152" s="192"/>
      <c r="M152" s="192"/>
    </row>
    <row r="153" spans="1:13" s="45" customFormat="1" ht="15" customHeight="1" x14ac:dyDescent="0.25">
      <c r="A153" s="60"/>
      <c r="B153" s="93"/>
      <c r="C153" s="48"/>
      <c r="D153" s="58"/>
      <c r="E153" s="50"/>
      <c r="F153" s="59"/>
      <c r="H153" s="192"/>
      <c r="I153" s="192"/>
      <c r="J153" s="192"/>
      <c r="K153" s="192"/>
      <c r="L153" s="192"/>
      <c r="M153" s="192"/>
    </row>
    <row r="154" spans="1:13" s="45" customFormat="1" ht="15" customHeight="1" x14ac:dyDescent="0.25">
      <c r="A154" s="60"/>
      <c r="B154" s="93"/>
      <c r="C154" s="48"/>
      <c r="D154" s="58"/>
      <c r="E154" s="50"/>
      <c r="F154" s="59"/>
      <c r="H154" s="192"/>
      <c r="I154" s="192"/>
      <c r="J154" s="192"/>
      <c r="K154" s="192"/>
      <c r="L154" s="192"/>
      <c r="M154" s="192"/>
    </row>
    <row r="155" spans="1:13" s="45" customFormat="1" ht="15" customHeight="1" x14ac:dyDescent="0.25">
      <c r="A155" s="125"/>
      <c r="B155" s="126"/>
      <c r="C155" s="98"/>
      <c r="D155" s="99"/>
      <c r="E155" s="100"/>
      <c r="F155" s="127"/>
      <c r="H155" s="192"/>
      <c r="I155" s="192"/>
      <c r="J155" s="192"/>
      <c r="K155" s="192"/>
      <c r="L155" s="192"/>
      <c r="M155" s="192"/>
    </row>
    <row r="156" spans="1:13" s="45" customFormat="1" ht="15" customHeight="1" x14ac:dyDescent="0.25">
      <c r="A156" s="128"/>
      <c r="B156" s="129" t="s">
        <v>156</v>
      </c>
      <c r="C156" s="130"/>
      <c r="D156" s="76"/>
      <c r="E156" s="77"/>
      <c r="F156" s="131"/>
      <c r="H156" s="192"/>
      <c r="I156" s="192"/>
      <c r="J156" s="192"/>
      <c r="K156" s="192"/>
      <c r="L156" s="192"/>
      <c r="M156" s="192"/>
    </row>
    <row r="157" spans="1:13" s="45" customFormat="1" ht="15" customHeight="1" x14ac:dyDescent="0.25">
      <c r="A157" s="68"/>
      <c r="B157" s="69" t="s">
        <v>157</v>
      </c>
      <c r="C157" s="70"/>
      <c r="D157" s="71"/>
      <c r="E157" s="72"/>
      <c r="F157" s="73"/>
      <c r="H157" s="192"/>
      <c r="I157" s="192"/>
      <c r="J157" s="192"/>
      <c r="K157" s="192"/>
      <c r="L157" s="192"/>
      <c r="M157" s="192"/>
    </row>
    <row r="158" spans="1:13" s="45" customFormat="1" ht="15" customHeight="1" x14ac:dyDescent="0.25">
      <c r="A158" s="132"/>
      <c r="B158" s="40" t="s">
        <v>18</v>
      </c>
      <c r="C158" s="133"/>
      <c r="D158" s="134"/>
      <c r="E158" s="135"/>
      <c r="F158" s="136"/>
      <c r="H158" s="192"/>
      <c r="I158" s="192"/>
      <c r="J158" s="192"/>
      <c r="K158" s="192"/>
      <c r="L158" s="192"/>
      <c r="M158" s="192"/>
    </row>
    <row r="159" spans="1:13" s="45" customFormat="1" ht="15" customHeight="1" x14ac:dyDescent="0.25">
      <c r="A159" s="46"/>
      <c r="B159" s="47" t="s">
        <v>26</v>
      </c>
      <c r="C159" s="48"/>
      <c r="D159" s="58"/>
      <c r="E159" s="50"/>
      <c r="F159" s="51"/>
      <c r="H159" s="192"/>
      <c r="I159" s="192"/>
      <c r="J159" s="192"/>
      <c r="K159" s="192"/>
      <c r="L159" s="192"/>
      <c r="M159" s="192"/>
    </row>
    <row r="160" spans="1:13" s="45" customFormat="1" ht="15" customHeight="1" x14ac:dyDescent="0.25">
      <c r="A160" s="52">
        <v>3.1</v>
      </c>
      <c r="B160" s="137" t="s">
        <v>39</v>
      </c>
      <c r="C160" s="48"/>
      <c r="D160" s="58"/>
      <c r="E160" s="50"/>
      <c r="F160" s="51"/>
      <c r="H160" s="192"/>
      <c r="I160" s="192"/>
      <c r="J160" s="192"/>
      <c r="K160" s="192"/>
      <c r="L160" s="192"/>
      <c r="M160" s="192"/>
    </row>
    <row r="161" spans="1:13" s="45" customFormat="1" ht="51.75" customHeight="1" x14ac:dyDescent="0.25">
      <c r="A161" s="46"/>
      <c r="B161" s="61" t="s">
        <v>63</v>
      </c>
      <c r="C161" s="48"/>
      <c r="D161" s="58"/>
      <c r="E161" s="50"/>
      <c r="F161" s="51"/>
      <c r="H161" s="192"/>
      <c r="I161" s="192"/>
      <c r="J161" s="192"/>
      <c r="K161" s="192"/>
      <c r="L161" s="192"/>
      <c r="M161" s="192"/>
    </row>
    <row r="162" spans="1:13" s="45" customFormat="1" ht="38.25" x14ac:dyDescent="0.25">
      <c r="A162" s="46"/>
      <c r="B162" s="61" t="s">
        <v>143</v>
      </c>
      <c r="C162" s="48"/>
      <c r="D162" s="58"/>
      <c r="E162" s="50"/>
      <c r="F162" s="51"/>
      <c r="H162" s="192"/>
      <c r="I162" s="192"/>
      <c r="J162" s="192"/>
      <c r="K162" s="192"/>
      <c r="L162" s="192"/>
      <c r="M162" s="192"/>
    </row>
    <row r="163" spans="1:13" s="45" customFormat="1" ht="15" customHeight="1" x14ac:dyDescent="0.25">
      <c r="A163" s="46"/>
      <c r="B163" s="61"/>
      <c r="C163" s="48"/>
      <c r="D163" s="58"/>
      <c r="E163" s="50"/>
      <c r="F163" s="51"/>
      <c r="H163" s="192"/>
      <c r="I163" s="192"/>
      <c r="J163" s="192"/>
      <c r="K163" s="192"/>
      <c r="L163" s="192"/>
      <c r="M163" s="192"/>
    </row>
    <row r="164" spans="1:13" s="45" customFormat="1" ht="15" customHeight="1" x14ac:dyDescent="0.25">
      <c r="A164" s="52">
        <v>3.2</v>
      </c>
      <c r="B164" s="53" t="s">
        <v>64</v>
      </c>
      <c r="C164" s="48"/>
      <c r="D164" s="58"/>
      <c r="E164" s="50"/>
      <c r="F164" s="59"/>
      <c r="H164" s="192"/>
      <c r="I164" s="192"/>
      <c r="J164" s="192"/>
      <c r="K164" s="192"/>
      <c r="L164" s="192"/>
      <c r="M164" s="192"/>
    </row>
    <row r="165" spans="1:13" s="45" customFormat="1" ht="3" customHeight="1" x14ac:dyDescent="0.25">
      <c r="A165" s="46"/>
      <c r="B165" s="61"/>
      <c r="C165" s="48"/>
      <c r="D165" s="58"/>
      <c r="E165" s="50"/>
      <c r="F165" s="51"/>
      <c r="H165" s="192"/>
      <c r="I165" s="192"/>
      <c r="J165" s="192"/>
      <c r="K165" s="192"/>
      <c r="L165" s="192"/>
      <c r="M165" s="192"/>
    </row>
    <row r="166" spans="1:13" s="45" customFormat="1" ht="15" customHeight="1" x14ac:dyDescent="0.25">
      <c r="A166" s="46" t="s">
        <v>158</v>
      </c>
      <c r="B166" s="123" t="s">
        <v>117</v>
      </c>
      <c r="C166" s="48"/>
      <c r="D166" s="58"/>
      <c r="E166" s="50"/>
      <c r="F166" s="59"/>
      <c r="H166" s="192"/>
      <c r="I166" s="192"/>
      <c r="J166" s="192"/>
      <c r="K166" s="192"/>
      <c r="L166" s="192"/>
      <c r="M166" s="192"/>
    </row>
    <row r="167" spans="1:13" s="45" customFormat="1" ht="15" customHeight="1" x14ac:dyDescent="0.25">
      <c r="A167" s="60">
        <v>1</v>
      </c>
      <c r="B167" s="61" t="s">
        <v>118</v>
      </c>
      <c r="C167" s="48">
        <f>55.8*0.625+(25.67*0.2)</f>
        <v>40.009</v>
      </c>
      <c r="D167" s="58" t="s">
        <v>16</v>
      </c>
      <c r="E167" s="50"/>
      <c r="F167" s="59"/>
      <c r="H167" s="192"/>
      <c r="I167" s="192">
        <f>3.4*3</f>
        <v>10.199999999999999</v>
      </c>
      <c r="J167" s="192">
        <f>1.33*3</f>
        <v>3.99</v>
      </c>
      <c r="K167" s="192">
        <f>3*2</f>
        <v>6</v>
      </c>
      <c r="L167" s="192"/>
      <c r="M167" s="192"/>
    </row>
    <row r="168" spans="1:13" s="45" customFormat="1" ht="15" customHeight="1" x14ac:dyDescent="0.25">
      <c r="A168" s="60">
        <v>2</v>
      </c>
      <c r="B168" s="61" t="s">
        <v>27</v>
      </c>
      <c r="C168" s="48">
        <f>55.8*2.65</f>
        <v>147.86999999999998</v>
      </c>
      <c r="D168" s="58" t="s">
        <v>16</v>
      </c>
      <c r="E168" s="58"/>
      <c r="F168" s="59"/>
      <c r="H168" s="192"/>
      <c r="I168" s="45">
        <v>8.67</v>
      </c>
      <c r="J168" s="192"/>
      <c r="K168" s="192">
        <v>4.75</v>
      </c>
      <c r="L168" s="192"/>
      <c r="M168" s="192"/>
    </row>
    <row r="169" spans="1:13" s="45" customFormat="1" ht="15" customHeight="1" x14ac:dyDescent="0.25">
      <c r="A169" s="60">
        <v>3</v>
      </c>
      <c r="B169" s="61" t="s">
        <v>168</v>
      </c>
      <c r="C169" s="48">
        <f>(25.67*1.2)</f>
        <v>30.804000000000002</v>
      </c>
      <c r="D169" s="58" t="s">
        <v>16</v>
      </c>
      <c r="E169" s="58"/>
      <c r="F169" s="59"/>
      <c r="H169" s="192"/>
      <c r="J169" s="192"/>
      <c r="K169" s="192"/>
      <c r="L169" s="192"/>
      <c r="M169" s="192"/>
    </row>
    <row r="170" spans="1:13" s="45" customFormat="1" ht="15" customHeight="1" x14ac:dyDescent="0.25">
      <c r="A170" s="60"/>
      <c r="B170" s="61"/>
      <c r="C170" s="48"/>
      <c r="D170" s="58"/>
      <c r="E170" s="58"/>
      <c r="F170" s="59"/>
      <c r="H170" s="192"/>
      <c r="I170" s="192">
        <f>SUM(I167:I168)</f>
        <v>18.869999999999997</v>
      </c>
      <c r="J170" s="192"/>
      <c r="K170" s="192">
        <f>SUM(K167:K168)</f>
        <v>10.75</v>
      </c>
      <c r="L170" s="192"/>
      <c r="M170" s="192"/>
    </row>
    <row r="171" spans="1:13" s="45" customFormat="1" ht="15" customHeight="1" x14ac:dyDescent="0.25">
      <c r="A171" s="52">
        <v>3.3</v>
      </c>
      <c r="B171" s="53" t="s">
        <v>65</v>
      </c>
      <c r="C171" s="48"/>
      <c r="D171" s="58"/>
      <c r="E171" s="50"/>
      <c r="F171" s="59"/>
      <c r="H171" s="192"/>
      <c r="I171" s="192"/>
      <c r="J171" s="192"/>
      <c r="K171" s="192"/>
      <c r="L171" s="192"/>
      <c r="M171" s="192"/>
    </row>
    <row r="172" spans="1:13" s="45" customFormat="1" ht="3" customHeight="1" x14ac:dyDescent="0.25">
      <c r="A172" s="46"/>
      <c r="B172" s="61"/>
      <c r="C172" s="48"/>
      <c r="D172" s="58"/>
      <c r="E172" s="50"/>
      <c r="F172" s="51"/>
      <c r="H172" s="192"/>
      <c r="I172" s="192"/>
      <c r="J172" s="192"/>
      <c r="K172" s="192"/>
      <c r="L172" s="192"/>
      <c r="M172" s="192"/>
    </row>
    <row r="173" spans="1:13" s="45" customFormat="1" ht="15" customHeight="1" x14ac:dyDescent="0.25">
      <c r="A173" s="46" t="s">
        <v>21</v>
      </c>
      <c r="B173" s="123" t="s">
        <v>144</v>
      </c>
      <c r="C173" s="48"/>
      <c r="D173" s="58"/>
      <c r="E173" s="50"/>
      <c r="F173" s="59"/>
      <c r="H173" s="192"/>
      <c r="I173" s="192">
        <f>23.15*3</f>
        <v>69.449999999999989</v>
      </c>
      <c r="J173" s="192">
        <f>23.15*2</f>
        <v>46.3</v>
      </c>
      <c r="K173" s="192"/>
      <c r="L173" s="192"/>
      <c r="M173" s="192"/>
    </row>
    <row r="174" spans="1:13" s="45" customFormat="1" ht="15" customHeight="1" x14ac:dyDescent="0.25">
      <c r="A174" s="60">
        <v>1</v>
      </c>
      <c r="B174" s="61" t="s">
        <v>118</v>
      </c>
      <c r="C174" s="48">
        <f>46.9*0.625</f>
        <v>29.3125</v>
      </c>
      <c r="D174" s="58" t="s">
        <v>16</v>
      </c>
      <c r="E174" s="58"/>
      <c r="F174" s="59"/>
      <c r="H174" s="192"/>
      <c r="I174" s="192">
        <f>4.75*7</f>
        <v>33.25</v>
      </c>
      <c r="J174" s="192">
        <f>4.75*2</f>
        <v>9.5</v>
      </c>
      <c r="K174" s="192"/>
      <c r="L174" s="192"/>
      <c r="M174" s="192"/>
    </row>
    <row r="175" spans="1:13" s="45" customFormat="1" ht="15" customHeight="1" x14ac:dyDescent="0.25">
      <c r="A175" s="60">
        <v>2</v>
      </c>
      <c r="B175" s="61" t="s">
        <v>27</v>
      </c>
      <c r="C175" s="48">
        <f>46.9*2.65</f>
        <v>124.285</v>
      </c>
      <c r="D175" s="58" t="s">
        <v>16</v>
      </c>
      <c r="E175" s="58"/>
      <c r="F175" s="59"/>
      <c r="H175" s="192"/>
      <c r="I175" s="192">
        <f>69.45+33.25</f>
        <v>102.7</v>
      </c>
      <c r="J175" s="192">
        <f>46.3+9.5</f>
        <v>55.8</v>
      </c>
      <c r="K175" s="192">
        <f>102.7-55.8</f>
        <v>46.900000000000006</v>
      </c>
      <c r="L175" s="192"/>
      <c r="M175" s="192"/>
    </row>
    <row r="176" spans="1:13" s="45" customFormat="1" ht="15" customHeight="1" x14ac:dyDescent="0.25">
      <c r="A176" s="60"/>
      <c r="B176" s="61"/>
      <c r="C176" s="48"/>
      <c r="D176" s="58"/>
      <c r="E176" s="58"/>
      <c r="F176" s="59"/>
      <c r="H176" s="192"/>
      <c r="I176" s="192"/>
      <c r="J176" s="192"/>
      <c r="K176" s="192">
        <f>128.37-I175</f>
        <v>25.67</v>
      </c>
      <c r="L176" s="192"/>
      <c r="M176" s="192"/>
    </row>
    <row r="177" spans="1:13" s="45" customFormat="1" ht="15" customHeight="1" x14ac:dyDescent="0.25">
      <c r="A177" s="52">
        <v>3.4</v>
      </c>
      <c r="B177" s="53" t="s">
        <v>45</v>
      </c>
      <c r="C177" s="48"/>
      <c r="D177" s="58"/>
      <c r="E177" s="50"/>
      <c r="F177" s="59"/>
      <c r="H177" s="192"/>
      <c r="I177" s="192"/>
      <c r="J177" s="192"/>
      <c r="K177" s="192"/>
      <c r="L177" s="192">
        <f>55.8+46.9+25.67</f>
        <v>128.37</v>
      </c>
      <c r="M177" s="192"/>
    </row>
    <row r="178" spans="1:13" s="45" customFormat="1" ht="51" x14ac:dyDescent="0.25">
      <c r="A178" s="46" t="s">
        <v>23</v>
      </c>
      <c r="B178" s="118" t="s">
        <v>126</v>
      </c>
      <c r="C178" s="48"/>
      <c r="D178" s="58"/>
      <c r="E178" s="50"/>
      <c r="F178" s="59"/>
      <c r="H178" s="192"/>
      <c r="I178" s="192"/>
      <c r="J178" s="192"/>
      <c r="K178" s="192"/>
      <c r="L178" s="192"/>
      <c r="M178" s="192"/>
    </row>
    <row r="179" spans="1:13" s="45" customFormat="1" ht="12.75" x14ac:dyDescent="0.25">
      <c r="A179" s="60">
        <v>1</v>
      </c>
      <c r="B179" s="61" t="s">
        <v>118</v>
      </c>
      <c r="C179" s="48">
        <f>C167*2</f>
        <v>80.018000000000001</v>
      </c>
      <c r="D179" s="58" t="s">
        <v>16</v>
      </c>
      <c r="E179" s="50"/>
      <c r="F179" s="59"/>
      <c r="H179" s="192"/>
      <c r="I179" s="192"/>
      <c r="J179" s="192"/>
      <c r="K179" s="192"/>
      <c r="L179" s="192"/>
      <c r="M179" s="192"/>
    </row>
    <row r="180" spans="1:13" s="45" customFormat="1" ht="12.75" x14ac:dyDescent="0.25">
      <c r="A180" s="60">
        <v>2</v>
      </c>
      <c r="B180" s="61" t="s">
        <v>2</v>
      </c>
      <c r="C180" s="48">
        <f>C168</f>
        <v>147.86999999999998</v>
      </c>
      <c r="D180" s="58" t="s">
        <v>16</v>
      </c>
      <c r="E180" s="50"/>
      <c r="F180" s="59"/>
      <c r="H180" s="192"/>
      <c r="I180" s="192"/>
      <c r="J180" s="192"/>
      <c r="K180" s="192"/>
      <c r="L180" s="192"/>
      <c r="M180" s="192"/>
    </row>
    <row r="181" spans="1:13" s="45" customFormat="1" ht="12.75" x14ac:dyDescent="0.25">
      <c r="A181" s="60">
        <v>3</v>
      </c>
      <c r="B181" s="61" t="s">
        <v>168</v>
      </c>
      <c r="C181" s="48">
        <f>C169*2</f>
        <v>61.608000000000004</v>
      </c>
      <c r="D181" s="58" t="s">
        <v>16</v>
      </c>
      <c r="E181" s="50"/>
      <c r="F181" s="59"/>
      <c r="H181" s="192"/>
      <c r="I181" s="192"/>
      <c r="J181" s="192"/>
      <c r="K181" s="192"/>
      <c r="L181" s="192"/>
      <c r="M181" s="192"/>
    </row>
    <row r="182" spans="1:13" s="45" customFormat="1" ht="15" customHeight="1" x14ac:dyDescent="0.25">
      <c r="A182" s="60"/>
      <c r="B182" s="61"/>
      <c r="C182" s="48"/>
      <c r="D182" s="58"/>
      <c r="E182" s="58"/>
      <c r="F182" s="59"/>
      <c r="H182" s="192"/>
      <c r="I182" s="192"/>
      <c r="J182" s="192"/>
      <c r="K182" s="192"/>
      <c r="L182" s="192"/>
      <c r="M182" s="192"/>
    </row>
    <row r="183" spans="1:13" s="45" customFormat="1" ht="51" x14ac:dyDescent="0.25">
      <c r="A183" s="46" t="s">
        <v>24</v>
      </c>
      <c r="B183" s="118" t="s">
        <v>127</v>
      </c>
      <c r="C183" s="48"/>
      <c r="D183" s="58"/>
      <c r="E183" s="50"/>
      <c r="F183" s="59"/>
      <c r="H183" s="192"/>
      <c r="I183" s="192"/>
      <c r="J183" s="192"/>
      <c r="K183" s="192"/>
      <c r="L183" s="192"/>
      <c r="M183" s="192"/>
    </row>
    <row r="184" spans="1:13" s="45" customFormat="1" ht="12.75" x14ac:dyDescent="0.25">
      <c r="A184" s="60">
        <v>1</v>
      </c>
      <c r="B184" s="61" t="s">
        <v>118</v>
      </c>
      <c r="C184" s="48"/>
      <c r="D184" s="58"/>
      <c r="E184" s="50"/>
      <c r="F184" s="59"/>
      <c r="H184" s="192"/>
      <c r="I184" s="192"/>
      <c r="J184" s="192"/>
      <c r="K184" s="192"/>
      <c r="L184" s="192"/>
      <c r="M184" s="192"/>
    </row>
    <row r="185" spans="1:13" s="45" customFormat="1" ht="12.75" x14ac:dyDescent="0.25">
      <c r="A185" s="60">
        <v>2</v>
      </c>
      <c r="B185" s="61" t="s">
        <v>27</v>
      </c>
      <c r="C185" s="48">
        <f>C174*2</f>
        <v>58.625</v>
      </c>
      <c r="D185" s="58" t="s">
        <v>16</v>
      </c>
      <c r="E185" s="50"/>
      <c r="F185" s="59"/>
      <c r="H185" s="192"/>
      <c r="I185" s="192"/>
      <c r="J185" s="192"/>
      <c r="K185" s="192"/>
      <c r="L185" s="192"/>
      <c r="M185" s="192"/>
    </row>
    <row r="186" spans="1:13" s="45" customFormat="1" ht="12.75" x14ac:dyDescent="0.25">
      <c r="A186" s="46"/>
      <c r="B186" s="118"/>
      <c r="C186" s="48">
        <f>C168+(C175*2)</f>
        <v>396.43999999999994</v>
      </c>
      <c r="D186" s="58" t="s">
        <v>16</v>
      </c>
      <c r="E186" s="50"/>
      <c r="F186" s="59"/>
      <c r="H186" s="192"/>
      <c r="I186" s="192"/>
      <c r="J186" s="192"/>
      <c r="K186" s="192"/>
      <c r="L186" s="192"/>
      <c r="M186" s="192"/>
    </row>
    <row r="187" spans="1:13" s="45" customFormat="1" ht="15" customHeight="1" x14ac:dyDescent="0.25">
      <c r="A187" s="52">
        <v>3.5</v>
      </c>
      <c r="B187" s="137" t="s">
        <v>66</v>
      </c>
      <c r="C187" s="48"/>
      <c r="D187" s="58"/>
      <c r="E187" s="58"/>
      <c r="F187" s="59"/>
      <c r="H187" s="192"/>
      <c r="I187" s="192"/>
      <c r="J187" s="192"/>
      <c r="K187" s="192"/>
      <c r="L187" s="192"/>
      <c r="M187" s="192"/>
    </row>
    <row r="188" spans="1:13" s="45" customFormat="1" ht="27.75" customHeight="1" x14ac:dyDescent="0.25">
      <c r="A188" s="46"/>
      <c r="B188" s="56" t="s">
        <v>145</v>
      </c>
      <c r="C188" s="48"/>
      <c r="D188" s="58"/>
      <c r="E188" s="58"/>
      <c r="F188" s="59"/>
      <c r="H188" s="192"/>
      <c r="I188" s="192"/>
      <c r="J188" s="192"/>
      <c r="K188" s="192"/>
      <c r="L188" s="192"/>
      <c r="M188" s="192"/>
    </row>
    <row r="189" spans="1:13" s="45" customFormat="1" ht="5.0999999999999996" customHeight="1" x14ac:dyDescent="0.25">
      <c r="A189" s="46"/>
      <c r="B189" s="56"/>
      <c r="C189" s="48"/>
      <c r="D189" s="58"/>
      <c r="E189" s="58"/>
      <c r="F189" s="59"/>
      <c r="H189" s="192"/>
      <c r="I189" s="192"/>
      <c r="J189" s="192"/>
      <c r="K189" s="192"/>
      <c r="L189" s="192"/>
      <c r="M189" s="192"/>
    </row>
    <row r="190" spans="1:13" s="45" customFormat="1" ht="15" customHeight="1" x14ac:dyDescent="0.25">
      <c r="A190" s="60">
        <v>1</v>
      </c>
      <c r="B190" s="61" t="s">
        <v>27</v>
      </c>
      <c r="C190" s="48">
        <f>C97</f>
        <v>109.96249999999999</v>
      </c>
      <c r="D190" s="58" t="s">
        <v>16</v>
      </c>
      <c r="E190" s="58"/>
      <c r="F190" s="59"/>
      <c r="H190" s="192"/>
      <c r="I190" s="192"/>
      <c r="J190" s="192"/>
      <c r="K190" s="192"/>
      <c r="L190" s="192"/>
      <c r="M190" s="192"/>
    </row>
    <row r="191" spans="1:13" s="45" customFormat="1" ht="15" customHeight="1" x14ac:dyDescent="0.25">
      <c r="A191" s="60"/>
      <c r="B191" s="61"/>
      <c r="C191" s="48"/>
      <c r="D191" s="58"/>
      <c r="E191" s="58"/>
      <c r="F191" s="59"/>
      <c r="H191" s="192"/>
      <c r="I191" s="192"/>
      <c r="J191" s="192"/>
      <c r="K191" s="192"/>
      <c r="L191" s="192"/>
      <c r="M191" s="192"/>
    </row>
    <row r="192" spans="1:13" s="45" customFormat="1" ht="15" customHeight="1" x14ac:dyDescent="0.25">
      <c r="A192" s="60"/>
      <c r="B192" s="61"/>
      <c r="C192" s="48"/>
      <c r="D192" s="58"/>
      <c r="E192" s="58"/>
      <c r="F192" s="59"/>
      <c r="H192" s="192"/>
      <c r="I192" s="192"/>
      <c r="J192" s="192"/>
      <c r="K192" s="192"/>
      <c r="L192" s="192"/>
      <c r="M192" s="192"/>
    </row>
    <row r="193" spans="1:13" s="45" customFormat="1" ht="15" customHeight="1" x14ac:dyDescent="0.25">
      <c r="A193" s="60"/>
      <c r="B193" s="61"/>
      <c r="C193" s="48"/>
      <c r="D193" s="58"/>
      <c r="E193" s="58"/>
      <c r="F193" s="59"/>
      <c r="H193" s="192"/>
      <c r="I193" s="192"/>
      <c r="J193" s="192"/>
      <c r="K193" s="192"/>
      <c r="L193" s="192"/>
      <c r="M193" s="192"/>
    </row>
    <row r="194" spans="1:13" s="45" customFormat="1" ht="15" customHeight="1" x14ac:dyDescent="0.25">
      <c r="A194" s="60"/>
      <c r="B194" s="61"/>
      <c r="C194" s="48"/>
      <c r="D194" s="58"/>
      <c r="E194" s="58"/>
      <c r="F194" s="59"/>
      <c r="H194" s="192"/>
      <c r="I194" s="192"/>
      <c r="J194" s="192"/>
      <c r="K194" s="192"/>
      <c r="L194" s="192"/>
      <c r="M194" s="192"/>
    </row>
    <row r="195" spans="1:13" s="45" customFormat="1" ht="15" customHeight="1" x14ac:dyDescent="0.25">
      <c r="A195" s="60"/>
      <c r="B195" s="61"/>
      <c r="C195" s="48"/>
      <c r="D195" s="58"/>
      <c r="E195" s="58"/>
      <c r="F195" s="59"/>
      <c r="H195" s="192"/>
      <c r="I195" s="192"/>
      <c r="J195" s="192"/>
      <c r="K195" s="192"/>
      <c r="L195" s="192"/>
      <c r="M195" s="192"/>
    </row>
    <row r="196" spans="1:13" s="45" customFormat="1" ht="15" customHeight="1" x14ac:dyDescent="0.25">
      <c r="A196" s="60"/>
      <c r="B196" s="61"/>
      <c r="C196" s="48"/>
      <c r="D196" s="58"/>
      <c r="E196" s="58"/>
      <c r="F196" s="59"/>
      <c r="H196" s="192"/>
      <c r="I196" s="192"/>
      <c r="J196" s="192"/>
      <c r="K196" s="192"/>
      <c r="L196" s="192"/>
      <c r="M196" s="192"/>
    </row>
    <row r="197" spans="1:13" s="45" customFormat="1" ht="15" customHeight="1" x14ac:dyDescent="0.25">
      <c r="A197" s="60"/>
      <c r="B197" s="61"/>
      <c r="C197" s="48"/>
      <c r="D197" s="58"/>
      <c r="E197" s="58"/>
      <c r="F197" s="59"/>
      <c r="H197" s="192"/>
      <c r="I197" s="192"/>
      <c r="J197" s="192"/>
      <c r="K197" s="192"/>
      <c r="L197" s="192"/>
      <c r="M197" s="192"/>
    </row>
    <row r="198" spans="1:13" s="45" customFormat="1" ht="15" customHeight="1" x14ac:dyDescent="0.25">
      <c r="A198" s="60"/>
      <c r="B198" s="61"/>
      <c r="C198" s="48"/>
      <c r="D198" s="58"/>
      <c r="E198" s="58"/>
      <c r="F198" s="59"/>
      <c r="H198" s="192"/>
      <c r="I198" s="192"/>
      <c r="J198" s="192"/>
      <c r="K198" s="192"/>
      <c r="L198" s="192"/>
      <c r="M198" s="192"/>
    </row>
    <row r="199" spans="1:13" s="45" customFormat="1" ht="15" customHeight="1" x14ac:dyDescent="0.25">
      <c r="A199" s="60"/>
      <c r="B199" s="61"/>
      <c r="C199" s="48"/>
      <c r="D199" s="58"/>
      <c r="E199" s="58"/>
      <c r="F199" s="59"/>
      <c r="H199" s="192"/>
      <c r="I199" s="192"/>
      <c r="J199" s="192"/>
      <c r="K199" s="192"/>
      <c r="L199" s="192"/>
      <c r="M199" s="192"/>
    </row>
    <row r="200" spans="1:13" s="45" customFormat="1" ht="15" customHeight="1" x14ac:dyDescent="0.25">
      <c r="A200" s="60"/>
      <c r="B200" s="61"/>
      <c r="C200" s="48"/>
      <c r="D200" s="58"/>
      <c r="E200" s="58"/>
      <c r="F200" s="59"/>
      <c r="H200" s="192"/>
      <c r="I200" s="192"/>
      <c r="J200" s="192"/>
      <c r="K200" s="192"/>
      <c r="L200" s="192"/>
      <c r="M200" s="192"/>
    </row>
    <row r="201" spans="1:13" s="45" customFormat="1" ht="15" customHeight="1" x14ac:dyDescent="0.25">
      <c r="A201" s="60"/>
      <c r="B201" s="61"/>
      <c r="C201" s="48"/>
      <c r="D201" s="58"/>
      <c r="E201" s="58"/>
      <c r="F201" s="59"/>
      <c r="H201" s="192"/>
      <c r="I201" s="192"/>
      <c r="J201" s="192"/>
      <c r="K201" s="192"/>
      <c r="L201" s="192"/>
      <c r="M201" s="192"/>
    </row>
    <row r="202" spans="1:13" s="45" customFormat="1" ht="15" customHeight="1" x14ac:dyDescent="0.25">
      <c r="A202" s="60"/>
      <c r="B202" s="61"/>
      <c r="C202" s="48"/>
      <c r="D202" s="58"/>
      <c r="E202" s="58"/>
      <c r="F202" s="59"/>
      <c r="H202" s="192"/>
      <c r="I202" s="192"/>
      <c r="J202" s="192"/>
      <c r="K202" s="192"/>
      <c r="L202" s="192"/>
      <c r="M202" s="192"/>
    </row>
    <row r="203" spans="1:13" s="45" customFormat="1" ht="15" customHeight="1" x14ac:dyDescent="0.25">
      <c r="A203" s="60"/>
      <c r="B203" s="61"/>
      <c r="C203" s="48"/>
      <c r="D203" s="58"/>
      <c r="E203" s="58"/>
      <c r="F203" s="59"/>
      <c r="H203" s="192"/>
      <c r="I203" s="192"/>
      <c r="J203" s="192"/>
      <c r="K203" s="192"/>
      <c r="L203" s="192"/>
      <c r="M203" s="192"/>
    </row>
    <row r="204" spans="1:13" s="45" customFormat="1" ht="15" customHeight="1" x14ac:dyDescent="0.25">
      <c r="A204" s="60"/>
      <c r="B204" s="61"/>
      <c r="C204" s="48"/>
      <c r="D204" s="58"/>
      <c r="E204" s="58"/>
      <c r="F204" s="59"/>
      <c r="H204" s="192"/>
      <c r="I204" s="192"/>
      <c r="J204" s="192"/>
      <c r="K204" s="192"/>
      <c r="L204" s="192"/>
      <c r="M204" s="192"/>
    </row>
    <row r="205" spans="1:13" s="45" customFormat="1" ht="15" customHeight="1" x14ac:dyDescent="0.25">
      <c r="A205" s="60"/>
      <c r="B205" s="61"/>
      <c r="C205" s="48"/>
      <c r="D205" s="58"/>
      <c r="E205" s="58"/>
      <c r="F205" s="59"/>
      <c r="H205" s="192"/>
      <c r="I205" s="192"/>
      <c r="J205" s="192"/>
      <c r="K205" s="192"/>
      <c r="L205" s="192"/>
      <c r="M205" s="192"/>
    </row>
    <row r="206" spans="1:13" s="45" customFormat="1" ht="15" customHeight="1" x14ac:dyDescent="0.25">
      <c r="A206" s="60"/>
      <c r="B206" s="61"/>
      <c r="C206" s="48"/>
      <c r="D206" s="58"/>
      <c r="E206" s="58"/>
      <c r="F206" s="59"/>
      <c r="H206" s="192"/>
      <c r="I206" s="192"/>
      <c r="J206" s="192"/>
      <c r="K206" s="192"/>
      <c r="L206" s="192"/>
      <c r="M206" s="192"/>
    </row>
    <row r="207" spans="1:13" s="45" customFormat="1" ht="15" customHeight="1" x14ac:dyDescent="0.25">
      <c r="A207" s="60"/>
      <c r="B207" s="61"/>
      <c r="C207" s="48"/>
      <c r="D207" s="58"/>
      <c r="E207" s="58"/>
      <c r="F207" s="59"/>
      <c r="H207" s="192"/>
      <c r="I207" s="192"/>
      <c r="J207" s="192"/>
      <c r="K207" s="192"/>
      <c r="L207" s="192"/>
      <c r="M207" s="192"/>
    </row>
    <row r="208" spans="1:13" s="45" customFormat="1" ht="15" customHeight="1" x14ac:dyDescent="0.25">
      <c r="A208" s="60"/>
      <c r="B208" s="61"/>
      <c r="C208" s="48"/>
      <c r="D208" s="58"/>
      <c r="E208" s="50"/>
      <c r="F208" s="51"/>
      <c r="H208" s="192"/>
      <c r="I208" s="192"/>
      <c r="J208" s="192"/>
      <c r="K208" s="192"/>
      <c r="L208" s="192"/>
      <c r="M208" s="192"/>
    </row>
    <row r="209" spans="1:13" s="45" customFormat="1" ht="15" customHeight="1" x14ac:dyDescent="0.25">
      <c r="A209" s="62"/>
      <c r="B209" s="102" t="s">
        <v>159</v>
      </c>
      <c r="C209" s="64"/>
      <c r="D209" s="65"/>
      <c r="E209" s="66"/>
      <c r="F209" s="67"/>
      <c r="H209" s="192"/>
      <c r="I209" s="192"/>
      <c r="J209" s="192"/>
      <c r="K209" s="192"/>
      <c r="L209" s="192"/>
      <c r="M209" s="192"/>
    </row>
    <row r="210" spans="1:13" s="138" customFormat="1" ht="15" customHeight="1" x14ac:dyDescent="0.25">
      <c r="A210" s="68"/>
      <c r="B210" s="69" t="s">
        <v>25</v>
      </c>
      <c r="C210" s="70"/>
      <c r="D210" s="71"/>
      <c r="E210" s="72"/>
      <c r="F210" s="73"/>
      <c r="H210" s="193"/>
      <c r="I210" s="193"/>
      <c r="J210" s="193"/>
      <c r="K210" s="193"/>
      <c r="L210" s="193"/>
      <c r="M210" s="193"/>
    </row>
    <row r="211" spans="1:13" s="45" customFormat="1" ht="15" customHeight="1" x14ac:dyDescent="0.25">
      <c r="A211" s="132"/>
      <c r="B211" s="40" t="s">
        <v>185</v>
      </c>
      <c r="C211" s="133"/>
      <c r="D211" s="139"/>
      <c r="E211" s="135"/>
      <c r="F211" s="136"/>
      <c r="H211" s="192"/>
      <c r="I211" s="192"/>
      <c r="J211" s="192"/>
      <c r="K211" s="192"/>
      <c r="L211" s="192"/>
      <c r="M211" s="192"/>
    </row>
    <row r="212" spans="1:13" s="45" customFormat="1" ht="15" customHeight="1" x14ac:dyDescent="0.25">
      <c r="A212" s="46"/>
      <c r="B212" s="54" t="s">
        <v>29</v>
      </c>
      <c r="C212" s="48"/>
      <c r="D212" s="49"/>
      <c r="E212" s="50"/>
      <c r="F212" s="51"/>
      <c r="H212" s="192"/>
      <c r="I212" s="192"/>
      <c r="J212" s="192"/>
      <c r="K212" s="192"/>
      <c r="L212" s="192"/>
      <c r="M212" s="192"/>
    </row>
    <row r="213" spans="1:13" s="45" customFormat="1" ht="15" customHeight="1" x14ac:dyDescent="0.25">
      <c r="A213" s="52">
        <v>4.0999999999999996</v>
      </c>
      <c r="B213" s="55" t="s">
        <v>39</v>
      </c>
      <c r="C213" s="48"/>
      <c r="D213" s="49"/>
      <c r="E213" s="50"/>
      <c r="F213" s="51"/>
      <c r="H213" s="192"/>
      <c r="I213" s="192"/>
      <c r="J213" s="192"/>
      <c r="K213" s="192"/>
      <c r="L213" s="192"/>
      <c r="M213" s="192"/>
    </row>
    <row r="214" spans="1:13" s="45" customFormat="1" ht="38.25" x14ac:dyDescent="0.25">
      <c r="A214" s="46"/>
      <c r="B214" s="61" t="s">
        <v>67</v>
      </c>
      <c r="C214" s="48"/>
      <c r="D214" s="49"/>
      <c r="E214" s="50"/>
      <c r="F214" s="51"/>
      <c r="H214" s="192"/>
      <c r="I214" s="192"/>
      <c r="J214" s="192"/>
      <c r="K214" s="192"/>
      <c r="L214" s="192"/>
      <c r="M214" s="192"/>
    </row>
    <row r="215" spans="1:13" s="45" customFormat="1" ht="38.25" x14ac:dyDescent="0.25">
      <c r="A215" s="46"/>
      <c r="B215" s="61" t="s">
        <v>68</v>
      </c>
      <c r="C215" s="48"/>
      <c r="D215" s="49"/>
      <c r="E215" s="50"/>
      <c r="F215" s="51"/>
      <c r="H215" s="192"/>
      <c r="I215" s="192"/>
      <c r="J215" s="192"/>
      <c r="K215" s="192"/>
      <c r="L215" s="192"/>
      <c r="M215" s="192"/>
    </row>
    <row r="216" spans="1:13" s="45" customFormat="1" ht="25.5" x14ac:dyDescent="0.25">
      <c r="A216" s="46"/>
      <c r="B216" s="91" t="s">
        <v>69</v>
      </c>
      <c r="C216" s="48"/>
      <c r="D216" s="49"/>
      <c r="E216" s="50"/>
      <c r="F216" s="51"/>
      <c r="H216" s="192"/>
      <c r="I216" s="192"/>
      <c r="J216" s="192"/>
      <c r="K216" s="192"/>
      <c r="L216" s="192"/>
      <c r="M216" s="192"/>
    </row>
    <row r="217" spans="1:13" s="45" customFormat="1" ht="25.5" x14ac:dyDescent="0.25">
      <c r="A217" s="46"/>
      <c r="B217" s="91" t="s">
        <v>70</v>
      </c>
      <c r="C217" s="48"/>
      <c r="D217" s="49"/>
      <c r="E217" s="50"/>
      <c r="F217" s="51"/>
      <c r="H217" s="192"/>
      <c r="I217" s="192"/>
      <c r="J217" s="192"/>
      <c r="K217" s="192"/>
      <c r="L217" s="192"/>
      <c r="M217" s="192"/>
    </row>
    <row r="218" spans="1:13" s="45" customFormat="1" ht="25.5" x14ac:dyDescent="0.25">
      <c r="A218" s="46"/>
      <c r="B218" s="91" t="s">
        <v>169</v>
      </c>
      <c r="C218" s="48"/>
      <c r="D218" s="49"/>
      <c r="E218" s="50"/>
      <c r="F218" s="51"/>
      <c r="H218" s="192"/>
      <c r="I218" s="192"/>
      <c r="J218" s="192"/>
      <c r="K218" s="192"/>
      <c r="L218" s="192"/>
      <c r="M218" s="192"/>
    </row>
    <row r="219" spans="1:13" s="45" customFormat="1" ht="15" customHeight="1" x14ac:dyDescent="0.25">
      <c r="A219" s="46"/>
      <c r="B219" s="144"/>
      <c r="C219" s="48"/>
      <c r="D219" s="49"/>
      <c r="E219" s="50"/>
      <c r="F219" s="51"/>
      <c r="H219" s="192"/>
      <c r="I219" s="192"/>
      <c r="J219" s="192"/>
      <c r="K219" s="192"/>
      <c r="L219" s="192"/>
      <c r="M219" s="192"/>
    </row>
    <row r="220" spans="1:13" s="45" customFormat="1" ht="15" customHeight="1" x14ac:dyDescent="0.25">
      <c r="A220" s="52">
        <v>4.2</v>
      </c>
      <c r="B220" s="140" t="s">
        <v>170</v>
      </c>
      <c r="C220" s="48"/>
      <c r="D220" s="57"/>
      <c r="E220" s="50"/>
      <c r="F220" s="59"/>
      <c r="H220" s="192"/>
      <c r="I220" s="192"/>
      <c r="J220" s="192"/>
      <c r="K220" s="192"/>
      <c r="L220" s="192"/>
      <c r="M220" s="192"/>
    </row>
    <row r="221" spans="1:13" s="45" customFormat="1" ht="15" customHeight="1" x14ac:dyDescent="0.25">
      <c r="A221" s="60">
        <v>1</v>
      </c>
      <c r="B221" s="61" t="s">
        <v>248</v>
      </c>
      <c r="C221" s="48">
        <v>11</v>
      </c>
      <c r="D221" s="58" t="s">
        <v>5</v>
      </c>
      <c r="E221" s="50"/>
      <c r="F221" s="59"/>
      <c r="H221" s="192"/>
      <c r="I221" s="192"/>
      <c r="J221" s="192"/>
      <c r="K221" s="192"/>
      <c r="L221" s="192"/>
      <c r="M221" s="192"/>
    </row>
    <row r="222" spans="1:13" s="45" customFormat="1" ht="15" customHeight="1" x14ac:dyDescent="0.25">
      <c r="A222" s="60">
        <v>2</v>
      </c>
      <c r="B222" s="61" t="s">
        <v>249</v>
      </c>
      <c r="C222" s="48">
        <v>10</v>
      </c>
      <c r="D222" s="58" t="s">
        <v>5</v>
      </c>
      <c r="E222" s="50"/>
      <c r="F222" s="59"/>
      <c r="H222" s="192"/>
      <c r="I222" s="192"/>
      <c r="J222" s="192"/>
      <c r="K222" s="192"/>
      <c r="L222" s="192"/>
      <c r="M222" s="192"/>
    </row>
    <row r="223" spans="1:13" s="45" customFormat="1" ht="15" customHeight="1" x14ac:dyDescent="0.25">
      <c r="A223" s="143"/>
      <c r="B223" s="144"/>
      <c r="C223" s="48"/>
      <c r="D223" s="49"/>
      <c r="E223" s="50"/>
      <c r="F223" s="51"/>
      <c r="H223" s="192"/>
      <c r="I223" s="192"/>
      <c r="J223" s="192"/>
      <c r="K223" s="192"/>
      <c r="L223" s="192"/>
      <c r="M223" s="192"/>
    </row>
    <row r="224" spans="1:13" s="45" customFormat="1" ht="15" customHeight="1" x14ac:dyDescent="0.25">
      <c r="A224" s="52">
        <v>4.3</v>
      </c>
      <c r="B224" s="140" t="s">
        <v>102</v>
      </c>
      <c r="C224" s="48"/>
      <c r="D224" s="57"/>
      <c r="E224" s="50"/>
      <c r="F224" s="59"/>
      <c r="H224" s="192"/>
      <c r="I224" s="192"/>
      <c r="J224" s="192"/>
      <c r="K224" s="192"/>
      <c r="L224" s="192"/>
      <c r="M224" s="192"/>
    </row>
    <row r="225" spans="1:13" s="45" customFormat="1" ht="15" customHeight="1" x14ac:dyDescent="0.25">
      <c r="A225" s="60">
        <v>1</v>
      </c>
      <c r="B225" s="61" t="s">
        <v>250</v>
      </c>
      <c r="C225" s="48">
        <v>2</v>
      </c>
      <c r="D225" s="58" t="s">
        <v>5</v>
      </c>
      <c r="E225" s="50"/>
      <c r="F225" s="59"/>
      <c r="H225" s="192"/>
      <c r="I225" s="192"/>
      <c r="J225" s="192"/>
      <c r="K225" s="192"/>
      <c r="L225" s="192"/>
      <c r="M225" s="192"/>
    </row>
    <row r="226" spans="1:13" s="45" customFormat="1" ht="15" customHeight="1" x14ac:dyDescent="0.25">
      <c r="A226" s="60"/>
      <c r="B226" s="61"/>
      <c r="C226" s="48"/>
      <c r="D226" s="58"/>
      <c r="E226" s="50"/>
      <c r="F226" s="59"/>
      <c r="H226" s="192"/>
      <c r="I226" s="192"/>
      <c r="J226" s="192"/>
      <c r="K226" s="192"/>
      <c r="L226" s="192"/>
      <c r="M226" s="192"/>
    </row>
    <row r="227" spans="1:13" s="45" customFormat="1" ht="15" customHeight="1" x14ac:dyDescent="0.25">
      <c r="A227" s="60"/>
      <c r="B227" s="61"/>
      <c r="C227" s="48"/>
      <c r="D227" s="58"/>
      <c r="E227" s="50"/>
      <c r="F227" s="59"/>
      <c r="H227" s="192"/>
      <c r="I227" s="192"/>
      <c r="J227" s="192"/>
      <c r="K227" s="192"/>
      <c r="L227" s="192"/>
      <c r="M227" s="192"/>
    </row>
    <row r="228" spans="1:13" s="45" customFormat="1" ht="12.75" x14ac:dyDescent="0.25">
      <c r="A228" s="94"/>
      <c r="B228" s="61"/>
      <c r="C228" s="48"/>
      <c r="D228" s="58"/>
      <c r="E228" s="50"/>
      <c r="F228" s="59"/>
      <c r="H228" s="192"/>
      <c r="I228" s="192"/>
      <c r="J228" s="192"/>
      <c r="K228" s="192"/>
      <c r="L228" s="192"/>
      <c r="M228" s="192"/>
    </row>
    <row r="229" spans="1:13" s="45" customFormat="1" ht="15" customHeight="1" x14ac:dyDescent="0.25">
      <c r="A229" s="145"/>
      <c r="B229" s="140"/>
      <c r="C229" s="48"/>
      <c r="D229" s="57"/>
      <c r="E229" s="50"/>
      <c r="F229" s="59"/>
      <c r="H229" s="192"/>
      <c r="I229" s="192"/>
      <c r="J229" s="192"/>
      <c r="K229" s="192"/>
      <c r="L229" s="192"/>
      <c r="M229" s="192"/>
    </row>
    <row r="230" spans="1:13" s="45" customFormat="1" ht="15" customHeight="1" x14ac:dyDescent="0.25">
      <c r="A230" s="60"/>
      <c r="B230" s="61"/>
      <c r="C230" s="48"/>
      <c r="D230" s="58"/>
      <c r="E230" s="50"/>
      <c r="F230" s="59"/>
      <c r="H230" s="192"/>
      <c r="I230" s="192"/>
      <c r="J230" s="192"/>
      <c r="K230" s="192"/>
      <c r="L230" s="192"/>
      <c r="M230" s="192"/>
    </row>
    <row r="231" spans="1:13" s="45" customFormat="1" ht="15" customHeight="1" x14ac:dyDescent="0.25">
      <c r="A231" s="60"/>
      <c r="B231" s="61"/>
      <c r="C231" s="48"/>
      <c r="D231" s="49"/>
      <c r="E231" s="50"/>
      <c r="F231" s="51"/>
      <c r="H231" s="192"/>
      <c r="I231" s="192"/>
      <c r="J231" s="192"/>
      <c r="K231" s="192"/>
      <c r="L231" s="192"/>
      <c r="M231" s="192"/>
    </row>
    <row r="232" spans="1:13" s="45" customFormat="1" ht="12.75" x14ac:dyDescent="0.25">
      <c r="A232" s="94"/>
      <c r="B232" s="61"/>
      <c r="C232" s="48"/>
      <c r="D232" s="58"/>
      <c r="E232" s="50"/>
      <c r="F232" s="59"/>
      <c r="H232" s="192"/>
      <c r="I232" s="192"/>
      <c r="J232" s="192"/>
      <c r="K232" s="192"/>
      <c r="L232" s="192"/>
      <c r="M232" s="192"/>
    </row>
    <row r="233" spans="1:13" s="45" customFormat="1" ht="15" customHeight="1" x14ac:dyDescent="0.25">
      <c r="A233" s="145"/>
      <c r="B233" s="140"/>
      <c r="C233" s="48"/>
      <c r="D233" s="57"/>
      <c r="E233" s="50"/>
      <c r="F233" s="59"/>
      <c r="H233" s="192"/>
      <c r="I233" s="192"/>
      <c r="J233" s="192"/>
      <c r="K233" s="192"/>
      <c r="L233" s="192"/>
      <c r="M233" s="192"/>
    </row>
    <row r="234" spans="1:13" s="45" customFormat="1" ht="15" customHeight="1" x14ac:dyDescent="0.25">
      <c r="A234" s="60"/>
      <c r="B234" s="61"/>
      <c r="C234" s="48"/>
      <c r="D234" s="58"/>
      <c r="E234" s="50"/>
      <c r="F234" s="59"/>
      <c r="H234" s="192"/>
      <c r="I234" s="192"/>
      <c r="J234" s="192"/>
      <c r="K234" s="192"/>
      <c r="L234" s="192"/>
      <c r="M234" s="192"/>
    </row>
    <row r="235" spans="1:13" s="45" customFormat="1" ht="15" customHeight="1" x14ac:dyDescent="0.25">
      <c r="A235" s="60"/>
      <c r="B235" s="61"/>
      <c r="C235" s="48"/>
      <c r="D235" s="58"/>
      <c r="E235" s="50"/>
      <c r="F235" s="59"/>
      <c r="H235" s="192"/>
      <c r="I235" s="192"/>
      <c r="J235" s="192"/>
      <c r="K235" s="192"/>
      <c r="L235" s="192"/>
      <c r="M235" s="192"/>
    </row>
    <row r="236" spans="1:13" s="45" customFormat="1" ht="15" customHeight="1" x14ac:dyDescent="0.25">
      <c r="A236" s="60"/>
      <c r="B236" s="61"/>
      <c r="C236" s="48"/>
      <c r="D236" s="58"/>
      <c r="E236" s="50"/>
      <c r="F236" s="59"/>
      <c r="H236" s="192"/>
      <c r="I236" s="192"/>
      <c r="J236" s="192"/>
      <c r="K236" s="192"/>
      <c r="L236" s="192"/>
      <c r="M236" s="192"/>
    </row>
    <row r="237" spans="1:13" s="45" customFormat="1" ht="15" customHeight="1" x14ac:dyDescent="0.25">
      <c r="A237" s="60"/>
      <c r="B237" s="61"/>
      <c r="C237" s="48"/>
      <c r="D237" s="58"/>
      <c r="E237" s="50"/>
      <c r="F237" s="59"/>
      <c r="H237" s="192"/>
      <c r="I237" s="192"/>
      <c r="J237" s="192"/>
      <c r="K237" s="192"/>
      <c r="L237" s="192"/>
      <c r="M237" s="192"/>
    </row>
    <row r="238" spans="1:13" s="45" customFormat="1" ht="15" customHeight="1" x14ac:dyDescent="0.25">
      <c r="A238" s="60"/>
      <c r="B238" s="124"/>
      <c r="C238" s="48"/>
      <c r="D238" s="58"/>
      <c r="E238" s="50"/>
      <c r="F238" s="59"/>
      <c r="H238" s="192"/>
      <c r="I238" s="192"/>
      <c r="J238" s="192"/>
      <c r="K238" s="192"/>
      <c r="L238" s="192"/>
      <c r="M238" s="192"/>
    </row>
    <row r="239" spans="1:13" s="45" customFormat="1" ht="15" customHeight="1" x14ac:dyDescent="0.25">
      <c r="A239" s="60"/>
      <c r="B239" s="124"/>
      <c r="C239" s="48"/>
      <c r="D239" s="58"/>
      <c r="E239" s="50"/>
      <c r="F239" s="59"/>
      <c r="H239" s="192"/>
      <c r="I239" s="192"/>
      <c r="J239" s="192"/>
      <c r="K239" s="192"/>
      <c r="L239" s="192"/>
      <c r="M239" s="192"/>
    </row>
    <row r="240" spans="1:13" s="45" customFormat="1" ht="15" customHeight="1" x14ac:dyDescent="0.25">
      <c r="A240" s="60"/>
      <c r="B240" s="124"/>
      <c r="C240" s="48"/>
      <c r="D240" s="58"/>
      <c r="E240" s="50"/>
      <c r="F240" s="59"/>
      <c r="H240" s="192"/>
      <c r="I240" s="192"/>
      <c r="J240" s="192"/>
      <c r="K240" s="192"/>
      <c r="L240" s="192"/>
      <c r="M240" s="192"/>
    </row>
    <row r="241" spans="1:13" s="45" customFormat="1" ht="15" customHeight="1" x14ac:dyDescent="0.25">
      <c r="A241" s="60"/>
      <c r="B241" s="124"/>
      <c r="C241" s="48"/>
      <c r="D241" s="58"/>
      <c r="E241" s="50"/>
      <c r="F241" s="59"/>
      <c r="H241" s="192"/>
      <c r="I241" s="192"/>
      <c r="J241" s="192"/>
      <c r="K241" s="192"/>
      <c r="L241" s="192"/>
      <c r="M241" s="192"/>
    </row>
    <row r="242" spans="1:13" s="45" customFormat="1" ht="15" customHeight="1" x14ac:dyDescent="0.25">
      <c r="A242" s="60"/>
      <c r="B242" s="124"/>
      <c r="C242" s="48"/>
      <c r="D242" s="58"/>
      <c r="E242" s="50"/>
      <c r="F242" s="59"/>
      <c r="H242" s="192"/>
      <c r="I242" s="192"/>
      <c r="J242" s="192"/>
      <c r="K242" s="192"/>
      <c r="L242" s="192"/>
      <c r="M242" s="192"/>
    </row>
    <row r="243" spans="1:13" s="45" customFormat="1" ht="15" customHeight="1" x14ac:dyDescent="0.25">
      <c r="A243" s="60"/>
      <c r="B243" s="124"/>
      <c r="C243" s="48"/>
      <c r="D243" s="58"/>
      <c r="E243" s="50"/>
      <c r="F243" s="59"/>
      <c r="H243" s="192"/>
      <c r="I243" s="192"/>
      <c r="J243" s="192"/>
      <c r="K243" s="192"/>
      <c r="L243" s="192"/>
      <c r="M243" s="192"/>
    </row>
    <row r="244" spans="1:13" s="45" customFormat="1" ht="15" customHeight="1" x14ac:dyDescent="0.25">
      <c r="A244" s="60"/>
      <c r="B244" s="124"/>
      <c r="C244" s="48"/>
      <c r="D244" s="58"/>
      <c r="E244" s="50"/>
      <c r="F244" s="59"/>
      <c r="H244" s="192"/>
      <c r="I244" s="192"/>
      <c r="J244" s="192"/>
      <c r="K244" s="192"/>
      <c r="L244" s="192"/>
      <c r="M244" s="192"/>
    </row>
    <row r="245" spans="1:13" s="45" customFormat="1" ht="15" customHeight="1" x14ac:dyDescent="0.25">
      <c r="A245" s="60"/>
      <c r="B245" s="124"/>
      <c r="C245" s="48"/>
      <c r="D245" s="58"/>
      <c r="E245" s="50"/>
      <c r="F245" s="59"/>
      <c r="H245" s="192"/>
      <c r="I245" s="192"/>
      <c r="J245" s="192"/>
      <c r="K245" s="192"/>
      <c r="L245" s="192"/>
      <c r="M245" s="192"/>
    </row>
    <row r="246" spans="1:13" s="45" customFormat="1" ht="15" customHeight="1" x14ac:dyDescent="0.25">
      <c r="A246" s="60"/>
      <c r="B246" s="124"/>
      <c r="C246" s="48"/>
      <c r="D246" s="58"/>
      <c r="E246" s="50"/>
      <c r="F246" s="59"/>
      <c r="H246" s="192"/>
      <c r="I246" s="192"/>
      <c r="J246" s="192"/>
      <c r="K246" s="192"/>
      <c r="L246" s="192"/>
      <c r="M246" s="192"/>
    </row>
    <row r="247" spans="1:13" s="45" customFormat="1" ht="15" customHeight="1" x14ac:dyDescent="0.25">
      <c r="A247" s="60"/>
      <c r="C247" s="48"/>
      <c r="D247" s="58"/>
      <c r="E247" s="50"/>
      <c r="F247" s="59"/>
      <c r="H247" s="192"/>
      <c r="I247" s="192"/>
      <c r="J247" s="192"/>
      <c r="K247" s="192"/>
      <c r="L247" s="192"/>
      <c r="M247" s="192"/>
    </row>
    <row r="248" spans="1:13" s="45" customFormat="1" ht="15" customHeight="1" x14ac:dyDescent="0.25">
      <c r="A248" s="60"/>
      <c r="B248" s="61"/>
      <c r="C248" s="48"/>
      <c r="D248" s="58"/>
      <c r="E248" s="50"/>
      <c r="F248" s="51"/>
      <c r="H248" s="192"/>
      <c r="I248" s="192"/>
      <c r="J248" s="192"/>
      <c r="K248" s="192"/>
      <c r="L248" s="192"/>
      <c r="M248" s="192"/>
    </row>
    <row r="249" spans="1:13" s="45" customFormat="1" ht="15" customHeight="1" x14ac:dyDescent="0.25">
      <c r="A249" s="60"/>
      <c r="B249" s="61"/>
      <c r="C249" s="48"/>
      <c r="D249" s="58"/>
      <c r="E249" s="50"/>
      <c r="F249" s="51"/>
      <c r="H249" s="192"/>
      <c r="I249" s="192"/>
      <c r="J249" s="192"/>
      <c r="K249" s="192"/>
      <c r="L249" s="192"/>
      <c r="M249" s="192"/>
    </row>
    <row r="250" spans="1:13" s="45" customFormat="1" ht="15" customHeight="1" x14ac:dyDescent="0.25">
      <c r="A250" s="125"/>
      <c r="B250" s="61"/>
      <c r="C250" s="48"/>
      <c r="D250" s="58"/>
      <c r="E250" s="50"/>
      <c r="F250" s="51"/>
      <c r="H250" s="192"/>
      <c r="I250" s="192"/>
      <c r="J250" s="192"/>
      <c r="K250" s="192"/>
      <c r="L250" s="192"/>
      <c r="M250" s="192"/>
    </row>
    <row r="251" spans="1:13" s="45" customFormat="1" ht="15" customHeight="1" x14ac:dyDescent="0.25">
      <c r="A251" s="62"/>
      <c r="B251" s="63" t="s">
        <v>187</v>
      </c>
      <c r="C251" s="64"/>
      <c r="D251" s="65"/>
      <c r="E251" s="66"/>
      <c r="F251" s="67"/>
      <c r="H251" s="192"/>
      <c r="I251" s="192"/>
      <c r="J251" s="192"/>
      <c r="K251" s="192"/>
      <c r="L251" s="192"/>
      <c r="M251" s="192"/>
    </row>
    <row r="252" spans="1:13" s="138" customFormat="1" ht="15" customHeight="1" x14ac:dyDescent="0.25">
      <c r="A252" s="68"/>
      <c r="B252" s="69" t="s">
        <v>186</v>
      </c>
      <c r="C252" s="70"/>
      <c r="D252" s="71"/>
      <c r="E252" s="72"/>
      <c r="F252" s="73"/>
      <c r="H252" s="193"/>
      <c r="I252" s="193"/>
      <c r="J252" s="193"/>
      <c r="K252" s="193"/>
      <c r="L252" s="193"/>
      <c r="M252" s="193"/>
    </row>
    <row r="253" spans="1:13" s="45" customFormat="1" ht="15" customHeight="1" x14ac:dyDescent="0.25">
      <c r="A253" s="132"/>
      <c r="B253" s="40" t="s">
        <v>188</v>
      </c>
      <c r="C253" s="133"/>
      <c r="D253" s="139"/>
      <c r="E253" s="135"/>
      <c r="F253" s="136"/>
      <c r="H253" s="192"/>
      <c r="I253" s="192"/>
      <c r="J253" s="192"/>
      <c r="K253" s="192"/>
      <c r="L253" s="192"/>
      <c r="M253" s="192"/>
    </row>
    <row r="254" spans="1:13" s="45" customFormat="1" ht="15" customHeight="1" x14ac:dyDescent="0.25">
      <c r="A254" s="41"/>
      <c r="B254" s="80" t="s">
        <v>31</v>
      </c>
      <c r="C254" s="42"/>
      <c r="D254" s="43"/>
      <c r="E254" s="113"/>
      <c r="F254" s="44"/>
      <c r="H254" s="192"/>
      <c r="I254" s="192"/>
      <c r="J254" s="192"/>
      <c r="K254" s="192"/>
      <c r="L254" s="192"/>
      <c r="M254" s="192"/>
    </row>
    <row r="255" spans="1:13" s="45" customFormat="1" ht="15" customHeight="1" x14ac:dyDescent="0.25">
      <c r="A255" s="52">
        <v>5.0999999999999996</v>
      </c>
      <c r="B255" s="55" t="s">
        <v>39</v>
      </c>
      <c r="C255" s="48"/>
      <c r="D255" s="49"/>
      <c r="E255" s="50"/>
      <c r="F255" s="51"/>
      <c r="H255" s="192"/>
      <c r="I255" s="192"/>
      <c r="J255" s="192"/>
      <c r="K255" s="192"/>
      <c r="L255" s="192"/>
      <c r="M255" s="192"/>
    </row>
    <row r="256" spans="1:13" s="45" customFormat="1" ht="38.25" x14ac:dyDescent="0.25">
      <c r="A256" s="46"/>
      <c r="B256" s="61" t="s">
        <v>71</v>
      </c>
      <c r="C256" s="48"/>
      <c r="D256" s="57">
        <v>0</v>
      </c>
      <c r="E256" s="50"/>
      <c r="F256" s="59"/>
      <c r="H256" s="192"/>
      <c r="I256" s="192"/>
      <c r="J256" s="192"/>
      <c r="K256" s="192"/>
      <c r="L256" s="192"/>
      <c r="M256" s="192"/>
    </row>
    <row r="257" spans="1:13" s="45" customFormat="1" ht="15" customHeight="1" x14ac:dyDescent="0.25">
      <c r="A257" s="46"/>
      <c r="B257" s="146"/>
      <c r="C257" s="48"/>
      <c r="D257" s="57">
        <v>0</v>
      </c>
      <c r="E257" s="50"/>
      <c r="F257" s="51"/>
      <c r="H257" s="192"/>
      <c r="I257" s="192"/>
      <c r="J257" s="192"/>
      <c r="K257" s="192"/>
      <c r="L257" s="192"/>
      <c r="M257" s="192"/>
    </row>
    <row r="258" spans="1:13" s="45" customFormat="1" ht="15" customHeight="1" x14ac:dyDescent="0.25">
      <c r="A258" s="52">
        <v>5.2</v>
      </c>
      <c r="B258" s="55" t="s">
        <v>46</v>
      </c>
      <c r="C258" s="48"/>
      <c r="D258" s="57">
        <v>0</v>
      </c>
      <c r="E258" s="58"/>
      <c r="F258" s="59"/>
      <c r="H258" s="192"/>
      <c r="I258" s="192"/>
      <c r="J258" s="192"/>
      <c r="K258" s="192"/>
      <c r="L258" s="192"/>
      <c r="M258" s="192"/>
    </row>
    <row r="259" spans="1:13" s="45" customFormat="1" ht="15" customHeight="1" x14ac:dyDescent="0.25">
      <c r="A259" s="46" t="s">
        <v>189</v>
      </c>
      <c r="B259" s="137" t="s">
        <v>2</v>
      </c>
      <c r="C259" s="48"/>
      <c r="D259" s="57"/>
      <c r="E259" s="58"/>
      <c r="F259" s="59"/>
      <c r="G259" s="45">
        <f>23.15-2.15</f>
        <v>21</v>
      </c>
      <c r="H259" s="192"/>
      <c r="I259" s="192"/>
      <c r="J259" s="192"/>
      <c r="K259" s="192"/>
      <c r="L259" s="192"/>
      <c r="M259" s="192"/>
    </row>
    <row r="260" spans="1:13" s="45" customFormat="1" ht="13.5" customHeight="1" x14ac:dyDescent="0.25">
      <c r="A260" s="60">
        <v>1</v>
      </c>
      <c r="B260" s="61" t="s">
        <v>171</v>
      </c>
      <c r="C260" s="48">
        <f>2.15*4.75</f>
        <v>10.2125</v>
      </c>
      <c r="D260" s="58" t="s">
        <v>16</v>
      </c>
      <c r="E260" s="58"/>
      <c r="F260" s="59"/>
      <c r="H260" s="192"/>
      <c r="I260" s="192"/>
      <c r="J260" s="192"/>
      <c r="K260" s="192"/>
      <c r="L260" s="192"/>
      <c r="M260" s="192"/>
    </row>
    <row r="261" spans="1:13" s="45" customFormat="1" ht="25.5" x14ac:dyDescent="0.25">
      <c r="A261" s="60">
        <v>2</v>
      </c>
      <c r="B261" s="61" t="s">
        <v>146</v>
      </c>
      <c r="C261" s="48">
        <f>21*4.75</f>
        <v>99.75</v>
      </c>
      <c r="D261" s="58" t="s">
        <v>16</v>
      </c>
      <c r="E261" s="58"/>
      <c r="F261" s="59"/>
      <c r="H261" s="192"/>
      <c r="I261" s="192"/>
      <c r="J261" s="192"/>
      <c r="K261" s="192"/>
      <c r="L261" s="192"/>
      <c r="M261" s="192"/>
    </row>
    <row r="262" spans="1:13" s="45" customFormat="1" ht="12.75" x14ac:dyDescent="0.25">
      <c r="A262" s="60"/>
      <c r="B262" s="61"/>
      <c r="C262" s="48"/>
      <c r="D262" s="58"/>
      <c r="E262" s="58"/>
      <c r="F262" s="59"/>
      <c r="H262" s="192"/>
      <c r="I262" s="192"/>
      <c r="J262" s="192"/>
      <c r="K262" s="192"/>
      <c r="L262" s="192"/>
      <c r="M262" s="192"/>
    </row>
    <row r="263" spans="1:13" s="45" customFormat="1" ht="12.75" x14ac:dyDescent="0.25">
      <c r="A263" s="60"/>
      <c r="B263" s="61"/>
      <c r="C263" s="48"/>
      <c r="D263" s="58"/>
      <c r="E263" s="58"/>
      <c r="F263" s="59"/>
      <c r="H263" s="192"/>
      <c r="I263" s="192"/>
      <c r="J263" s="192"/>
      <c r="K263" s="192"/>
      <c r="L263" s="192"/>
      <c r="M263" s="192"/>
    </row>
    <row r="264" spans="1:13" s="45" customFormat="1" ht="12.75" x14ac:dyDescent="0.25">
      <c r="A264" s="52">
        <v>5.3</v>
      </c>
      <c r="B264" s="55" t="s">
        <v>261</v>
      </c>
      <c r="C264" s="48"/>
      <c r="D264" s="58"/>
      <c r="E264" s="58"/>
      <c r="F264" s="59"/>
      <c r="H264" s="192"/>
      <c r="I264" s="192"/>
      <c r="J264" s="192"/>
      <c r="K264" s="192"/>
      <c r="L264" s="192"/>
      <c r="M264" s="192"/>
    </row>
    <row r="265" spans="1:13" s="45" customFormat="1" ht="25.5" x14ac:dyDescent="0.25">
      <c r="A265" s="60"/>
      <c r="B265" s="61" t="s">
        <v>262</v>
      </c>
      <c r="C265" s="48"/>
      <c r="D265" s="58"/>
      <c r="E265" s="58"/>
      <c r="F265" s="59"/>
      <c r="H265" s="192"/>
      <c r="I265" s="192"/>
      <c r="J265" s="192"/>
      <c r="K265" s="192"/>
      <c r="L265" s="192"/>
      <c r="M265" s="192"/>
    </row>
    <row r="266" spans="1:13" s="45" customFormat="1" ht="12.75" x14ac:dyDescent="0.25">
      <c r="A266" s="60"/>
      <c r="B266" s="61"/>
      <c r="C266" s="48"/>
      <c r="D266" s="58"/>
      <c r="E266" s="58"/>
      <c r="F266" s="59"/>
      <c r="H266" s="192"/>
      <c r="I266" s="192"/>
      <c r="J266" s="192"/>
      <c r="K266" s="192"/>
      <c r="L266" s="192"/>
      <c r="M266" s="192"/>
    </row>
    <row r="267" spans="1:13" s="45" customFormat="1" ht="38.25" x14ac:dyDescent="0.25">
      <c r="A267" s="60">
        <v>1</v>
      </c>
      <c r="B267" s="61" t="s">
        <v>263</v>
      </c>
      <c r="C267" s="48">
        <f>24.2*5.95</f>
        <v>143.99</v>
      </c>
      <c r="D267" s="58" t="s">
        <v>16</v>
      </c>
      <c r="E267" s="58"/>
      <c r="F267" s="59"/>
      <c r="H267" s="192"/>
      <c r="I267" s="192"/>
      <c r="J267" s="192"/>
      <c r="K267" s="192"/>
      <c r="L267" s="192"/>
      <c r="M267" s="192"/>
    </row>
    <row r="268" spans="1:13" s="45" customFormat="1" ht="12.75" x14ac:dyDescent="0.25">
      <c r="A268" s="60"/>
      <c r="B268" s="61"/>
      <c r="C268" s="48"/>
      <c r="D268" s="58"/>
      <c r="E268" s="58"/>
      <c r="F268" s="59"/>
      <c r="H268" s="192"/>
      <c r="I268" s="192"/>
      <c r="J268" s="192"/>
      <c r="K268" s="192"/>
      <c r="L268" s="192"/>
      <c r="M268" s="192"/>
    </row>
    <row r="269" spans="1:13" s="45" customFormat="1" ht="12.75" x14ac:dyDescent="0.25">
      <c r="A269" s="60"/>
      <c r="B269" s="61"/>
      <c r="C269" s="48"/>
      <c r="D269" s="58"/>
      <c r="E269" s="58"/>
      <c r="F269" s="59"/>
      <c r="H269" s="192"/>
      <c r="I269" s="192"/>
      <c r="J269" s="192"/>
      <c r="K269" s="192"/>
      <c r="L269" s="192"/>
      <c r="M269" s="192"/>
    </row>
    <row r="270" spans="1:13" s="45" customFormat="1" ht="12.75" x14ac:dyDescent="0.25">
      <c r="A270" s="60"/>
      <c r="B270" s="61"/>
      <c r="C270" s="48"/>
      <c r="D270" s="58"/>
      <c r="E270" s="58"/>
      <c r="F270" s="59"/>
      <c r="H270" s="192"/>
      <c r="I270" s="192"/>
      <c r="J270" s="192"/>
      <c r="K270" s="192"/>
      <c r="L270" s="192"/>
      <c r="M270" s="192"/>
    </row>
    <row r="271" spans="1:13" s="45" customFormat="1" ht="12.75" x14ac:dyDescent="0.25">
      <c r="A271" s="60"/>
      <c r="B271" s="61"/>
      <c r="C271" s="48"/>
      <c r="D271" s="58"/>
      <c r="E271" s="58"/>
      <c r="F271" s="59"/>
      <c r="H271" s="192"/>
      <c r="I271" s="192"/>
      <c r="J271" s="192"/>
      <c r="K271" s="192"/>
      <c r="L271" s="192"/>
      <c r="M271" s="192"/>
    </row>
    <row r="272" spans="1:13" s="45" customFormat="1" ht="12.75" x14ac:dyDescent="0.25">
      <c r="A272" s="60"/>
      <c r="B272" s="61"/>
      <c r="C272" s="48"/>
      <c r="D272" s="58"/>
      <c r="E272" s="58"/>
      <c r="F272" s="59"/>
      <c r="H272" s="192"/>
      <c r="I272" s="192"/>
      <c r="J272" s="192"/>
      <c r="K272" s="192"/>
      <c r="L272" s="192"/>
      <c r="M272" s="192"/>
    </row>
    <row r="273" spans="1:13" s="45" customFormat="1" ht="12.75" x14ac:dyDescent="0.25">
      <c r="A273" s="60"/>
      <c r="B273" s="61"/>
      <c r="C273" s="48"/>
      <c r="D273" s="58"/>
      <c r="E273" s="58"/>
      <c r="F273" s="59"/>
      <c r="H273" s="192"/>
      <c r="I273" s="192"/>
      <c r="J273" s="192"/>
      <c r="K273" s="192"/>
      <c r="L273" s="192"/>
      <c r="M273" s="192"/>
    </row>
    <row r="274" spans="1:13" s="45" customFormat="1" ht="12.75" x14ac:dyDescent="0.25">
      <c r="A274" s="60"/>
      <c r="B274" s="61"/>
      <c r="C274" s="48"/>
      <c r="D274" s="58"/>
      <c r="E274" s="58"/>
      <c r="F274" s="59"/>
      <c r="H274" s="192"/>
      <c r="I274" s="192"/>
      <c r="J274" s="192"/>
      <c r="K274" s="192"/>
      <c r="L274" s="192"/>
      <c r="M274" s="192"/>
    </row>
    <row r="275" spans="1:13" s="45" customFormat="1" ht="12.75" x14ac:dyDescent="0.25">
      <c r="A275" s="60"/>
      <c r="B275" s="61"/>
      <c r="C275" s="48"/>
      <c r="D275" s="58"/>
      <c r="E275" s="58"/>
      <c r="F275" s="59"/>
      <c r="H275" s="192"/>
      <c r="I275" s="192"/>
      <c r="J275" s="192"/>
      <c r="K275" s="192"/>
      <c r="L275" s="192"/>
      <c r="M275" s="192"/>
    </row>
    <row r="276" spans="1:13" s="45" customFormat="1" ht="12.75" x14ac:dyDescent="0.25">
      <c r="A276" s="60"/>
      <c r="B276" s="61"/>
      <c r="C276" s="48"/>
      <c r="D276" s="58"/>
      <c r="E276" s="58"/>
      <c r="F276" s="59"/>
      <c r="H276" s="192"/>
      <c r="I276" s="192"/>
      <c r="J276" s="192"/>
      <c r="K276" s="192"/>
      <c r="L276" s="192"/>
      <c r="M276" s="192"/>
    </row>
    <row r="277" spans="1:13" s="45" customFormat="1" ht="12.75" x14ac:dyDescent="0.25">
      <c r="A277" s="60"/>
      <c r="B277" s="61"/>
      <c r="C277" s="48"/>
      <c r="D277" s="58"/>
      <c r="E277" s="58"/>
      <c r="F277" s="59"/>
      <c r="H277" s="192"/>
      <c r="I277" s="192"/>
      <c r="J277" s="192"/>
      <c r="K277" s="192"/>
      <c r="L277" s="192"/>
      <c r="M277" s="192"/>
    </row>
    <row r="278" spans="1:13" s="45" customFormat="1" ht="12.75" x14ac:dyDescent="0.25">
      <c r="A278" s="60"/>
      <c r="B278" s="61"/>
      <c r="C278" s="48"/>
      <c r="D278" s="58"/>
      <c r="E278" s="58"/>
      <c r="F278" s="59"/>
      <c r="H278" s="192"/>
      <c r="I278" s="192"/>
      <c r="J278" s="192"/>
      <c r="K278" s="192"/>
      <c r="L278" s="192"/>
      <c r="M278" s="192"/>
    </row>
    <row r="279" spans="1:13" s="45" customFormat="1" ht="12.75" x14ac:dyDescent="0.25">
      <c r="A279" s="60"/>
      <c r="B279" s="61"/>
      <c r="C279" s="48"/>
      <c r="D279" s="58"/>
      <c r="E279" s="58"/>
      <c r="F279" s="59"/>
      <c r="H279" s="192"/>
      <c r="I279" s="192"/>
      <c r="J279" s="192"/>
      <c r="K279" s="192"/>
      <c r="L279" s="192"/>
      <c r="M279" s="192"/>
    </row>
    <row r="280" spans="1:13" s="45" customFormat="1" ht="12.75" x14ac:dyDescent="0.25">
      <c r="A280" s="60"/>
      <c r="B280" s="61"/>
      <c r="C280" s="48"/>
      <c r="D280" s="58"/>
      <c r="E280" s="58"/>
      <c r="F280" s="59"/>
      <c r="H280" s="192"/>
      <c r="I280" s="192"/>
      <c r="J280" s="192"/>
      <c r="K280" s="192"/>
      <c r="L280" s="192"/>
      <c r="M280" s="192"/>
    </row>
    <row r="281" spans="1:13" s="45" customFormat="1" ht="12.75" x14ac:dyDescent="0.25">
      <c r="A281" s="60"/>
      <c r="B281" s="61"/>
      <c r="C281" s="48"/>
      <c r="D281" s="58"/>
      <c r="E281" s="58"/>
      <c r="F281" s="59"/>
      <c r="H281" s="192"/>
      <c r="I281" s="192"/>
      <c r="J281" s="192"/>
      <c r="K281" s="192"/>
      <c r="L281" s="192"/>
      <c r="M281" s="192"/>
    </row>
    <row r="282" spans="1:13" s="45" customFormat="1" ht="12.75" x14ac:dyDescent="0.25">
      <c r="A282" s="60"/>
      <c r="B282" s="61"/>
      <c r="C282" s="48"/>
      <c r="D282" s="58"/>
      <c r="E282" s="58"/>
      <c r="F282" s="59"/>
      <c r="H282" s="192"/>
      <c r="I282" s="192"/>
      <c r="J282" s="192"/>
      <c r="K282" s="192"/>
      <c r="L282" s="192"/>
      <c r="M282" s="192"/>
    </row>
    <row r="283" spans="1:13" s="45" customFormat="1" ht="12.75" x14ac:dyDescent="0.25">
      <c r="A283" s="60"/>
      <c r="B283" s="61"/>
      <c r="C283" s="48"/>
      <c r="D283" s="58"/>
      <c r="E283" s="58"/>
      <c r="F283" s="59"/>
      <c r="H283" s="192"/>
      <c r="I283" s="192"/>
      <c r="J283" s="192"/>
      <c r="K283" s="192"/>
      <c r="L283" s="192"/>
      <c r="M283" s="192"/>
    </row>
    <row r="284" spans="1:13" s="45" customFormat="1" ht="15" customHeight="1" x14ac:dyDescent="0.25">
      <c r="A284" s="60"/>
      <c r="B284" s="61"/>
      <c r="C284" s="48"/>
      <c r="D284" s="58"/>
      <c r="E284" s="58"/>
      <c r="F284" s="59"/>
      <c r="H284" s="192"/>
      <c r="I284" s="192"/>
      <c r="J284" s="192"/>
      <c r="K284" s="192"/>
      <c r="L284" s="192"/>
      <c r="M284" s="192"/>
    </row>
    <row r="285" spans="1:13" s="45" customFormat="1" ht="15" customHeight="1" x14ac:dyDescent="0.25">
      <c r="A285" s="60"/>
      <c r="B285" s="61"/>
      <c r="C285" s="48"/>
      <c r="D285" s="58"/>
      <c r="E285" s="58"/>
      <c r="F285" s="59"/>
      <c r="H285" s="192"/>
      <c r="I285" s="192"/>
      <c r="J285" s="192"/>
      <c r="K285" s="192"/>
      <c r="L285" s="192"/>
      <c r="M285" s="192"/>
    </row>
    <row r="286" spans="1:13" s="45" customFormat="1" ht="15" customHeight="1" x14ac:dyDescent="0.25">
      <c r="A286" s="60"/>
      <c r="B286" s="50"/>
      <c r="C286" s="48"/>
      <c r="D286" s="58"/>
      <c r="E286" s="58"/>
      <c r="F286" s="59"/>
      <c r="H286" s="192"/>
      <c r="I286" s="192"/>
      <c r="J286" s="192"/>
      <c r="K286" s="192"/>
      <c r="L286" s="192"/>
      <c r="M286" s="192"/>
    </row>
    <row r="287" spans="1:13" s="45" customFormat="1" ht="15" customHeight="1" x14ac:dyDescent="0.25">
      <c r="A287" s="60"/>
      <c r="B287" s="61"/>
      <c r="C287" s="48"/>
      <c r="D287" s="58"/>
      <c r="E287" s="50"/>
      <c r="F287" s="51"/>
      <c r="H287" s="192"/>
      <c r="I287" s="192"/>
      <c r="J287" s="192"/>
      <c r="K287" s="192"/>
      <c r="L287" s="192"/>
      <c r="M287" s="192"/>
    </row>
    <row r="288" spans="1:13" s="45" customFormat="1" ht="15" customHeight="1" x14ac:dyDescent="0.25">
      <c r="A288" s="60"/>
      <c r="B288" s="91"/>
      <c r="C288" s="48"/>
      <c r="D288" s="58"/>
      <c r="E288" s="50"/>
      <c r="F288" s="51"/>
      <c r="H288" s="192"/>
      <c r="I288" s="192"/>
      <c r="J288" s="192"/>
      <c r="K288" s="192"/>
      <c r="L288" s="192"/>
      <c r="M288" s="192"/>
    </row>
    <row r="289" spans="1:13" s="45" customFormat="1" ht="15" customHeight="1" x14ac:dyDescent="0.25">
      <c r="A289" s="62"/>
      <c r="B289" s="102" t="s">
        <v>190</v>
      </c>
      <c r="C289" s="64"/>
      <c r="D289" s="65"/>
      <c r="E289" s="66"/>
      <c r="F289" s="67"/>
      <c r="H289" s="192"/>
      <c r="I289" s="192"/>
      <c r="J289" s="192"/>
      <c r="K289" s="192"/>
      <c r="L289" s="192"/>
      <c r="M289" s="192"/>
    </row>
    <row r="290" spans="1:13" s="138" customFormat="1" ht="15" customHeight="1" x14ac:dyDescent="0.25">
      <c r="A290" s="68"/>
      <c r="B290" s="69" t="s">
        <v>191</v>
      </c>
      <c r="C290" s="70"/>
      <c r="D290" s="71"/>
      <c r="E290" s="72"/>
      <c r="F290" s="73"/>
      <c r="H290" s="193"/>
      <c r="I290" s="193"/>
      <c r="J290" s="193"/>
      <c r="K290" s="193"/>
      <c r="L290" s="193"/>
      <c r="M290" s="193"/>
    </row>
    <row r="291" spans="1:13" s="45" customFormat="1" ht="15" customHeight="1" x14ac:dyDescent="0.25">
      <c r="A291" s="109"/>
      <c r="B291" s="40" t="s">
        <v>192</v>
      </c>
      <c r="C291" s="133"/>
      <c r="D291" s="139"/>
      <c r="E291" s="135"/>
      <c r="F291" s="136"/>
      <c r="H291" s="192"/>
      <c r="I291" s="192"/>
      <c r="J291" s="192"/>
      <c r="K291" s="192"/>
      <c r="L291" s="192"/>
      <c r="M291" s="192"/>
    </row>
    <row r="292" spans="1:13" s="45" customFormat="1" ht="15" customHeight="1" x14ac:dyDescent="0.25">
      <c r="A292" s="41"/>
      <c r="B292" s="147" t="s">
        <v>32</v>
      </c>
      <c r="C292" s="48"/>
      <c r="D292" s="49"/>
      <c r="E292" s="50"/>
      <c r="F292" s="51"/>
      <c r="H292" s="192"/>
      <c r="I292" s="192"/>
      <c r="J292" s="192"/>
      <c r="K292" s="192"/>
      <c r="L292" s="192"/>
      <c r="M292" s="192"/>
    </row>
    <row r="293" spans="1:13" s="45" customFormat="1" ht="15" customHeight="1" x14ac:dyDescent="0.25">
      <c r="A293" s="115">
        <v>6.1</v>
      </c>
      <c r="B293" s="53" t="s">
        <v>39</v>
      </c>
      <c r="C293" s="48"/>
      <c r="D293" s="49"/>
      <c r="E293" s="50"/>
      <c r="F293" s="51"/>
      <c r="H293" s="192"/>
      <c r="I293" s="192"/>
      <c r="J293" s="192"/>
      <c r="K293" s="192"/>
      <c r="L293" s="192"/>
      <c r="M293" s="192"/>
    </row>
    <row r="294" spans="1:13" s="45" customFormat="1" ht="52.5" customHeight="1" x14ac:dyDescent="0.25">
      <c r="A294" s="115"/>
      <c r="B294" s="61" t="s">
        <v>82</v>
      </c>
      <c r="C294" s="48"/>
      <c r="D294" s="49"/>
      <c r="E294" s="50"/>
      <c r="F294" s="51"/>
      <c r="H294" s="192"/>
      <c r="I294" s="192"/>
      <c r="J294" s="192"/>
      <c r="K294" s="192"/>
      <c r="L294" s="192"/>
      <c r="M294" s="192"/>
    </row>
    <row r="295" spans="1:13" s="45" customFormat="1" ht="25.5" x14ac:dyDescent="0.25">
      <c r="A295" s="46"/>
      <c r="B295" s="61" t="s">
        <v>107</v>
      </c>
      <c r="C295" s="48"/>
      <c r="D295" s="57">
        <v>0</v>
      </c>
      <c r="E295" s="50"/>
      <c r="F295" s="51"/>
      <c r="H295" s="192"/>
      <c r="I295" s="192"/>
      <c r="J295" s="192"/>
      <c r="K295" s="192"/>
      <c r="L295" s="192"/>
      <c r="M295" s="192"/>
    </row>
    <row r="296" spans="1:13" s="45" customFormat="1" ht="15" customHeight="1" x14ac:dyDescent="0.25">
      <c r="A296" s="46"/>
      <c r="B296" s="61"/>
      <c r="C296" s="48"/>
      <c r="D296" s="57"/>
      <c r="E296" s="50"/>
      <c r="F296" s="51"/>
      <c r="H296" s="192"/>
      <c r="I296" s="192"/>
      <c r="J296" s="192"/>
      <c r="K296" s="192"/>
      <c r="L296" s="192"/>
      <c r="M296" s="192"/>
    </row>
    <row r="297" spans="1:13" s="45" customFormat="1" ht="15" customHeight="1" x14ac:dyDescent="0.25">
      <c r="A297" s="115">
        <v>6.2</v>
      </c>
      <c r="B297" s="137" t="s">
        <v>49</v>
      </c>
      <c r="C297" s="48"/>
      <c r="D297" s="57">
        <v>0</v>
      </c>
      <c r="E297" s="50"/>
      <c r="F297" s="51"/>
      <c r="H297" s="192"/>
      <c r="I297" s="192"/>
      <c r="J297" s="192"/>
      <c r="K297" s="192"/>
      <c r="L297" s="192"/>
      <c r="M297" s="192"/>
    </row>
    <row r="298" spans="1:13" s="45" customFormat="1" ht="43.5" customHeight="1" x14ac:dyDescent="0.25">
      <c r="A298" s="46" t="s">
        <v>193</v>
      </c>
      <c r="B298" s="61" t="s">
        <v>128</v>
      </c>
      <c r="C298" s="48"/>
      <c r="D298" s="58" t="s">
        <v>20</v>
      </c>
      <c r="E298" s="50"/>
      <c r="F298" s="51"/>
      <c r="H298" s="192"/>
      <c r="I298" s="192"/>
      <c r="J298" s="192"/>
      <c r="K298" s="192"/>
      <c r="L298" s="192"/>
      <c r="M298" s="192"/>
    </row>
    <row r="299" spans="1:13" s="45" customFormat="1" ht="15" customHeight="1" x14ac:dyDescent="0.25">
      <c r="A299" s="60">
        <v>1</v>
      </c>
      <c r="B299" s="61" t="str">
        <f>B180</f>
        <v>Ground Floor</v>
      </c>
      <c r="C299" s="48">
        <f>C180</f>
        <v>147.86999999999998</v>
      </c>
      <c r="D299" s="58" t="s">
        <v>16</v>
      </c>
      <c r="E299" s="58"/>
      <c r="F299" s="51"/>
      <c r="H299" s="192"/>
      <c r="I299" s="192"/>
      <c r="J299" s="192"/>
      <c r="K299" s="192"/>
      <c r="L299" s="192"/>
      <c r="M299" s="192"/>
    </row>
    <row r="300" spans="1:13" s="45" customFormat="1" ht="15" customHeight="1" x14ac:dyDescent="0.25">
      <c r="A300" s="60">
        <v>2</v>
      </c>
      <c r="B300" s="61" t="str">
        <f>B181</f>
        <v>Walking area walls</v>
      </c>
      <c r="C300" s="48">
        <f>C181</f>
        <v>61.608000000000004</v>
      </c>
      <c r="D300" s="58" t="s">
        <v>16</v>
      </c>
      <c r="E300" s="58"/>
      <c r="F300" s="51"/>
      <c r="H300" s="192"/>
      <c r="I300" s="192"/>
      <c r="J300" s="192"/>
      <c r="K300" s="192"/>
      <c r="L300" s="192"/>
      <c r="M300" s="192"/>
    </row>
    <row r="301" spans="1:13" s="45" customFormat="1" ht="15" customHeight="1" x14ac:dyDescent="0.25">
      <c r="A301" s="60"/>
      <c r="B301" s="61"/>
      <c r="C301" s="48"/>
      <c r="D301" s="58"/>
      <c r="E301" s="58"/>
      <c r="F301" s="59"/>
      <c r="H301" s="192"/>
      <c r="I301" s="192"/>
      <c r="J301" s="192"/>
      <c r="K301" s="192"/>
      <c r="L301" s="192"/>
      <c r="M301" s="192"/>
    </row>
    <row r="302" spans="1:13" s="45" customFormat="1" ht="15" customHeight="1" x14ac:dyDescent="0.25">
      <c r="A302" s="46" t="s">
        <v>194</v>
      </c>
      <c r="B302" s="137" t="s">
        <v>4</v>
      </c>
      <c r="C302" s="48"/>
      <c r="D302" s="57">
        <v>0</v>
      </c>
      <c r="E302" s="50"/>
      <c r="F302" s="51"/>
      <c r="H302" s="192"/>
      <c r="I302" s="192"/>
      <c r="J302" s="192"/>
      <c r="K302" s="192"/>
      <c r="L302" s="192"/>
      <c r="M302" s="192"/>
    </row>
    <row r="303" spans="1:13" s="45" customFormat="1" ht="27.75" customHeight="1" x14ac:dyDescent="0.25">
      <c r="A303" s="52"/>
      <c r="B303" s="61" t="s">
        <v>129</v>
      </c>
      <c r="C303" s="48"/>
      <c r="D303" s="58" t="s">
        <v>20</v>
      </c>
      <c r="E303" s="50"/>
      <c r="F303" s="51"/>
      <c r="H303" s="192"/>
      <c r="I303" s="192"/>
      <c r="J303" s="192"/>
      <c r="K303" s="192"/>
      <c r="L303" s="192"/>
      <c r="M303" s="192"/>
    </row>
    <row r="304" spans="1:13" s="45" customFormat="1" ht="15" customHeight="1" x14ac:dyDescent="0.25">
      <c r="A304" s="60">
        <v>1</v>
      </c>
      <c r="B304" s="61" t="str">
        <f>B185</f>
        <v>Ground floor</v>
      </c>
      <c r="C304" s="48">
        <f>C186</f>
        <v>396.43999999999994</v>
      </c>
      <c r="D304" s="58" t="s">
        <v>16</v>
      </c>
      <c r="E304" s="58"/>
      <c r="F304" s="51"/>
      <c r="H304" s="192"/>
      <c r="I304" s="192"/>
      <c r="J304" s="192"/>
      <c r="K304" s="192"/>
      <c r="L304" s="192"/>
      <c r="M304" s="192"/>
    </row>
    <row r="305" spans="1:13" s="45" customFormat="1" ht="15" customHeight="1" x14ac:dyDescent="0.25">
      <c r="A305" s="60"/>
      <c r="B305" s="50"/>
      <c r="C305" s="48"/>
      <c r="D305" s="58"/>
      <c r="E305" s="58"/>
      <c r="F305" s="59"/>
      <c r="H305" s="192"/>
      <c r="I305" s="192"/>
      <c r="J305" s="192"/>
      <c r="K305" s="192"/>
      <c r="L305" s="192"/>
      <c r="M305" s="192"/>
    </row>
    <row r="306" spans="1:13" s="45" customFormat="1" ht="15" customHeight="1" x14ac:dyDescent="0.25">
      <c r="A306" s="60"/>
      <c r="B306" s="50"/>
      <c r="C306" s="48"/>
      <c r="D306" s="58"/>
      <c r="E306" s="58"/>
      <c r="F306" s="59"/>
      <c r="H306" s="192"/>
      <c r="I306" s="192"/>
      <c r="J306" s="192"/>
      <c r="K306" s="192"/>
      <c r="L306" s="192"/>
      <c r="M306" s="192"/>
    </row>
    <row r="307" spans="1:13" s="45" customFormat="1" ht="15" customHeight="1" x14ac:dyDescent="0.25">
      <c r="A307" s="60"/>
      <c r="B307" s="50"/>
      <c r="C307" s="48"/>
      <c r="D307" s="58"/>
      <c r="E307" s="58"/>
      <c r="F307" s="59"/>
      <c r="H307" s="192"/>
      <c r="I307" s="192"/>
      <c r="J307" s="192"/>
      <c r="K307" s="192"/>
      <c r="L307" s="192"/>
      <c r="M307" s="192"/>
    </row>
    <row r="308" spans="1:13" s="45" customFormat="1" ht="15" customHeight="1" x14ac:dyDescent="0.25">
      <c r="A308" s="60"/>
      <c r="B308" s="50"/>
      <c r="C308" s="48"/>
      <c r="D308" s="58"/>
      <c r="E308" s="58"/>
      <c r="F308" s="59"/>
      <c r="H308" s="192"/>
      <c r="I308" s="192"/>
      <c r="J308" s="192"/>
      <c r="K308" s="192"/>
      <c r="L308" s="192"/>
      <c r="M308" s="192"/>
    </row>
    <row r="309" spans="1:13" s="45" customFormat="1" ht="15" customHeight="1" x14ac:dyDescent="0.25">
      <c r="A309" s="60"/>
      <c r="B309" s="61"/>
      <c r="C309" s="48"/>
      <c r="D309" s="58"/>
      <c r="E309" s="58"/>
      <c r="F309" s="59"/>
      <c r="H309" s="192"/>
      <c r="I309" s="192"/>
      <c r="J309" s="192"/>
      <c r="K309" s="192"/>
      <c r="L309" s="192"/>
      <c r="M309" s="192"/>
    </row>
    <row r="310" spans="1:13" s="45" customFormat="1" ht="15" customHeight="1" x14ac:dyDescent="0.25">
      <c r="A310" s="60"/>
      <c r="B310" s="61"/>
      <c r="C310" s="48"/>
      <c r="D310" s="58"/>
      <c r="E310" s="58"/>
      <c r="F310" s="59"/>
      <c r="H310" s="192"/>
      <c r="I310" s="192"/>
      <c r="J310" s="192"/>
      <c r="K310" s="192"/>
      <c r="L310" s="192"/>
      <c r="M310" s="192"/>
    </row>
    <row r="311" spans="1:13" s="45" customFormat="1" ht="15" customHeight="1" x14ac:dyDescent="0.25">
      <c r="A311" s="60"/>
      <c r="B311" s="61"/>
      <c r="C311" s="48"/>
      <c r="D311" s="58"/>
      <c r="E311" s="58"/>
      <c r="F311" s="59"/>
      <c r="H311" s="192"/>
      <c r="I311" s="192"/>
      <c r="J311" s="192"/>
      <c r="K311" s="192"/>
      <c r="L311" s="192"/>
      <c r="M311" s="192"/>
    </row>
    <row r="312" spans="1:13" s="45" customFormat="1" ht="15" customHeight="1" x14ac:dyDescent="0.25">
      <c r="A312" s="60"/>
      <c r="B312" s="61"/>
      <c r="C312" s="48"/>
      <c r="D312" s="58"/>
      <c r="E312" s="58"/>
      <c r="F312" s="59"/>
      <c r="H312" s="192"/>
      <c r="I312" s="192"/>
      <c r="J312" s="192"/>
      <c r="K312" s="192"/>
      <c r="L312" s="192"/>
      <c r="M312" s="192"/>
    </row>
    <row r="313" spans="1:13" s="45" customFormat="1" ht="15" customHeight="1" x14ac:dyDescent="0.25">
      <c r="A313" s="60"/>
      <c r="B313" s="61"/>
      <c r="C313" s="48"/>
      <c r="D313" s="58"/>
      <c r="E313" s="58"/>
      <c r="F313" s="59"/>
      <c r="H313" s="192"/>
      <c r="I313" s="192"/>
      <c r="J313" s="192"/>
      <c r="K313" s="192"/>
      <c r="L313" s="192"/>
      <c r="M313" s="192"/>
    </row>
    <row r="314" spans="1:13" s="45" customFormat="1" ht="15" customHeight="1" x14ac:dyDescent="0.25">
      <c r="A314" s="60"/>
      <c r="B314" s="61"/>
      <c r="C314" s="48"/>
      <c r="D314" s="58"/>
      <c r="E314" s="58"/>
      <c r="F314" s="59"/>
      <c r="H314" s="192"/>
      <c r="I314" s="192"/>
      <c r="J314" s="192"/>
      <c r="K314" s="192"/>
      <c r="L314" s="192"/>
      <c r="M314" s="192"/>
    </row>
    <row r="315" spans="1:13" s="45" customFormat="1" ht="15" customHeight="1" x14ac:dyDescent="0.25">
      <c r="A315" s="60"/>
      <c r="B315" s="61"/>
      <c r="C315" s="48"/>
      <c r="D315" s="58"/>
      <c r="E315" s="58"/>
      <c r="F315" s="59"/>
      <c r="H315" s="192"/>
      <c r="I315" s="192"/>
      <c r="J315" s="192"/>
      <c r="K315" s="192"/>
      <c r="L315" s="192"/>
      <c r="M315" s="192"/>
    </row>
    <row r="316" spans="1:13" s="45" customFormat="1" ht="15" customHeight="1" x14ac:dyDescent="0.25">
      <c r="A316" s="60"/>
      <c r="B316" s="61"/>
      <c r="C316" s="48"/>
      <c r="D316" s="58"/>
      <c r="E316" s="58"/>
      <c r="F316" s="59"/>
      <c r="H316" s="192"/>
      <c r="I316" s="192"/>
      <c r="J316" s="192"/>
      <c r="K316" s="192"/>
      <c r="L316" s="192"/>
      <c r="M316" s="192"/>
    </row>
    <row r="317" spans="1:13" s="45" customFormat="1" ht="15" customHeight="1" x14ac:dyDescent="0.25">
      <c r="A317" s="60"/>
      <c r="B317" s="61"/>
      <c r="C317" s="48"/>
      <c r="D317" s="58"/>
      <c r="E317" s="58"/>
      <c r="F317" s="59"/>
      <c r="H317" s="192"/>
      <c r="I317" s="192"/>
      <c r="J317" s="192"/>
      <c r="K317" s="192"/>
      <c r="L317" s="192"/>
      <c r="M317" s="192"/>
    </row>
    <row r="318" spans="1:13" s="45" customFormat="1" ht="15" customHeight="1" x14ac:dyDescent="0.25">
      <c r="A318" s="60"/>
      <c r="B318" s="61"/>
      <c r="C318" s="48"/>
      <c r="D318" s="58"/>
      <c r="E318" s="58"/>
      <c r="F318" s="59"/>
      <c r="H318" s="192"/>
      <c r="I318" s="192"/>
      <c r="J318" s="192"/>
      <c r="K318" s="192"/>
      <c r="L318" s="192"/>
      <c r="M318" s="192"/>
    </row>
    <row r="319" spans="1:13" s="45" customFormat="1" ht="15" customHeight="1" x14ac:dyDescent="0.25">
      <c r="A319" s="60"/>
      <c r="B319" s="61"/>
      <c r="C319" s="48"/>
      <c r="D319" s="58"/>
      <c r="E319" s="58"/>
      <c r="F319" s="59"/>
      <c r="H319" s="192"/>
      <c r="I319" s="192"/>
      <c r="J319" s="192"/>
      <c r="K319" s="192"/>
      <c r="L319" s="192"/>
      <c r="M319" s="192"/>
    </row>
    <row r="320" spans="1:13" s="45" customFormat="1" ht="15" customHeight="1" x14ac:dyDescent="0.25">
      <c r="A320" s="60"/>
      <c r="B320" s="61"/>
      <c r="C320" s="48"/>
      <c r="D320" s="58"/>
      <c r="E320" s="58"/>
      <c r="F320" s="59"/>
      <c r="H320" s="192"/>
      <c r="I320" s="192"/>
      <c r="J320" s="192"/>
      <c r="K320" s="192"/>
      <c r="L320" s="192"/>
      <c r="M320" s="192"/>
    </row>
    <row r="321" spans="1:13" s="45" customFormat="1" ht="15" customHeight="1" x14ac:dyDescent="0.25">
      <c r="A321" s="60"/>
      <c r="B321" s="61"/>
      <c r="C321" s="48"/>
      <c r="D321" s="58"/>
      <c r="E321" s="58"/>
      <c r="F321" s="59"/>
      <c r="H321" s="192"/>
      <c r="I321" s="192"/>
      <c r="J321" s="192"/>
      <c r="K321" s="192"/>
      <c r="L321" s="192"/>
      <c r="M321" s="192"/>
    </row>
    <row r="322" spans="1:13" s="45" customFormat="1" ht="15" customHeight="1" x14ac:dyDescent="0.25">
      <c r="A322" s="60"/>
      <c r="B322" s="61"/>
      <c r="C322" s="48"/>
      <c r="D322" s="58"/>
      <c r="E322" s="58"/>
      <c r="F322" s="59"/>
      <c r="H322" s="192"/>
      <c r="I322" s="192"/>
      <c r="J322" s="192"/>
      <c r="K322" s="192"/>
      <c r="L322" s="192"/>
      <c r="M322" s="192"/>
    </row>
    <row r="323" spans="1:13" s="45" customFormat="1" ht="15" customHeight="1" x14ac:dyDescent="0.25">
      <c r="A323" s="60"/>
      <c r="B323" s="50"/>
      <c r="C323" s="48"/>
      <c r="D323" s="58"/>
      <c r="E323" s="50"/>
      <c r="F323" s="51"/>
      <c r="H323" s="192"/>
      <c r="I323" s="192"/>
      <c r="J323" s="192"/>
      <c r="K323" s="192"/>
      <c r="L323" s="192"/>
      <c r="M323" s="192"/>
    </row>
    <row r="324" spans="1:13" s="45" customFormat="1" ht="15" customHeight="1" x14ac:dyDescent="0.25">
      <c r="A324" s="60"/>
      <c r="B324" s="50"/>
      <c r="C324" s="48"/>
      <c r="D324" s="58"/>
      <c r="E324" s="50"/>
      <c r="F324" s="51"/>
      <c r="H324" s="192"/>
      <c r="I324" s="192"/>
      <c r="J324" s="192"/>
      <c r="K324" s="192"/>
      <c r="L324" s="192"/>
      <c r="M324" s="192"/>
    </row>
    <row r="325" spans="1:13" s="45" customFormat="1" ht="15" customHeight="1" x14ac:dyDescent="0.25">
      <c r="A325" s="148"/>
      <c r="B325" s="102" t="s">
        <v>195</v>
      </c>
      <c r="C325" s="149"/>
      <c r="D325" s="150"/>
      <c r="E325" s="151"/>
      <c r="F325" s="67"/>
      <c r="H325" s="192"/>
      <c r="I325" s="192"/>
      <c r="J325" s="192"/>
      <c r="K325" s="192"/>
      <c r="L325" s="192"/>
      <c r="M325" s="192"/>
    </row>
    <row r="326" spans="1:13" s="138" customFormat="1" ht="15" customHeight="1" x14ac:dyDescent="0.25">
      <c r="A326" s="68"/>
      <c r="B326" s="69" t="s">
        <v>28</v>
      </c>
      <c r="C326" s="105"/>
      <c r="D326" s="106"/>
      <c r="E326" s="107"/>
      <c r="F326" s="73"/>
      <c r="H326" s="193"/>
      <c r="I326" s="193"/>
      <c r="J326" s="193"/>
      <c r="K326" s="193"/>
      <c r="L326" s="193"/>
      <c r="M326" s="193"/>
    </row>
    <row r="327" spans="1:13" s="45" customFormat="1" ht="15" customHeight="1" x14ac:dyDescent="0.25">
      <c r="A327" s="132"/>
      <c r="B327" s="40" t="s">
        <v>196</v>
      </c>
      <c r="C327" s="133"/>
      <c r="D327" s="139"/>
      <c r="E327" s="135"/>
      <c r="F327" s="152"/>
      <c r="H327" s="192"/>
      <c r="I327" s="192"/>
      <c r="J327" s="192"/>
      <c r="K327" s="192"/>
      <c r="L327" s="192"/>
      <c r="M327" s="192"/>
    </row>
    <row r="328" spans="1:13" s="45" customFormat="1" ht="15" customHeight="1" x14ac:dyDescent="0.25">
      <c r="A328" s="52"/>
      <c r="B328" s="47" t="s">
        <v>33</v>
      </c>
      <c r="C328" s="89"/>
      <c r="D328" s="57"/>
      <c r="E328" s="50"/>
      <c r="F328" s="51"/>
      <c r="H328" s="192"/>
      <c r="I328" s="192"/>
      <c r="J328" s="192"/>
      <c r="K328" s="192"/>
      <c r="L328" s="192"/>
      <c r="M328" s="192"/>
    </row>
    <row r="329" spans="1:13" s="45" customFormat="1" ht="15" customHeight="1" x14ac:dyDescent="0.25">
      <c r="A329" s="52"/>
      <c r="B329" s="47"/>
      <c r="C329" s="89"/>
      <c r="D329" s="57"/>
      <c r="E329" s="50"/>
      <c r="F329" s="51"/>
      <c r="H329" s="192"/>
      <c r="I329" s="192"/>
      <c r="J329" s="192"/>
      <c r="K329" s="192"/>
      <c r="L329" s="192"/>
      <c r="M329" s="192"/>
    </row>
    <row r="330" spans="1:13" s="45" customFormat="1" ht="15" customHeight="1" x14ac:dyDescent="0.25">
      <c r="A330" s="52">
        <v>7.1</v>
      </c>
      <c r="B330" s="55" t="s">
        <v>39</v>
      </c>
      <c r="C330" s="89"/>
      <c r="D330" s="57"/>
      <c r="E330" s="50"/>
      <c r="F330" s="51"/>
      <c r="H330" s="192"/>
      <c r="I330" s="192"/>
      <c r="J330" s="192"/>
      <c r="K330" s="192"/>
      <c r="L330" s="192"/>
      <c r="M330" s="192"/>
    </row>
    <row r="331" spans="1:13" s="45" customFormat="1" ht="76.5" x14ac:dyDescent="0.25">
      <c r="A331" s="46"/>
      <c r="B331" s="153" t="s">
        <v>130</v>
      </c>
      <c r="C331" s="48"/>
      <c r="D331" s="57"/>
      <c r="E331" s="50"/>
      <c r="F331" s="51"/>
      <c r="H331" s="192"/>
      <c r="I331" s="192"/>
      <c r="J331" s="192"/>
      <c r="K331" s="192"/>
      <c r="L331" s="192"/>
      <c r="M331" s="192"/>
    </row>
    <row r="332" spans="1:13" s="45" customFormat="1" ht="12.75" x14ac:dyDescent="0.25">
      <c r="A332" s="60" t="s">
        <v>20</v>
      </c>
      <c r="B332" s="154" t="s">
        <v>72</v>
      </c>
      <c r="C332" s="48"/>
      <c r="D332" s="57"/>
      <c r="E332" s="50"/>
      <c r="F332" s="51"/>
      <c r="H332" s="192"/>
      <c r="I332" s="192"/>
      <c r="J332" s="192"/>
      <c r="K332" s="192"/>
      <c r="L332" s="192"/>
      <c r="M332" s="192"/>
    </row>
    <row r="333" spans="1:13" s="45" customFormat="1" ht="26.25" customHeight="1" x14ac:dyDescent="0.25">
      <c r="A333" s="60"/>
      <c r="B333" s="154" t="s">
        <v>73</v>
      </c>
      <c r="C333" s="48"/>
      <c r="D333" s="57"/>
      <c r="E333" s="50"/>
      <c r="F333" s="51"/>
      <c r="H333" s="192"/>
      <c r="I333" s="192"/>
      <c r="J333" s="192"/>
      <c r="K333" s="192"/>
      <c r="L333" s="192"/>
      <c r="M333" s="192"/>
    </row>
    <row r="334" spans="1:13" s="45" customFormat="1" ht="15" customHeight="1" x14ac:dyDescent="0.25">
      <c r="A334" s="52">
        <v>7.2</v>
      </c>
      <c r="B334" s="155" t="s">
        <v>75</v>
      </c>
      <c r="C334" s="48"/>
      <c r="D334" s="57"/>
      <c r="E334" s="50"/>
      <c r="F334" s="51"/>
      <c r="H334" s="192"/>
      <c r="I334" s="192"/>
      <c r="J334" s="192"/>
      <c r="K334" s="192"/>
      <c r="L334" s="192"/>
      <c r="M334" s="192"/>
    </row>
    <row r="335" spans="1:13" s="45" customFormat="1" ht="30" customHeight="1" x14ac:dyDescent="0.25">
      <c r="A335" s="60">
        <v>1</v>
      </c>
      <c r="B335" s="141" t="s">
        <v>172</v>
      </c>
      <c r="C335" s="48">
        <v>1</v>
      </c>
      <c r="D335" s="57" t="s">
        <v>14</v>
      </c>
      <c r="E335" s="121"/>
      <c r="F335" s="59"/>
      <c r="H335" s="192"/>
      <c r="I335" s="192"/>
      <c r="J335" s="192"/>
      <c r="K335" s="192"/>
      <c r="L335" s="192"/>
      <c r="M335" s="192"/>
    </row>
    <row r="336" spans="1:13" s="45" customFormat="1" ht="9.9499999999999993" customHeight="1" x14ac:dyDescent="0.25">
      <c r="A336" s="60"/>
      <c r="B336" s="156"/>
      <c r="C336" s="48"/>
      <c r="D336" s="57"/>
      <c r="E336" s="121"/>
      <c r="F336" s="59"/>
      <c r="H336" s="192"/>
      <c r="I336" s="192"/>
      <c r="J336" s="192"/>
      <c r="K336" s="192"/>
      <c r="L336" s="192"/>
      <c r="M336" s="192"/>
    </row>
    <row r="337" spans="1:13" s="45" customFormat="1" ht="15" customHeight="1" x14ac:dyDescent="0.25">
      <c r="A337" s="46" t="s">
        <v>160</v>
      </c>
      <c r="B337" s="157" t="s">
        <v>47</v>
      </c>
      <c r="C337" s="48"/>
      <c r="D337" s="57"/>
      <c r="E337" s="50"/>
      <c r="F337" s="51"/>
      <c r="H337" s="192"/>
      <c r="I337" s="192"/>
      <c r="J337" s="192"/>
      <c r="K337" s="192"/>
      <c r="L337" s="192"/>
      <c r="M337" s="192"/>
    </row>
    <row r="338" spans="1:13" s="45" customFormat="1" ht="27" customHeight="1" x14ac:dyDescent="0.25">
      <c r="A338" s="60"/>
      <c r="B338" s="141" t="s">
        <v>95</v>
      </c>
      <c r="C338" s="48"/>
      <c r="D338" s="57"/>
      <c r="E338" s="50"/>
      <c r="F338" s="51"/>
      <c r="H338" s="192"/>
      <c r="I338" s="192"/>
      <c r="J338" s="192"/>
      <c r="K338" s="192"/>
      <c r="L338" s="192"/>
      <c r="M338" s="192"/>
    </row>
    <row r="339" spans="1:13" s="45" customFormat="1" ht="12.75" x14ac:dyDescent="0.25">
      <c r="A339" s="60"/>
      <c r="B339" s="141" t="s">
        <v>173</v>
      </c>
      <c r="C339" s="48"/>
      <c r="D339" s="57"/>
      <c r="E339" s="50"/>
      <c r="F339" s="51"/>
      <c r="H339" s="192"/>
      <c r="I339" s="192"/>
      <c r="J339" s="192"/>
      <c r="K339" s="192"/>
      <c r="L339" s="192"/>
      <c r="M339" s="192"/>
    </row>
    <row r="340" spans="1:13" s="45" customFormat="1" ht="12.75" x14ac:dyDescent="0.25">
      <c r="A340" s="60"/>
      <c r="B340" s="141" t="s">
        <v>174</v>
      </c>
      <c r="C340" s="48"/>
      <c r="D340" s="57"/>
      <c r="E340" s="50"/>
      <c r="F340" s="51"/>
      <c r="H340" s="192"/>
      <c r="I340" s="192"/>
      <c r="J340" s="192"/>
      <c r="K340" s="192"/>
      <c r="L340" s="192"/>
      <c r="M340" s="192"/>
    </row>
    <row r="341" spans="1:13" s="45" customFormat="1" ht="12.75" x14ac:dyDescent="0.25">
      <c r="A341" s="60"/>
      <c r="B341" s="141" t="s">
        <v>96</v>
      </c>
      <c r="C341" s="48"/>
      <c r="D341" s="57"/>
      <c r="E341" s="50"/>
      <c r="F341" s="51"/>
      <c r="H341" s="192"/>
      <c r="I341" s="192"/>
      <c r="J341" s="192"/>
      <c r="K341" s="192"/>
      <c r="L341" s="192"/>
      <c r="M341" s="192"/>
    </row>
    <row r="342" spans="1:13" s="45" customFormat="1" ht="5.0999999999999996" customHeight="1" x14ac:dyDescent="0.25">
      <c r="A342" s="60"/>
      <c r="B342" s="141"/>
      <c r="C342" s="48"/>
      <c r="D342" s="57"/>
      <c r="E342" s="50"/>
      <c r="F342" s="51"/>
      <c r="H342" s="192"/>
      <c r="I342" s="192"/>
      <c r="J342" s="192"/>
      <c r="K342" s="192"/>
      <c r="L342" s="192"/>
      <c r="M342" s="192"/>
    </row>
    <row r="343" spans="1:13" s="45" customFormat="1" ht="15" customHeight="1" x14ac:dyDescent="0.25">
      <c r="A343" s="60">
        <v>1</v>
      </c>
      <c r="B343" s="154" t="s">
        <v>175</v>
      </c>
      <c r="C343" s="48">
        <v>10</v>
      </c>
      <c r="D343" s="58" t="s">
        <v>5</v>
      </c>
      <c r="E343" s="58"/>
      <c r="F343" s="59"/>
      <c r="H343" s="192"/>
      <c r="I343" s="192"/>
      <c r="J343" s="192"/>
      <c r="K343" s="192"/>
      <c r="L343" s="192"/>
      <c r="M343" s="192"/>
    </row>
    <row r="344" spans="1:13" s="45" customFormat="1" ht="15" customHeight="1" x14ac:dyDescent="0.25">
      <c r="A344" s="60">
        <v>2</v>
      </c>
      <c r="B344" s="154" t="s">
        <v>176</v>
      </c>
      <c r="C344" s="48">
        <v>10</v>
      </c>
      <c r="D344" s="58" t="s">
        <v>5</v>
      </c>
      <c r="E344" s="58"/>
      <c r="F344" s="59"/>
      <c r="H344" s="192"/>
      <c r="I344" s="192"/>
      <c r="J344" s="192"/>
      <c r="K344" s="192"/>
      <c r="L344" s="192"/>
      <c r="M344" s="192"/>
    </row>
    <row r="345" spans="1:13" s="45" customFormat="1" ht="15" customHeight="1" x14ac:dyDescent="0.25">
      <c r="A345" s="60">
        <v>3</v>
      </c>
      <c r="B345" s="154" t="s">
        <v>97</v>
      </c>
      <c r="C345" s="48">
        <v>2</v>
      </c>
      <c r="D345" s="58" t="s">
        <v>5</v>
      </c>
      <c r="E345" s="58"/>
      <c r="F345" s="59"/>
      <c r="H345" s="192"/>
      <c r="I345" s="192"/>
      <c r="J345" s="192"/>
      <c r="K345" s="192"/>
      <c r="L345" s="192"/>
      <c r="M345" s="192"/>
    </row>
    <row r="346" spans="1:13" s="45" customFormat="1" ht="15" customHeight="1" x14ac:dyDescent="0.25">
      <c r="A346" s="60">
        <v>4</v>
      </c>
      <c r="B346" s="154" t="s">
        <v>251</v>
      </c>
      <c r="C346" s="48">
        <v>10</v>
      </c>
      <c r="D346" s="58" t="s">
        <v>5</v>
      </c>
      <c r="E346" s="58"/>
      <c r="F346" s="59"/>
      <c r="H346" s="192"/>
      <c r="I346" s="192"/>
      <c r="J346" s="192"/>
      <c r="K346" s="192"/>
      <c r="L346" s="192"/>
      <c r="M346" s="192"/>
    </row>
    <row r="347" spans="1:13" s="45" customFormat="1" ht="15" customHeight="1" x14ac:dyDescent="0.25">
      <c r="A347" s="60">
        <v>5</v>
      </c>
      <c r="B347" s="154" t="s">
        <v>252</v>
      </c>
      <c r="C347" s="48">
        <v>10</v>
      </c>
      <c r="D347" s="58" t="s">
        <v>5</v>
      </c>
      <c r="E347" s="58"/>
      <c r="F347" s="59"/>
      <c r="H347" s="192"/>
      <c r="I347" s="192"/>
      <c r="J347" s="192"/>
      <c r="K347" s="192"/>
      <c r="L347" s="192"/>
      <c r="M347" s="192"/>
    </row>
    <row r="348" spans="1:13" s="45" customFormat="1" ht="15" customHeight="1" x14ac:dyDescent="0.25">
      <c r="A348" s="158"/>
      <c r="B348" s="154"/>
      <c r="C348" s="48"/>
      <c r="D348" s="57"/>
      <c r="E348" s="58"/>
      <c r="F348" s="59"/>
      <c r="H348" s="192"/>
      <c r="I348" s="192"/>
      <c r="J348" s="192"/>
      <c r="K348" s="192"/>
      <c r="L348" s="192"/>
      <c r="M348" s="192"/>
    </row>
    <row r="349" spans="1:13" s="45" customFormat="1" ht="15" customHeight="1" x14ac:dyDescent="0.25">
      <c r="A349" s="52">
        <v>7.3</v>
      </c>
      <c r="B349" s="160" t="s">
        <v>48</v>
      </c>
      <c r="C349" s="48"/>
      <c r="D349" s="57"/>
      <c r="E349" s="50"/>
      <c r="F349" s="51"/>
      <c r="H349" s="192"/>
      <c r="I349" s="192"/>
      <c r="J349" s="192"/>
      <c r="K349" s="192"/>
      <c r="L349" s="192"/>
      <c r="M349" s="192"/>
    </row>
    <row r="350" spans="1:13" s="45" customFormat="1" ht="51" x14ac:dyDescent="0.25">
      <c r="A350" s="46"/>
      <c r="B350" s="159" t="s">
        <v>76</v>
      </c>
      <c r="C350" s="48"/>
      <c r="D350" s="57"/>
      <c r="E350" s="50"/>
      <c r="F350" s="51"/>
      <c r="H350" s="192"/>
      <c r="I350" s="192"/>
      <c r="J350" s="192"/>
      <c r="K350" s="192"/>
      <c r="L350" s="192"/>
      <c r="M350" s="192"/>
    </row>
    <row r="351" spans="1:13" s="45" customFormat="1" ht="15" customHeight="1" x14ac:dyDescent="0.25">
      <c r="A351" s="52" t="s">
        <v>20</v>
      </c>
      <c r="B351" s="92" t="s">
        <v>77</v>
      </c>
      <c r="C351" s="48"/>
      <c r="D351" s="57"/>
      <c r="E351" s="50"/>
      <c r="F351" s="51"/>
      <c r="H351" s="192"/>
      <c r="I351" s="192"/>
      <c r="J351" s="192"/>
      <c r="K351" s="192"/>
      <c r="L351" s="192"/>
      <c r="M351" s="192"/>
    </row>
    <row r="352" spans="1:13" s="45" customFormat="1" ht="15" customHeight="1" x14ac:dyDescent="0.25">
      <c r="A352" s="52"/>
      <c r="B352" s="92"/>
      <c r="C352" s="48"/>
      <c r="D352" s="57"/>
      <c r="E352" s="50"/>
      <c r="F352" s="51"/>
      <c r="H352" s="192"/>
      <c r="I352" s="192"/>
      <c r="J352" s="192"/>
      <c r="K352" s="192"/>
      <c r="L352" s="192"/>
      <c r="M352" s="192"/>
    </row>
    <row r="353" spans="1:13" ht="15" customHeight="1" x14ac:dyDescent="0.25">
      <c r="A353" s="52">
        <v>7.4</v>
      </c>
      <c r="B353" s="160" t="s">
        <v>78</v>
      </c>
      <c r="C353" s="48"/>
      <c r="D353" s="57"/>
      <c r="E353" s="50"/>
      <c r="F353" s="51"/>
    </row>
    <row r="354" spans="1:13" ht="25.5" x14ac:dyDescent="0.25">
      <c r="A354" s="60">
        <v>1</v>
      </c>
      <c r="B354" s="161" t="s">
        <v>79</v>
      </c>
      <c r="C354" s="48">
        <v>1</v>
      </c>
      <c r="D354" s="57" t="s">
        <v>14</v>
      </c>
      <c r="E354" s="50"/>
      <c r="F354" s="51"/>
    </row>
    <row r="355" spans="1:13" s="45" customFormat="1" ht="15" customHeight="1" x14ac:dyDescent="0.25">
      <c r="A355" s="60">
        <v>2</v>
      </c>
      <c r="B355" s="91" t="s">
        <v>80</v>
      </c>
      <c r="C355" s="162">
        <v>1</v>
      </c>
      <c r="D355" s="57" t="s">
        <v>14</v>
      </c>
      <c r="E355" s="58"/>
      <c r="F355" s="59"/>
      <c r="H355" s="192"/>
      <c r="I355" s="192"/>
      <c r="J355" s="192"/>
      <c r="K355" s="192"/>
      <c r="L355" s="192"/>
      <c r="M355" s="192"/>
    </row>
    <row r="356" spans="1:13" s="45" customFormat="1" ht="15" customHeight="1" x14ac:dyDescent="0.25">
      <c r="A356" s="60"/>
      <c r="B356" s="91"/>
      <c r="C356" s="162"/>
      <c r="D356" s="57"/>
      <c r="E356" s="58"/>
      <c r="F356" s="59"/>
      <c r="H356" s="192"/>
      <c r="I356" s="192"/>
      <c r="J356" s="192"/>
      <c r="K356" s="192"/>
      <c r="L356" s="192"/>
      <c r="M356" s="192"/>
    </row>
    <row r="357" spans="1:13" s="45" customFormat="1" ht="15" customHeight="1" x14ac:dyDescent="0.25">
      <c r="A357" s="52">
        <v>7.5</v>
      </c>
      <c r="B357" s="53" t="s">
        <v>81</v>
      </c>
      <c r="C357" s="48"/>
      <c r="D357" s="57"/>
      <c r="E357" s="121"/>
      <c r="F357" s="59"/>
      <c r="H357" s="192"/>
      <c r="I357" s="192"/>
      <c r="J357" s="192"/>
      <c r="K357" s="192"/>
      <c r="L357" s="192"/>
      <c r="M357" s="192"/>
    </row>
    <row r="358" spans="1:13" s="45" customFormat="1" ht="25.5" x14ac:dyDescent="0.25">
      <c r="A358" s="166">
        <v>1</v>
      </c>
      <c r="B358" s="195" t="s">
        <v>119</v>
      </c>
      <c r="C358" s="119">
        <v>2</v>
      </c>
      <c r="D358" s="196" t="s">
        <v>5</v>
      </c>
      <c r="E358" s="121"/>
      <c r="F358" s="59"/>
      <c r="H358" s="192"/>
      <c r="I358" s="192"/>
      <c r="J358" s="192"/>
      <c r="K358" s="192"/>
      <c r="L358" s="192"/>
      <c r="M358" s="192"/>
    </row>
    <row r="359" spans="1:13" s="45" customFormat="1" ht="15" customHeight="1" x14ac:dyDescent="0.25">
      <c r="A359" s="60"/>
      <c r="B359" s="91"/>
      <c r="C359" s="162"/>
      <c r="D359" s="57"/>
      <c r="E359" s="58"/>
      <c r="F359" s="59"/>
      <c r="H359" s="192"/>
      <c r="I359" s="192"/>
      <c r="J359" s="192"/>
      <c r="K359" s="192"/>
      <c r="L359" s="192"/>
      <c r="M359" s="192"/>
    </row>
    <row r="360" spans="1:13" s="45" customFormat="1" ht="15" customHeight="1" x14ac:dyDescent="0.25">
      <c r="A360" s="60"/>
      <c r="B360" s="91"/>
      <c r="C360" s="162"/>
      <c r="D360" s="57"/>
      <c r="E360" s="58"/>
      <c r="F360" s="59"/>
      <c r="H360" s="192"/>
      <c r="I360" s="192"/>
      <c r="J360" s="192"/>
      <c r="K360" s="192"/>
      <c r="L360" s="192"/>
      <c r="M360" s="192"/>
    </row>
    <row r="361" spans="1:13" s="45" customFormat="1" ht="15" customHeight="1" x14ac:dyDescent="0.25">
      <c r="A361" s="60"/>
      <c r="B361" s="91"/>
      <c r="C361" s="162"/>
      <c r="D361" s="57"/>
      <c r="E361" s="58"/>
      <c r="F361" s="59"/>
      <c r="H361" s="192"/>
      <c r="I361" s="192"/>
      <c r="J361" s="192"/>
      <c r="K361" s="192"/>
      <c r="L361" s="192"/>
      <c r="M361" s="192"/>
    </row>
    <row r="362" spans="1:13" s="45" customFormat="1" ht="15" customHeight="1" x14ac:dyDescent="0.25">
      <c r="A362" s="60"/>
      <c r="B362" s="91"/>
      <c r="C362" s="162"/>
      <c r="D362" s="57"/>
      <c r="E362" s="58"/>
      <c r="F362" s="59"/>
      <c r="H362" s="192"/>
      <c r="I362" s="192"/>
      <c r="J362" s="192"/>
      <c r="K362" s="192"/>
      <c r="L362" s="192"/>
      <c r="M362" s="192"/>
    </row>
    <row r="363" spans="1:13" s="45" customFormat="1" ht="15" customHeight="1" x14ac:dyDescent="0.25">
      <c r="A363" s="60"/>
      <c r="B363" s="91"/>
      <c r="C363" s="162"/>
      <c r="D363" s="57"/>
      <c r="E363" s="58"/>
      <c r="F363" s="59"/>
      <c r="H363" s="192"/>
      <c r="I363" s="192"/>
      <c r="J363" s="192"/>
      <c r="K363" s="192"/>
      <c r="L363" s="192"/>
      <c r="M363" s="192"/>
    </row>
    <row r="364" spans="1:13" s="45" customFormat="1" ht="15" customHeight="1" x14ac:dyDescent="0.25">
      <c r="A364" s="60"/>
      <c r="B364" s="91"/>
      <c r="C364" s="162"/>
      <c r="D364" s="57"/>
      <c r="E364" s="58"/>
      <c r="F364" s="59"/>
      <c r="H364" s="192"/>
      <c r="I364" s="192"/>
      <c r="J364" s="192"/>
      <c r="K364" s="192"/>
      <c r="L364" s="192"/>
      <c r="M364" s="192"/>
    </row>
    <row r="365" spans="1:13" s="45" customFormat="1" ht="15" customHeight="1" x14ac:dyDescent="0.25">
      <c r="A365" s="60"/>
      <c r="B365" s="91"/>
      <c r="C365" s="162"/>
      <c r="D365" s="57"/>
      <c r="E365" s="58"/>
      <c r="F365" s="59"/>
      <c r="H365" s="192"/>
      <c r="I365" s="192"/>
      <c r="J365" s="192"/>
      <c r="K365" s="192"/>
      <c r="L365" s="192"/>
      <c r="M365" s="192"/>
    </row>
    <row r="366" spans="1:13" s="45" customFormat="1" ht="15" customHeight="1" x14ac:dyDescent="0.25">
      <c r="A366" s="46"/>
      <c r="B366" s="163"/>
      <c r="C366" s="48"/>
      <c r="D366" s="57"/>
      <c r="E366" s="50"/>
      <c r="F366" s="51"/>
      <c r="H366" s="192"/>
      <c r="I366" s="192"/>
      <c r="J366" s="192"/>
      <c r="K366" s="192"/>
      <c r="L366" s="192"/>
      <c r="M366" s="192"/>
    </row>
    <row r="367" spans="1:13" s="45" customFormat="1" ht="15" customHeight="1" x14ac:dyDescent="0.25">
      <c r="A367" s="62"/>
      <c r="B367" s="102" t="s">
        <v>197</v>
      </c>
      <c r="C367" s="64"/>
      <c r="D367" s="65"/>
      <c r="E367" s="66"/>
      <c r="F367" s="67"/>
      <c r="H367" s="192"/>
      <c r="I367" s="192"/>
      <c r="J367" s="192"/>
      <c r="K367" s="192"/>
      <c r="L367" s="192"/>
      <c r="M367" s="192"/>
    </row>
    <row r="368" spans="1:13" s="138" customFormat="1" ht="15" customHeight="1" x14ac:dyDescent="0.25">
      <c r="A368" s="104"/>
      <c r="B368" s="69" t="s">
        <v>198</v>
      </c>
      <c r="C368" s="70"/>
      <c r="D368" s="71"/>
      <c r="E368" s="72"/>
      <c r="F368" s="73"/>
      <c r="H368" s="193"/>
      <c r="I368" s="193"/>
      <c r="J368" s="193"/>
      <c r="K368" s="193"/>
      <c r="L368" s="193"/>
      <c r="M368" s="193"/>
    </row>
    <row r="369" spans="1:13" s="45" customFormat="1" ht="15" customHeight="1" x14ac:dyDescent="0.25">
      <c r="A369" s="104"/>
      <c r="B369" s="142" t="s">
        <v>199</v>
      </c>
      <c r="C369" s="133"/>
      <c r="D369" s="139"/>
      <c r="E369" s="135"/>
      <c r="F369" s="136"/>
      <c r="H369" s="192"/>
      <c r="I369" s="192"/>
      <c r="J369" s="192"/>
      <c r="K369" s="192"/>
      <c r="L369" s="192"/>
      <c r="M369" s="192"/>
    </row>
    <row r="370" spans="1:13" s="45" customFormat="1" ht="15" customHeight="1" x14ac:dyDescent="0.25">
      <c r="A370" s="62"/>
      <c r="B370" s="164" t="s">
        <v>50</v>
      </c>
      <c r="C370" s="42"/>
      <c r="D370" s="43"/>
      <c r="E370" s="113"/>
      <c r="F370" s="44"/>
      <c r="H370" s="192"/>
      <c r="I370" s="192"/>
      <c r="J370" s="192"/>
      <c r="K370" s="192"/>
      <c r="L370" s="192"/>
      <c r="M370" s="192"/>
    </row>
    <row r="371" spans="1:13" s="45" customFormat="1" ht="15" customHeight="1" x14ac:dyDescent="0.25">
      <c r="A371" s="52">
        <v>8.1</v>
      </c>
      <c r="B371" s="165" t="s">
        <v>39</v>
      </c>
      <c r="C371" s="48"/>
      <c r="D371" s="49"/>
      <c r="E371" s="50"/>
      <c r="F371" s="51"/>
      <c r="H371" s="192"/>
      <c r="I371" s="192"/>
      <c r="J371" s="192"/>
      <c r="K371" s="192"/>
      <c r="L371" s="192"/>
      <c r="M371" s="192"/>
    </row>
    <row r="372" spans="1:13" s="45" customFormat="1" ht="38.25" x14ac:dyDescent="0.25">
      <c r="A372" s="52"/>
      <c r="B372" s="61" t="s">
        <v>83</v>
      </c>
      <c r="C372" s="48"/>
      <c r="D372" s="49"/>
      <c r="E372" s="50"/>
      <c r="F372" s="51"/>
      <c r="H372" s="192"/>
      <c r="I372" s="192"/>
      <c r="J372" s="192"/>
      <c r="K372" s="192"/>
      <c r="L372" s="192"/>
      <c r="M372" s="192"/>
    </row>
    <row r="373" spans="1:13" s="45" customFormat="1" ht="38.25" x14ac:dyDescent="0.25">
      <c r="A373" s="52"/>
      <c r="B373" s="61" t="s">
        <v>84</v>
      </c>
      <c r="C373" s="48"/>
      <c r="D373" s="57">
        <v>0</v>
      </c>
      <c r="E373" s="50"/>
      <c r="F373" s="59"/>
      <c r="H373" s="192"/>
      <c r="I373" s="192"/>
      <c r="J373" s="192"/>
      <c r="K373" s="192"/>
      <c r="L373" s="192"/>
      <c r="M373" s="192"/>
    </row>
    <row r="374" spans="1:13" s="45" customFormat="1" ht="51" x14ac:dyDescent="0.25">
      <c r="A374" s="46"/>
      <c r="B374" s="61" t="s">
        <v>85</v>
      </c>
      <c r="C374" s="48"/>
      <c r="D374" s="57"/>
      <c r="E374" s="50"/>
      <c r="F374" s="59"/>
      <c r="H374" s="192"/>
      <c r="I374" s="192"/>
      <c r="J374" s="192"/>
      <c r="K374" s="192"/>
      <c r="L374" s="192"/>
      <c r="M374" s="192"/>
    </row>
    <row r="375" spans="1:13" s="45" customFormat="1" ht="38.25" x14ac:dyDescent="0.25">
      <c r="A375" s="46"/>
      <c r="B375" s="61" t="s">
        <v>86</v>
      </c>
      <c r="C375" s="48"/>
      <c r="D375" s="57"/>
      <c r="E375" s="50"/>
      <c r="F375" s="59"/>
      <c r="H375" s="192"/>
      <c r="I375" s="192"/>
      <c r="J375" s="192"/>
      <c r="K375" s="192"/>
      <c r="L375" s="192"/>
      <c r="M375" s="192"/>
    </row>
    <row r="376" spans="1:13" s="45" customFormat="1" ht="25.5" x14ac:dyDescent="0.25">
      <c r="A376" s="46"/>
      <c r="B376" s="61" t="s">
        <v>87</v>
      </c>
      <c r="C376" s="48"/>
      <c r="D376" s="57"/>
      <c r="E376" s="50"/>
      <c r="F376" s="59"/>
      <c r="H376" s="192"/>
      <c r="I376" s="192"/>
      <c r="J376" s="192"/>
      <c r="K376" s="192"/>
      <c r="L376" s="192"/>
      <c r="M376" s="192"/>
    </row>
    <row r="377" spans="1:13" s="45" customFormat="1" ht="38.25" x14ac:dyDescent="0.25">
      <c r="A377" s="46"/>
      <c r="B377" s="61" t="s">
        <v>88</v>
      </c>
      <c r="C377" s="48"/>
      <c r="D377" s="57"/>
      <c r="E377" s="50"/>
      <c r="F377" s="59"/>
      <c r="H377" s="192"/>
      <c r="I377" s="192"/>
      <c r="J377" s="192"/>
      <c r="K377" s="192"/>
      <c r="L377" s="192"/>
      <c r="M377" s="192"/>
    </row>
    <row r="378" spans="1:13" s="45" customFormat="1" ht="25.5" x14ac:dyDescent="0.25">
      <c r="A378" s="46"/>
      <c r="B378" s="61" t="s">
        <v>89</v>
      </c>
      <c r="C378" s="48"/>
      <c r="D378" s="57"/>
      <c r="E378" s="50"/>
      <c r="F378" s="59"/>
      <c r="H378" s="192"/>
      <c r="I378" s="192"/>
      <c r="J378" s="192"/>
      <c r="K378" s="192"/>
      <c r="L378" s="192"/>
      <c r="M378" s="192"/>
    </row>
    <row r="379" spans="1:13" s="45" customFormat="1" ht="15" customHeight="1" x14ac:dyDescent="0.25">
      <c r="A379" s="46"/>
      <c r="B379" s="61" t="s">
        <v>90</v>
      </c>
      <c r="C379" s="48"/>
      <c r="D379" s="57"/>
      <c r="E379" s="50"/>
      <c r="F379" s="59"/>
      <c r="H379" s="192"/>
      <c r="I379" s="192"/>
      <c r="J379" s="192"/>
      <c r="K379" s="192"/>
      <c r="L379" s="192"/>
      <c r="M379" s="192"/>
    </row>
    <row r="380" spans="1:13" s="45" customFormat="1" ht="15" customHeight="1" x14ac:dyDescent="0.25">
      <c r="A380" s="46"/>
      <c r="B380" s="61"/>
      <c r="C380" s="48"/>
      <c r="D380" s="57"/>
      <c r="E380" s="50"/>
      <c r="F380" s="59"/>
      <c r="H380" s="192"/>
      <c r="I380" s="192"/>
      <c r="J380" s="192"/>
      <c r="K380" s="192"/>
      <c r="L380" s="192"/>
      <c r="M380" s="192"/>
    </row>
    <row r="381" spans="1:13" s="45" customFormat="1" ht="15" customHeight="1" x14ac:dyDescent="0.25">
      <c r="A381" s="52">
        <v>8.1999999999999993</v>
      </c>
      <c r="B381" s="53" t="s">
        <v>91</v>
      </c>
      <c r="C381" s="48"/>
      <c r="D381" s="57">
        <v>0</v>
      </c>
      <c r="E381" s="58"/>
      <c r="F381" s="51"/>
      <c r="H381" s="192"/>
      <c r="I381" s="192"/>
      <c r="J381" s="192"/>
      <c r="K381" s="192"/>
      <c r="L381" s="192"/>
      <c r="M381" s="192"/>
    </row>
    <row r="382" spans="1:13" s="45" customFormat="1" ht="25.5" x14ac:dyDescent="0.25">
      <c r="A382" s="60">
        <v>2</v>
      </c>
      <c r="B382" s="61" t="s">
        <v>253</v>
      </c>
      <c r="C382" s="48">
        <v>1</v>
      </c>
      <c r="D382" s="58" t="s">
        <v>14</v>
      </c>
      <c r="E382" s="58"/>
      <c r="F382" s="59"/>
      <c r="H382" s="192"/>
      <c r="I382" s="192"/>
      <c r="J382" s="192"/>
      <c r="K382" s="192"/>
      <c r="L382" s="192"/>
      <c r="M382" s="192"/>
    </row>
    <row r="383" spans="1:13" s="45" customFormat="1" ht="15" customHeight="1" x14ac:dyDescent="0.25">
      <c r="A383" s="46"/>
      <c r="B383" s="61"/>
      <c r="C383" s="48"/>
      <c r="D383" s="57"/>
      <c r="E383" s="50"/>
      <c r="F383" s="59"/>
      <c r="H383" s="192"/>
      <c r="I383" s="192"/>
      <c r="J383" s="192"/>
      <c r="K383" s="192"/>
      <c r="L383" s="192"/>
      <c r="M383" s="192"/>
    </row>
    <row r="384" spans="1:13" s="45" customFormat="1" ht="15" customHeight="1" x14ac:dyDescent="0.25">
      <c r="A384" s="52">
        <v>8.3000000000000007</v>
      </c>
      <c r="B384" s="53" t="s">
        <v>51</v>
      </c>
      <c r="C384" s="48"/>
      <c r="D384" s="57"/>
      <c r="E384" s="50"/>
      <c r="F384" s="51"/>
      <c r="H384" s="192"/>
      <c r="I384" s="192"/>
      <c r="J384" s="192"/>
      <c r="K384" s="192"/>
      <c r="L384" s="192"/>
      <c r="M384" s="192"/>
    </row>
    <row r="385" spans="1:13" s="45" customFormat="1" ht="25.5" x14ac:dyDescent="0.25">
      <c r="A385" s="52"/>
      <c r="B385" s="61" t="s">
        <v>93</v>
      </c>
      <c r="C385" s="48"/>
      <c r="D385" s="58"/>
      <c r="E385" s="58"/>
      <c r="F385" s="59"/>
      <c r="H385" s="192"/>
      <c r="I385" s="192"/>
      <c r="J385" s="192"/>
      <c r="K385" s="192"/>
      <c r="L385" s="192"/>
      <c r="M385" s="192"/>
    </row>
    <row r="386" spans="1:13" s="45" customFormat="1" ht="15" customHeight="1" x14ac:dyDescent="0.25">
      <c r="A386" s="166">
        <v>1</v>
      </c>
      <c r="B386" s="167" t="s">
        <v>177</v>
      </c>
      <c r="C386" s="119">
        <v>1</v>
      </c>
      <c r="D386" s="58" t="s">
        <v>1</v>
      </c>
      <c r="E386" s="58"/>
      <c r="F386" s="59"/>
      <c r="H386" s="183"/>
      <c r="I386" s="183"/>
      <c r="J386" s="183"/>
      <c r="K386" s="183"/>
      <c r="L386" s="183"/>
      <c r="M386" s="183"/>
    </row>
    <row r="387" spans="1:13" s="45" customFormat="1" ht="15" customHeight="1" x14ac:dyDescent="0.25">
      <c r="A387" s="60"/>
      <c r="B387" s="61"/>
      <c r="C387" s="48"/>
      <c r="D387" s="58"/>
      <c r="E387" s="58"/>
      <c r="F387" s="59"/>
      <c r="H387" s="183"/>
      <c r="I387" s="224"/>
      <c r="J387" s="214"/>
      <c r="K387" s="225"/>
      <c r="L387" s="226"/>
      <c r="M387" s="183"/>
    </row>
    <row r="388" spans="1:13" s="45" customFormat="1" ht="15" customHeight="1" x14ac:dyDescent="0.25">
      <c r="A388" s="52">
        <v>8.4</v>
      </c>
      <c r="B388" s="53" t="s">
        <v>52</v>
      </c>
      <c r="C388" s="48"/>
      <c r="D388" s="57">
        <v>0</v>
      </c>
      <c r="E388" s="58"/>
      <c r="F388" s="51"/>
      <c r="H388" s="183"/>
      <c r="I388" s="224"/>
      <c r="J388" s="214"/>
      <c r="K388" s="225"/>
      <c r="L388" s="226"/>
      <c r="M388" s="183"/>
    </row>
    <row r="389" spans="1:13" s="45" customFormat="1" ht="38.25" x14ac:dyDescent="0.25">
      <c r="A389" s="52"/>
      <c r="B389" s="61" t="s">
        <v>92</v>
      </c>
      <c r="C389" s="48"/>
      <c r="D389" s="57">
        <v>0</v>
      </c>
      <c r="E389" s="58"/>
      <c r="F389" s="59"/>
      <c r="H389" s="183"/>
      <c r="I389" s="224"/>
      <c r="J389" s="214"/>
      <c r="K389" s="225"/>
      <c r="L389" s="226"/>
      <c r="M389" s="183"/>
    </row>
    <row r="390" spans="1:13" s="45" customFormat="1" ht="15" customHeight="1" x14ac:dyDescent="0.25">
      <c r="A390" s="60">
        <v>1</v>
      </c>
      <c r="B390" s="61" t="s">
        <v>103</v>
      </c>
      <c r="C390" s="48">
        <v>18</v>
      </c>
      <c r="D390" s="58" t="s">
        <v>178</v>
      </c>
      <c r="E390" s="58"/>
      <c r="F390" s="59"/>
      <c r="H390" s="183"/>
      <c r="I390" s="224"/>
      <c r="J390" s="214"/>
      <c r="K390" s="225"/>
      <c r="L390" s="226"/>
      <c r="M390" s="183"/>
    </row>
    <row r="391" spans="1:13" s="45" customFormat="1" ht="15" customHeight="1" x14ac:dyDescent="0.25">
      <c r="A391" s="60">
        <v>2</v>
      </c>
      <c r="B391" s="61" t="s">
        <v>264</v>
      </c>
      <c r="C391" s="48">
        <v>13</v>
      </c>
      <c r="D391" s="58" t="s">
        <v>178</v>
      </c>
      <c r="E391" s="58"/>
      <c r="F391" s="59"/>
      <c r="H391" s="183"/>
      <c r="I391" s="224"/>
      <c r="J391" s="227"/>
      <c r="K391" s="225"/>
      <c r="L391" s="226"/>
      <c r="M391" s="183"/>
    </row>
    <row r="392" spans="1:13" s="45" customFormat="1" ht="15" customHeight="1" x14ac:dyDescent="0.25">
      <c r="A392" s="60"/>
      <c r="B392" s="61"/>
      <c r="C392" s="48"/>
      <c r="D392" s="58"/>
      <c r="E392" s="58"/>
      <c r="F392" s="59"/>
      <c r="H392" s="183"/>
      <c r="I392" s="224"/>
      <c r="J392" s="227"/>
      <c r="K392" s="225"/>
      <c r="L392" s="226"/>
      <c r="M392" s="183"/>
    </row>
    <row r="393" spans="1:13" s="45" customFormat="1" ht="15" customHeight="1" x14ac:dyDescent="0.25">
      <c r="A393" s="52">
        <v>8.5</v>
      </c>
      <c r="B393" s="53" t="s">
        <v>53</v>
      </c>
      <c r="C393" s="48"/>
      <c r="D393" s="57"/>
      <c r="E393" s="50"/>
      <c r="F393" s="51"/>
      <c r="H393" s="183"/>
      <c r="I393" s="224"/>
      <c r="J393" s="227"/>
      <c r="K393" s="225"/>
      <c r="L393" s="226"/>
      <c r="M393" s="183"/>
    </row>
    <row r="394" spans="1:13" s="45" customFormat="1" ht="38.25" x14ac:dyDescent="0.25">
      <c r="A394" s="52"/>
      <c r="B394" s="61" t="s">
        <v>94</v>
      </c>
      <c r="C394" s="48"/>
      <c r="D394" s="58"/>
      <c r="E394" s="58"/>
      <c r="F394" s="51"/>
      <c r="H394" s="183"/>
      <c r="I394" s="224"/>
      <c r="J394" s="227"/>
      <c r="K394" s="225"/>
      <c r="L394" s="226"/>
      <c r="M394" s="183"/>
    </row>
    <row r="395" spans="1:13" s="45" customFormat="1" ht="16.5" customHeight="1" x14ac:dyDescent="0.25">
      <c r="A395" s="52"/>
      <c r="B395" s="61"/>
      <c r="C395" s="48"/>
      <c r="D395" s="58"/>
      <c r="E395" s="58"/>
      <c r="F395" s="51"/>
      <c r="H395" s="183"/>
      <c r="I395" s="224"/>
      <c r="J395" s="227"/>
      <c r="K395" s="225"/>
      <c r="L395" s="226"/>
      <c r="M395" s="183"/>
    </row>
    <row r="396" spans="1:13" s="45" customFormat="1" ht="15" customHeight="1" x14ac:dyDescent="0.25">
      <c r="A396" s="60">
        <v>1</v>
      </c>
      <c r="B396" s="61" t="s">
        <v>256</v>
      </c>
      <c r="C396" s="48">
        <v>16</v>
      </c>
      <c r="D396" s="183" t="s">
        <v>5</v>
      </c>
      <c r="E396" s="58"/>
      <c r="F396" s="59"/>
      <c r="H396" s="183"/>
      <c r="I396" s="224"/>
      <c r="J396" s="227"/>
      <c r="K396" s="225"/>
      <c r="L396" s="226"/>
      <c r="M396" s="183"/>
    </row>
    <row r="397" spans="1:13" s="45" customFormat="1" ht="13.5" customHeight="1" x14ac:dyDescent="0.25">
      <c r="A397" s="60">
        <v>2</v>
      </c>
      <c r="B397" s="61" t="s">
        <v>257</v>
      </c>
      <c r="C397" s="48">
        <v>1</v>
      </c>
      <c r="D397" s="183" t="s">
        <v>5</v>
      </c>
      <c r="E397" s="58"/>
      <c r="F397" s="51"/>
      <c r="H397" s="183"/>
      <c r="I397" s="224"/>
      <c r="J397" s="227"/>
      <c r="K397" s="225"/>
      <c r="L397" s="226"/>
      <c r="M397" s="183"/>
    </row>
    <row r="398" spans="1:13" s="45" customFormat="1" ht="12.75" customHeight="1" x14ac:dyDescent="0.25">
      <c r="A398" s="60">
        <v>3</v>
      </c>
      <c r="B398" s="167" t="s">
        <v>98</v>
      </c>
      <c r="C398" s="119">
        <v>2</v>
      </c>
      <c r="D398" s="183" t="s">
        <v>5</v>
      </c>
      <c r="E398" s="58"/>
      <c r="F398" s="59"/>
      <c r="H398" s="183"/>
      <c r="I398" s="224"/>
      <c r="J398" s="227"/>
      <c r="K398" s="225"/>
      <c r="L398" s="226"/>
      <c r="M398" s="183"/>
    </row>
    <row r="399" spans="1:13" s="45" customFormat="1" ht="14.25" customHeight="1" x14ac:dyDescent="0.25">
      <c r="A399" s="60">
        <v>4</v>
      </c>
      <c r="B399" s="61" t="s">
        <v>258</v>
      </c>
      <c r="C399" s="48">
        <v>3</v>
      </c>
      <c r="D399" s="183" t="s">
        <v>5</v>
      </c>
      <c r="E399" s="58"/>
      <c r="F399" s="51"/>
      <c r="H399" s="183"/>
      <c r="I399" s="224"/>
      <c r="J399" s="227"/>
      <c r="K399" s="225"/>
      <c r="L399" s="226"/>
      <c r="M399" s="183"/>
    </row>
    <row r="400" spans="1:13" s="45" customFormat="1" ht="15" customHeight="1" x14ac:dyDescent="0.25">
      <c r="A400" s="60">
        <v>5</v>
      </c>
      <c r="B400" s="61" t="s">
        <v>259</v>
      </c>
      <c r="C400" s="48">
        <v>1</v>
      </c>
      <c r="D400" s="183" t="s">
        <v>5</v>
      </c>
      <c r="E400" s="58"/>
      <c r="F400" s="59"/>
      <c r="H400" s="183"/>
      <c r="I400" s="224"/>
      <c r="J400" s="227"/>
      <c r="K400" s="225"/>
      <c r="L400" s="226"/>
      <c r="M400" s="183"/>
    </row>
    <row r="401" spans="1:13" s="45" customFormat="1" ht="15" customHeight="1" x14ac:dyDescent="0.25">
      <c r="A401" s="60">
        <v>6</v>
      </c>
      <c r="B401" s="61" t="s">
        <v>254</v>
      </c>
      <c r="C401" s="48">
        <v>5</v>
      </c>
      <c r="D401" s="183" t="s">
        <v>5</v>
      </c>
      <c r="E401" s="58"/>
      <c r="F401" s="59"/>
      <c r="H401" s="183"/>
      <c r="I401" s="224"/>
      <c r="J401" s="228"/>
      <c r="K401" s="229"/>
      <c r="L401" s="216"/>
      <c r="M401" s="183"/>
    </row>
    <row r="402" spans="1:13" s="45" customFormat="1" ht="15" customHeight="1" x14ac:dyDescent="0.25">
      <c r="A402" s="60">
        <v>7</v>
      </c>
      <c r="B402" s="61" t="s">
        <v>255</v>
      </c>
      <c r="C402" s="48">
        <v>2</v>
      </c>
      <c r="D402" s="183" t="s">
        <v>5</v>
      </c>
      <c r="E402" s="58"/>
      <c r="F402" s="59"/>
      <c r="H402" s="183"/>
      <c r="I402" s="224"/>
      <c r="J402" s="228"/>
      <c r="K402" s="229"/>
      <c r="L402" s="216"/>
      <c r="M402" s="183"/>
    </row>
    <row r="403" spans="1:13" s="45" customFormat="1" ht="15" customHeight="1" x14ac:dyDescent="0.25">
      <c r="A403" s="60">
        <v>8</v>
      </c>
      <c r="B403" s="61" t="s">
        <v>260</v>
      </c>
      <c r="C403" s="48">
        <v>1</v>
      </c>
      <c r="D403" s="183" t="s">
        <v>5</v>
      </c>
      <c r="E403" s="58"/>
      <c r="F403" s="59"/>
      <c r="H403" s="183"/>
      <c r="I403" s="224"/>
      <c r="J403" s="228"/>
      <c r="K403" s="229"/>
      <c r="L403" s="216"/>
      <c r="M403" s="183"/>
    </row>
    <row r="404" spans="1:13" s="45" customFormat="1" ht="16.5" customHeight="1" x14ac:dyDescent="0.25">
      <c r="A404" s="60"/>
      <c r="B404" s="56"/>
      <c r="C404" s="48"/>
      <c r="D404" s="58"/>
      <c r="E404" s="58"/>
      <c r="F404" s="59"/>
      <c r="H404" s="183"/>
      <c r="I404" s="224"/>
      <c r="J404" s="228"/>
      <c r="K404" s="225"/>
      <c r="L404" s="216"/>
      <c r="M404" s="183"/>
    </row>
    <row r="405" spans="1:13" s="45" customFormat="1" ht="14.25" x14ac:dyDescent="0.25">
      <c r="A405" s="52">
        <v>8.6</v>
      </c>
      <c r="B405" s="53" t="s">
        <v>265</v>
      </c>
      <c r="C405" s="48"/>
      <c r="D405" s="183"/>
      <c r="E405" s="50"/>
      <c r="F405" s="101"/>
      <c r="H405" s="183"/>
      <c r="I405" s="224"/>
      <c r="J405" s="228"/>
      <c r="K405" s="225"/>
      <c r="L405" s="216"/>
      <c r="M405" s="183"/>
    </row>
    <row r="406" spans="1:13" s="45" customFormat="1" ht="54" customHeight="1" x14ac:dyDescent="0.25">
      <c r="A406" s="60"/>
      <c r="B406" s="184" t="s">
        <v>132</v>
      </c>
      <c r="C406" s="48"/>
      <c r="D406" s="58"/>
      <c r="E406" s="58"/>
      <c r="F406" s="59"/>
      <c r="H406" s="192"/>
      <c r="I406" s="192"/>
      <c r="J406" s="192"/>
      <c r="K406" s="192"/>
      <c r="L406" s="192"/>
      <c r="M406" s="192"/>
    </row>
    <row r="407" spans="1:13" s="45" customFormat="1" ht="12.75" x14ac:dyDescent="0.25">
      <c r="A407" s="60">
        <v>1</v>
      </c>
      <c r="B407" s="61" t="s">
        <v>124</v>
      </c>
      <c r="C407" s="48">
        <v>1</v>
      </c>
      <c r="D407" s="183" t="s">
        <v>5</v>
      </c>
      <c r="E407" s="50"/>
      <c r="F407" s="101"/>
      <c r="H407" s="192"/>
      <c r="I407" s="192"/>
      <c r="J407" s="192"/>
      <c r="K407" s="192"/>
      <c r="L407" s="192"/>
      <c r="M407" s="192"/>
    </row>
    <row r="408" spans="1:13" s="45" customFormat="1" ht="15" customHeight="1" x14ac:dyDescent="0.25">
      <c r="A408" s="60">
        <v>2</v>
      </c>
      <c r="B408" s="61" t="s">
        <v>266</v>
      </c>
      <c r="C408" s="48">
        <v>1</v>
      </c>
      <c r="D408" s="58" t="s">
        <v>5</v>
      </c>
      <c r="E408" s="58"/>
      <c r="F408" s="59"/>
      <c r="H408" s="192"/>
      <c r="I408" s="192"/>
      <c r="J408" s="192"/>
      <c r="K408" s="192"/>
      <c r="L408" s="192"/>
      <c r="M408" s="192"/>
    </row>
    <row r="409" spans="1:13" s="45" customFormat="1" ht="15" customHeight="1" x14ac:dyDescent="0.25">
      <c r="A409" s="60"/>
      <c r="B409" s="215"/>
      <c r="C409" s="48"/>
      <c r="D409" s="58"/>
      <c r="E409" s="58"/>
      <c r="F409" s="59"/>
      <c r="H409" s="192"/>
      <c r="I409" s="192"/>
      <c r="J409" s="192"/>
      <c r="K409" s="192"/>
      <c r="L409" s="192"/>
      <c r="M409" s="192"/>
    </row>
    <row r="410" spans="1:13" s="45" customFormat="1" ht="15" customHeight="1" x14ac:dyDescent="0.25">
      <c r="A410" s="52">
        <v>8.6999999999999993</v>
      </c>
      <c r="B410" s="53" t="s">
        <v>108</v>
      </c>
      <c r="C410" s="48"/>
      <c r="D410" s="58"/>
      <c r="E410" s="58"/>
      <c r="F410" s="59"/>
      <c r="H410" s="192"/>
      <c r="I410" s="192"/>
      <c r="J410" s="192"/>
      <c r="K410" s="192"/>
      <c r="L410" s="192"/>
      <c r="M410" s="192"/>
    </row>
    <row r="411" spans="1:13" s="45" customFormat="1" ht="30" customHeight="1" x14ac:dyDescent="0.25">
      <c r="A411" s="52"/>
      <c r="B411" s="61" t="s">
        <v>109</v>
      </c>
      <c r="C411" s="48"/>
      <c r="D411" s="58"/>
      <c r="E411" s="58"/>
      <c r="F411" s="59"/>
      <c r="H411" s="192"/>
      <c r="I411" s="192"/>
      <c r="J411" s="192"/>
      <c r="K411" s="192"/>
      <c r="L411" s="192"/>
      <c r="M411" s="192"/>
    </row>
    <row r="412" spans="1:13" s="45" customFormat="1" ht="15" customHeight="1" x14ac:dyDescent="0.25">
      <c r="A412" s="60">
        <v>1</v>
      </c>
      <c r="B412" s="61" t="s">
        <v>110</v>
      </c>
      <c r="C412" s="48">
        <v>1</v>
      </c>
      <c r="D412" s="58" t="s">
        <v>5</v>
      </c>
      <c r="E412" s="58"/>
      <c r="F412" s="59"/>
      <c r="H412" s="192"/>
      <c r="I412" s="192"/>
      <c r="J412" s="192"/>
      <c r="K412" s="192"/>
      <c r="L412" s="192"/>
      <c r="M412" s="192"/>
    </row>
    <row r="413" spans="1:13" s="45" customFormat="1" ht="15" customHeight="1" x14ac:dyDescent="0.25">
      <c r="A413" s="60">
        <v>2</v>
      </c>
      <c r="B413" s="61" t="s">
        <v>111</v>
      </c>
      <c r="C413" s="48">
        <v>1</v>
      </c>
      <c r="D413" s="58" t="s">
        <v>5</v>
      </c>
      <c r="E413" s="58"/>
      <c r="F413" s="59"/>
      <c r="H413" s="192"/>
      <c r="I413" s="192"/>
      <c r="J413" s="192"/>
      <c r="K413" s="192"/>
      <c r="L413" s="192"/>
      <c r="M413" s="192"/>
    </row>
    <row r="414" spans="1:13" s="45" customFormat="1" ht="15" customHeight="1" x14ac:dyDescent="0.25">
      <c r="A414" s="60"/>
      <c r="B414" s="61"/>
      <c r="C414" s="48"/>
      <c r="D414" s="58"/>
      <c r="E414" s="58"/>
      <c r="F414" s="59"/>
      <c r="H414" s="192"/>
      <c r="I414" s="192"/>
      <c r="J414" s="192"/>
      <c r="K414" s="192"/>
      <c r="L414" s="192"/>
      <c r="M414" s="192"/>
    </row>
    <row r="415" spans="1:13" s="45" customFormat="1" ht="15" customHeight="1" x14ac:dyDescent="0.25">
      <c r="A415" s="60"/>
      <c r="B415" s="61"/>
      <c r="C415" s="48"/>
      <c r="D415" s="58"/>
      <c r="E415" s="58"/>
      <c r="F415" s="59"/>
      <c r="H415" s="192"/>
      <c r="I415" s="192"/>
      <c r="J415" s="192"/>
      <c r="K415" s="192"/>
      <c r="L415" s="192"/>
      <c r="M415" s="192"/>
    </row>
    <row r="416" spans="1:13" s="45" customFormat="1" ht="15" customHeight="1" x14ac:dyDescent="0.25">
      <c r="A416" s="60"/>
      <c r="B416" s="61"/>
      <c r="C416" s="48"/>
      <c r="D416" s="58"/>
      <c r="E416" s="58"/>
      <c r="F416" s="59"/>
      <c r="H416" s="192"/>
      <c r="I416" s="192"/>
      <c r="J416" s="192"/>
      <c r="K416" s="192"/>
      <c r="L416" s="192"/>
      <c r="M416" s="192"/>
    </row>
    <row r="417" spans="1:13" s="45" customFormat="1" ht="15" customHeight="1" x14ac:dyDescent="0.25">
      <c r="A417" s="60"/>
      <c r="B417" s="61"/>
      <c r="C417" s="48"/>
      <c r="D417" s="58"/>
      <c r="E417" s="58"/>
      <c r="F417" s="59"/>
      <c r="H417" s="192"/>
      <c r="I417" s="192"/>
      <c r="J417" s="192"/>
      <c r="K417" s="192"/>
      <c r="L417" s="192"/>
      <c r="M417" s="192"/>
    </row>
    <row r="418" spans="1:13" s="45" customFormat="1" ht="15" customHeight="1" x14ac:dyDescent="0.25">
      <c r="A418" s="60"/>
      <c r="B418" s="61"/>
      <c r="C418" s="48"/>
      <c r="D418" s="58"/>
      <c r="E418" s="58"/>
      <c r="F418" s="59"/>
      <c r="H418" s="192"/>
      <c r="I418" s="192"/>
      <c r="J418" s="192"/>
      <c r="K418" s="192"/>
      <c r="L418" s="192"/>
      <c r="M418" s="192"/>
    </row>
    <row r="419" spans="1:13" s="45" customFormat="1" ht="15" customHeight="1" x14ac:dyDescent="0.25">
      <c r="A419" s="60"/>
      <c r="B419" s="61"/>
      <c r="C419" s="48"/>
      <c r="D419" s="58"/>
      <c r="E419" s="58"/>
      <c r="F419" s="59"/>
      <c r="H419" s="192"/>
      <c r="I419" s="192"/>
      <c r="J419" s="192"/>
      <c r="K419" s="192"/>
      <c r="L419" s="192"/>
      <c r="M419" s="192"/>
    </row>
    <row r="420" spans="1:13" s="45" customFormat="1" ht="15" customHeight="1" x14ac:dyDescent="0.25">
      <c r="A420" s="60"/>
      <c r="B420" s="61"/>
      <c r="C420" s="48"/>
      <c r="D420" s="58"/>
      <c r="E420" s="58"/>
      <c r="F420" s="59"/>
      <c r="H420" s="192"/>
      <c r="I420" s="192"/>
      <c r="J420" s="192"/>
      <c r="K420" s="192"/>
      <c r="L420" s="192"/>
      <c r="M420" s="192"/>
    </row>
    <row r="421" spans="1:13" s="45" customFormat="1" ht="15" customHeight="1" x14ac:dyDescent="0.25">
      <c r="A421" s="60"/>
      <c r="B421" s="61"/>
      <c r="C421" s="48"/>
      <c r="D421" s="58"/>
      <c r="E421" s="58"/>
      <c r="F421" s="59"/>
      <c r="H421" s="192"/>
      <c r="I421" s="192"/>
      <c r="J421" s="192"/>
      <c r="K421" s="192"/>
      <c r="L421" s="192"/>
      <c r="M421" s="192"/>
    </row>
    <row r="422" spans="1:13" s="45" customFormat="1" ht="15" customHeight="1" x14ac:dyDescent="0.25">
      <c r="A422" s="60"/>
      <c r="B422" s="61"/>
      <c r="C422" s="48"/>
      <c r="D422" s="58"/>
      <c r="E422" s="58"/>
      <c r="F422" s="59"/>
      <c r="H422" s="192"/>
      <c r="I422" s="192"/>
      <c r="J422" s="192"/>
      <c r="K422" s="192"/>
      <c r="L422" s="192"/>
      <c r="M422" s="192"/>
    </row>
    <row r="423" spans="1:13" s="45" customFormat="1" ht="15" customHeight="1" x14ac:dyDescent="0.25">
      <c r="A423" s="60"/>
      <c r="B423" s="61"/>
      <c r="C423" s="48"/>
      <c r="D423" s="58"/>
      <c r="E423" s="58"/>
      <c r="F423" s="59"/>
      <c r="H423" s="192"/>
      <c r="I423" s="192"/>
      <c r="J423" s="192"/>
      <c r="K423" s="192"/>
      <c r="L423" s="192"/>
      <c r="M423" s="192"/>
    </row>
    <row r="424" spans="1:13" s="45" customFormat="1" ht="15" customHeight="1" x14ac:dyDescent="0.25">
      <c r="A424" s="60"/>
      <c r="B424" s="61"/>
      <c r="C424" s="48"/>
      <c r="D424" s="58"/>
      <c r="E424" s="58"/>
      <c r="F424" s="59"/>
      <c r="H424" s="192"/>
      <c r="I424" s="192"/>
      <c r="J424" s="192"/>
      <c r="K424" s="192"/>
      <c r="L424" s="192"/>
      <c r="M424" s="192"/>
    </row>
    <row r="425" spans="1:13" s="45" customFormat="1" ht="15" customHeight="1" x14ac:dyDescent="0.25">
      <c r="A425" s="60"/>
      <c r="B425" s="61"/>
      <c r="C425" s="48"/>
      <c r="D425" s="58"/>
      <c r="E425" s="58"/>
      <c r="F425" s="59"/>
      <c r="H425" s="192"/>
      <c r="I425" s="192"/>
      <c r="J425" s="192"/>
      <c r="K425" s="192"/>
      <c r="L425" s="192"/>
      <c r="M425" s="192"/>
    </row>
    <row r="426" spans="1:13" s="45" customFormat="1" ht="15" customHeight="1" x14ac:dyDescent="0.25">
      <c r="A426" s="60"/>
      <c r="B426" s="61"/>
      <c r="C426" s="48"/>
      <c r="D426" s="58"/>
      <c r="E426" s="58"/>
      <c r="F426" s="59"/>
      <c r="H426" s="192"/>
      <c r="I426" s="192"/>
      <c r="J426" s="192"/>
      <c r="K426" s="192"/>
      <c r="L426" s="192"/>
      <c r="M426" s="192"/>
    </row>
    <row r="427" spans="1:13" s="45" customFormat="1" ht="15" customHeight="1" x14ac:dyDescent="0.25">
      <c r="A427" s="52"/>
      <c r="B427" s="169"/>
      <c r="C427" s="48"/>
      <c r="D427" s="58"/>
      <c r="E427" s="58"/>
      <c r="F427" s="170"/>
      <c r="H427" s="192"/>
      <c r="I427" s="192"/>
      <c r="J427" s="192"/>
      <c r="K427" s="192"/>
      <c r="L427" s="192"/>
      <c r="M427" s="192"/>
    </row>
    <row r="428" spans="1:13" s="45" customFormat="1" ht="15" customHeight="1" x14ac:dyDescent="0.25">
      <c r="A428" s="60"/>
      <c r="B428" s="124"/>
      <c r="C428" s="48"/>
      <c r="D428" s="58"/>
      <c r="E428" s="50"/>
      <c r="F428" s="171"/>
      <c r="H428" s="192"/>
      <c r="I428" s="192"/>
      <c r="J428" s="192"/>
      <c r="K428" s="192"/>
      <c r="L428" s="192"/>
      <c r="M428" s="192"/>
    </row>
    <row r="429" spans="1:13" s="45" customFormat="1" ht="15" customHeight="1" x14ac:dyDescent="0.25">
      <c r="A429" s="148"/>
      <c r="B429" s="102" t="s">
        <v>200</v>
      </c>
      <c r="C429" s="149"/>
      <c r="D429" s="150"/>
      <c r="E429" s="151"/>
      <c r="F429" s="67"/>
      <c r="H429" s="192"/>
      <c r="I429" s="192"/>
      <c r="J429" s="192"/>
      <c r="K429" s="192"/>
      <c r="L429" s="192"/>
      <c r="M429" s="192"/>
    </row>
    <row r="430" spans="1:13" s="45" customFormat="1" ht="15" customHeight="1" x14ac:dyDescent="0.25">
      <c r="A430" s="68"/>
      <c r="B430" s="69" t="s">
        <v>30</v>
      </c>
      <c r="C430" s="105"/>
      <c r="D430" s="106"/>
      <c r="E430" s="107"/>
      <c r="F430" s="73"/>
      <c r="H430" s="192"/>
      <c r="I430" s="192"/>
      <c r="J430" s="192"/>
      <c r="K430" s="192"/>
      <c r="L430" s="192"/>
      <c r="M430" s="192"/>
    </row>
    <row r="431" spans="1:13" s="45" customFormat="1" ht="15" customHeight="1" x14ac:dyDescent="0.25">
      <c r="A431" s="109"/>
      <c r="B431" s="40" t="s">
        <v>201</v>
      </c>
      <c r="C431" s="133"/>
      <c r="D431" s="139"/>
      <c r="E431" s="135"/>
      <c r="F431" s="136"/>
      <c r="H431" s="192"/>
      <c r="I431" s="192"/>
      <c r="J431" s="192"/>
      <c r="K431" s="192"/>
      <c r="L431" s="192"/>
      <c r="M431" s="192"/>
    </row>
    <row r="432" spans="1:13" s="45" customFormat="1" ht="15" customHeight="1" x14ac:dyDescent="0.25">
      <c r="A432" s="52"/>
      <c r="B432" s="164" t="s">
        <v>54</v>
      </c>
      <c r="C432" s="48"/>
      <c r="D432" s="57"/>
      <c r="E432" s="50"/>
      <c r="F432" s="59"/>
      <c r="H432" s="192"/>
      <c r="I432" s="192"/>
      <c r="J432" s="192"/>
      <c r="K432" s="192"/>
      <c r="L432" s="192"/>
      <c r="M432" s="192"/>
    </row>
    <row r="433" spans="1:13" s="45" customFormat="1" ht="15" customHeight="1" x14ac:dyDescent="0.25">
      <c r="A433" s="60"/>
      <c r="B433" s="172"/>
      <c r="C433" s="48"/>
      <c r="D433" s="57"/>
      <c r="E433" s="50"/>
      <c r="F433" s="59"/>
      <c r="H433" s="192"/>
      <c r="I433" s="192"/>
      <c r="J433" s="192"/>
      <c r="K433" s="192"/>
      <c r="L433" s="192"/>
      <c r="M433" s="192"/>
    </row>
    <row r="434" spans="1:13" s="45" customFormat="1" ht="15" customHeight="1" x14ac:dyDescent="0.25">
      <c r="A434" s="60"/>
      <c r="B434" s="172"/>
      <c r="C434" s="48"/>
      <c r="D434" s="57"/>
      <c r="E434" s="50"/>
      <c r="F434" s="59"/>
      <c r="H434" s="192"/>
      <c r="I434" s="192"/>
      <c r="J434" s="192"/>
      <c r="K434" s="192"/>
      <c r="L434" s="192"/>
      <c r="M434" s="192"/>
    </row>
    <row r="435" spans="1:13" s="45" customFormat="1" ht="15" customHeight="1" x14ac:dyDescent="0.25">
      <c r="A435" s="60"/>
      <c r="B435" s="172"/>
      <c r="C435" s="48"/>
      <c r="D435" s="57"/>
      <c r="E435" s="50"/>
      <c r="F435" s="59"/>
      <c r="H435" s="192"/>
      <c r="I435" s="192"/>
      <c r="J435" s="192"/>
      <c r="K435" s="192"/>
      <c r="L435" s="192"/>
      <c r="M435" s="192"/>
    </row>
    <row r="436" spans="1:13" s="45" customFormat="1" ht="15" customHeight="1" x14ac:dyDescent="0.25">
      <c r="A436" s="60"/>
      <c r="B436" s="172"/>
      <c r="C436" s="48"/>
      <c r="D436" s="57"/>
      <c r="E436" s="50"/>
      <c r="F436" s="59"/>
      <c r="H436" s="192"/>
      <c r="I436" s="192"/>
      <c r="J436" s="192"/>
      <c r="K436" s="192"/>
      <c r="L436" s="192"/>
      <c r="M436" s="192"/>
    </row>
    <row r="437" spans="1:13" s="45" customFormat="1" ht="15" customHeight="1" x14ac:dyDescent="0.25">
      <c r="A437" s="60"/>
      <c r="B437" s="172"/>
      <c r="C437" s="48"/>
      <c r="D437" s="57"/>
      <c r="E437" s="50"/>
      <c r="F437" s="59"/>
      <c r="H437" s="192"/>
      <c r="I437" s="192"/>
      <c r="J437" s="192"/>
      <c r="K437" s="192"/>
      <c r="L437" s="192"/>
      <c r="M437" s="192"/>
    </row>
    <row r="438" spans="1:13" s="45" customFormat="1" ht="15" customHeight="1" x14ac:dyDescent="0.25">
      <c r="A438" s="60"/>
      <c r="B438" s="172"/>
      <c r="C438" s="48"/>
      <c r="D438" s="57"/>
      <c r="E438" s="50"/>
      <c r="F438" s="59"/>
      <c r="H438" s="192"/>
      <c r="I438" s="192"/>
      <c r="J438" s="192"/>
      <c r="K438" s="192"/>
      <c r="L438" s="192"/>
      <c r="M438" s="192"/>
    </row>
    <row r="439" spans="1:13" s="45" customFormat="1" ht="15" customHeight="1" x14ac:dyDescent="0.25">
      <c r="A439" s="60"/>
      <c r="B439" s="172"/>
      <c r="C439" s="48"/>
      <c r="D439" s="57"/>
      <c r="E439" s="50"/>
      <c r="F439" s="59"/>
      <c r="H439" s="192"/>
      <c r="I439" s="192"/>
      <c r="J439" s="192"/>
      <c r="K439" s="192"/>
      <c r="L439" s="192"/>
      <c r="M439" s="192"/>
    </row>
    <row r="440" spans="1:13" s="45" customFormat="1" ht="15" customHeight="1" x14ac:dyDescent="0.25">
      <c r="A440" s="60"/>
      <c r="B440" s="172"/>
      <c r="C440" s="48"/>
      <c r="D440" s="57"/>
      <c r="E440" s="50"/>
      <c r="F440" s="59"/>
      <c r="H440" s="192"/>
      <c r="I440" s="192"/>
      <c r="J440" s="192"/>
      <c r="K440" s="192"/>
      <c r="L440" s="192"/>
      <c r="M440" s="192"/>
    </row>
    <row r="441" spans="1:13" s="45" customFormat="1" ht="15" customHeight="1" x14ac:dyDescent="0.25">
      <c r="A441" s="60"/>
      <c r="B441" s="172"/>
      <c r="C441" s="48"/>
      <c r="D441" s="57"/>
      <c r="E441" s="50"/>
      <c r="F441" s="59"/>
      <c r="H441" s="192"/>
      <c r="I441" s="192"/>
      <c r="J441" s="192"/>
      <c r="K441" s="192"/>
      <c r="L441" s="192"/>
      <c r="M441" s="192"/>
    </row>
    <row r="442" spans="1:13" s="45" customFormat="1" ht="15" customHeight="1" x14ac:dyDescent="0.25">
      <c r="A442" s="60"/>
      <c r="B442" s="172"/>
      <c r="C442" s="48"/>
      <c r="D442" s="57"/>
      <c r="E442" s="50"/>
      <c r="F442" s="59"/>
      <c r="H442" s="192"/>
      <c r="I442" s="192"/>
      <c r="J442" s="192"/>
      <c r="K442" s="192"/>
      <c r="L442" s="192"/>
      <c r="M442" s="192"/>
    </row>
    <row r="443" spans="1:13" s="45" customFormat="1" ht="15" customHeight="1" x14ac:dyDescent="0.25">
      <c r="A443" s="60"/>
      <c r="B443" s="172"/>
      <c r="C443" s="48"/>
      <c r="D443" s="57"/>
      <c r="E443" s="50"/>
      <c r="F443" s="59"/>
      <c r="H443" s="192"/>
      <c r="I443" s="192"/>
      <c r="J443" s="192"/>
      <c r="K443" s="192"/>
      <c r="L443" s="192"/>
      <c r="M443" s="192"/>
    </row>
    <row r="444" spans="1:13" s="45" customFormat="1" ht="15" customHeight="1" x14ac:dyDescent="0.25">
      <c r="A444" s="60"/>
      <c r="B444" s="172"/>
      <c r="C444" s="48"/>
      <c r="D444" s="57"/>
      <c r="E444" s="50"/>
      <c r="F444" s="59"/>
      <c r="H444" s="192"/>
      <c r="I444" s="192"/>
      <c r="J444" s="192"/>
      <c r="K444" s="192"/>
      <c r="L444" s="192"/>
      <c r="M444" s="192"/>
    </row>
    <row r="445" spans="1:13" s="45" customFormat="1" ht="15" customHeight="1" x14ac:dyDescent="0.25">
      <c r="A445" s="60"/>
      <c r="B445" s="172"/>
      <c r="C445" s="48"/>
      <c r="D445" s="57"/>
      <c r="E445" s="50"/>
      <c r="F445" s="59"/>
      <c r="H445" s="192"/>
      <c r="I445" s="192"/>
      <c r="J445" s="192"/>
      <c r="K445" s="192"/>
      <c r="L445" s="192"/>
      <c r="M445" s="192"/>
    </row>
    <row r="446" spans="1:13" s="45" customFormat="1" ht="15" customHeight="1" x14ac:dyDescent="0.25">
      <c r="A446" s="60"/>
      <c r="B446" s="172"/>
      <c r="C446" s="48"/>
      <c r="D446" s="57"/>
      <c r="E446" s="50"/>
      <c r="F446" s="59"/>
      <c r="H446" s="192"/>
      <c r="I446" s="192"/>
      <c r="J446" s="192"/>
      <c r="K446" s="192"/>
      <c r="L446" s="192"/>
      <c r="M446" s="192"/>
    </row>
    <row r="447" spans="1:13" s="45" customFormat="1" ht="15" customHeight="1" x14ac:dyDescent="0.25">
      <c r="A447" s="60"/>
      <c r="B447" s="172"/>
      <c r="C447" s="48"/>
      <c r="D447" s="57"/>
      <c r="E447" s="50"/>
      <c r="F447" s="59"/>
      <c r="H447" s="192"/>
      <c r="I447" s="192"/>
      <c r="J447" s="192"/>
      <c r="K447" s="192"/>
      <c r="L447" s="192"/>
      <c r="M447" s="192"/>
    </row>
    <row r="448" spans="1:13" s="45" customFormat="1" ht="15" customHeight="1" x14ac:dyDescent="0.25">
      <c r="A448" s="60"/>
      <c r="B448" s="172"/>
      <c r="C448" s="48"/>
      <c r="D448" s="57"/>
      <c r="E448" s="50"/>
      <c r="F448" s="59"/>
      <c r="H448" s="192"/>
      <c r="I448" s="192"/>
      <c r="J448" s="192"/>
      <c r="K448" s="192"/>
      <c r="L448" s="192"/>
      <c r="M448" s="192"/>
    </row>
    <row r="449" spans="1:13" s="45" customFormat="1" ht="15" customHeight="1" x14ac:dyDescent="0.25">
      <c r="A449" s="60"/>
      <c r="B449" s="172"/>
      <c r="C449" s="48"/>
      <c r="D449" s="57"/>
      <c r="E449" s="50"/>
      <c r="F449" s="59"/>
      <c r="H449" s="192"/>
      <c r="I449" s="192"/>
      <c r="J449" s="192"/>
      <c r="K449" s="192"/>
      <c r="L449" s="192"/>
      <c r="M449" s="192"/>
    </row>
    <row r="450" spans="1:13" s="45" customFormat="1" ht="15" customHeight="1" x14ac:dyDescent="0.25">
      <c r="A450" s="60"/>
      <c r="B450" s="172"/>
      <c r="C450" s="48"/>
      <c r="D450" s="57"/>
      <c r="E450" s="50"/>
      <c r="F450" s="59"/>
      <c r="H450" s="192"/>
      <c r="I450" s="192"/>
      <c r="J450" s="192"/>
      <c r="K450" s="192"/>
      <c r="L450" s="192"/>
      <c r="M450" s="192"/>
    </row>
    <row r="451" spans="1:13" s="45" customFormat="1" ht="15" customHeight="1" x14ac:dyDescent="0.25">
      <c r="A451" s="60"/>
      <c r="B451" s="172"/>
      <c r="C451" s="48"/>
      <c r="D451" s="57"/>
      <c r="E451" s="50"/>
      <c r="F451" s="59"/>
      <c r="H451" s="192"/>
      <c r="I451" s="192"/>
      <c r="J451" s="192"/>
      <c r="K451" s="192"/>
      <c r="L451" s="192"/>
      <c r="M451" s="192"/>
    </row>
    <row r="452" spans="1:13" s="45" customFormat="1" ht="15" customHeight="1" x14ac:dyDescent="0.25">
      <c r="A452" s="60"/>
      <c r="B452" s="172"/>
      <c r="C452" s="48"/>
      <c r="D452" s="57"/>
      <c r="E452" s="50"/>
      <c r="F452" s="59"/>
      <c r="H452" s="192"/>
      <c r="I452" s="192"/>
      <c r="J452" s="192"/>
      <c r="K452" s="192"/>
      <c r="L452" s="192"/>
      <c r="M452" s="192"/>
    </row>
    <row r="453" spans="1:13" s="45" customFormat="1" ht="15" customHeight="1" x14ac:dyDescent="0.25">
      <c r="A453" s="60"/>
      <c r="B453" s="172"/>
      <c r="C453" s="48"/>
      <c r="D453" s="57"/>
      <c r="E453" s="50"/>
      <c r="F453" s="59"/>
      <c r="H453" s="192"/>
      <c r="I453" s="192"/>
      <c r="J453" s="192"/>
      <c r="K453" s="192"/>
      <c r="L453" s="192"/>
      <c r="M453" s="192"/>
    </row>
    <row r="454" spans="1:13" s="45" customFormat="1" ht="15" customHeight="1" x14ac:dyDescent="0.25">
      <c r="A454" s="60"/>
      <c r="B454" s="172"/>
      <c r="C454" s="48"/>
      <c r="D454" s="57"/>
      <c r="E454" s="50"/>
      <c r="F454" s="59"/>
      <c r="H454" s="192"/>
      <c r="I454" s="192"/>
      <c r="J454" s="192"/>
      <c r="K454" s="192"/>
      <c r="L454" s="192"/>
      <c r="M454" s="192"/>
    </row>
    <row r="455" spans="1:13" s="45" customFormat="1" ht="15" customHeight="1" x14ac:dyDescent="0.25">
      <c r="A455" s="60"/>
      <c r="B455" s="172"/>
      <c r="C455" s="48"/>
      <c r="D455" s="57"/>
      <c r="E455" s="50"/>
      <c r="F455" s="59"/>
      <c r="H455" s="192"/>
      <c r="I455" s="192"/>
      <c r="J455" s="192"/>
      <c r="K455" s="192"/>
      <c r="L455" s="192"/>
      <c r="M455" s="192"/>
    </row>
    <row r="456" spans="1:13" s="45" customFormat="1" ht="15" customHeight="1" x14ac:dyDescent="0.25">
      <c r="A456" s="60"/>
      <c r="B456" s="172"/>
      <c r="C456" s="48"/>
      <c r="D456" s="57"/>
      <c r="E456" s="50"/>
      <c r="F456" s="59"/>
      <c r="H456" s="192"/>
      <c r="I456" s="192"/>
      <c r="J456" s="192"/>
      <c r="K456" s="192"/>
      <c r="L456" s="192"/>
      <c r="M456" s="192"/>
    </row>
    <row r="457" spans="1:13" s="45" customFormat="1" ht="15" customHeight="1" x14ac:dyDescent="0.25">
      <c r="A457" s="60"/>
      <c r="B457" s="173"/>
      <c r="C457" s="48"/>
      <c r="D457" s="58"/>
      <c r="E457" s="50"/>
      <c r="F457" s="51"/>
      <c r="H457" s="192"/>
      <c r="I457" s="192"/>
      <c r="J457" s="192"/>
      <c r="K457" s="192"/>
      <c r="L457" s="192"/>
      <c r="M457" s="192"/>
    </row>
    <row r="458" spans="1:13" s="45" customFormat="1" ht="15" customHeight="1" x14ac:dyDescent="0.25">
      <c r="A458" s="60"/>
      <c r="B458" s="174"/>
      <c r="C458" s="48"/>
      <c r="D458" s="58"/>
      <c r="E458" s="50"/>
      <c r="F458" s="51"/>
      <c r="H458" s="192"/>
      <c r="I458" s="192"/>
      <c r="J458" s="192"/>
      <c r="K458" s="192"/>
      <c r="L458" s="192"/>
      <c r="M458" s="192"/>
    </row>
    <row r="459" spans="1:13" s="45" customFormat="1" ht="15" customHeight="1" x14ac:dyDescent="0.25">
      <c r="A459" s="52"/>
      <c r="B459" s="173"/>
      <c r="C459" s="48"/>
      <c r="D459" s="58"/>
      <c r="E459" s="50"/>
      <c r="F459" s="51"/>
      <c r="H459" s="192"/>
      <c r="I459" s="192"/>
      <c r="J459" s="192"/>
      <c r="K459" s="192"/>
      <c r="L459" s="192"/>
      <c r="M459" s="192"/>
    </row>
    <row r="460" spans="1:13" s="45" customFormat="1" ht="15" customHeight="1" x14ac:dyDescent="0.25">
      <c r="A460" s="60"/>
      <c r="B460" s="173"/>
      <c r="C460" s="48"/>
      <c r="D460" s="58"/>
      <c r="E460" s="50"/>
      <c r="F460" s="51"/>
      <c r="H460" s="192"/>
      <c r="I460" s="192"/>
      <c r="J460" s="192"/>
      <c r="K460" s="192"/>
      <c r="L460" s="192"/>
      <c r="M460" s="192"/>
    </row>
    <row r="461" spans="1:13" s="45" customFormat="1" ht="15" customHeight="1" x14ac:dyDescent="0.25">
      <c r="A461" s="60"/>
      <c r="B461" s="173"/>
      <c r="C461" s="48"/>
      <c r="D461" s="58"/>
      <c r="E461" s="50"/>
      <c r="F461" s="51"/>
      <c r="H461" s="192"/>
      <c r="I461" s="192"/>
      <c r="J461" s="192"/>
      <c r="K461" s="192"/>
      <c r="L461" s="192"/>
      <c r="M461" s="192"/>
    </row>
    <row r="462" spans="1:13" s="45" customFormat="1" ht="15" customHeight="1" x14ac:dyDescent="0.25">
      <c r="A462" s="60"/>
      <c r="B462" s="61"/>
      <c r="C462" s="48"/>
      <c r="D462" s="58"/>
      <c r="E462" s="50"/>
      <c r="F462" s="51"/>
      <c r="H462" s="192"/>
      <c r="I462" s="192"/>
      <c r="J462" s="192"/>
      <c r="K462" s="192"/>
      <c r="L462" s="192"/>
      <c r="M462" s="192"/>
    </row>
    <row r="463" spans="1:13" s="45" customFormat="1" ht="15" customHeight="1" x14ac:dyDescent="0.25">
      <c r="A463" s="148"/>
      <c r="B463" s="102" t="s">
        <v>202</v>
      </c>
      <c r="C463" s="64"/>
      <c r="D463" s="175">
        <v>0</v>
      </c>
      <c r="E463" s="66"/>
      <c r="F463" s="67"/>
      <c r="H463" s="192"/>
      <c r="I463" s="192"/>
      <c r="J463" s="192"/>
      <c r="K463" s="192"/>
      <c r="L463" s="192"/>
      <c r="M463" s="192"/>
    </row>
    <row r="464" spans="1:13" s="45" customFormat="1" ht="15" customHeight="1" x14ac:dyDescent="0.25">
      <c r="A464" s="104"/>
      <c r="B464" s="69" t="s">
        <v>203</v>
      </c>
      <c r="C464" s="70"/>
      <c r="D464" s="71"/>
      <c r="E464" s="72"/>
      <c r="F464" s="73"/>
      <c r="H464" s="192"/>
      <c r="I464" s="192"/>
      <c r="J464" s="192"/>
      <c r="K464" s="192"/>
      <c r="L464" s="192"/>
      <c r="M464" s="192"/>
    </row>
    <row r="465" spans="1:13" s="45" customFormat="1" ht="15" customHeight="1" x14ac:dyDescent="0.25">
      <c r="A465" s="109"/>
      <c r="B465" s="40" t="s">
        <v>204</v>
      </c>
      <c r="C465" s="133"/>
      <c r="D465" s="139"/>
      <c r="E465" s="135"/>
      <c r="F465" s="136"/>
      <c r="H465" s="192"/>
      <c r="I465" s="192"/>
      <c r="J465" s="192"/>
      <c r="K465" s="192"/>
      <c r="L465" s="192"/>
      <c r="M465" s="192"/>
    </row>
    <row r="466" spans="1:13" s="45" customFormat="1" ht="15" customHeight="1" x14ac:dyDescent="0.25">
      <c r="A466" s="52"/>
      <c r="B466" s="164" t="s">
        <v>104</v>
      </c>
      <c r="C466" s="48"/>
      <c r="D466" s="57"/>
      <c r="E466" s="50"/>
      <c r="F466" s="59"/>
      <c r="H466" s="192"/>
      <c r="I466" s="192"/>
      <c r="J466" s="192"/>
      <c r="K466" s="192"/>
      <c r="L466" s="192"/>
      <c r="M466" s="192"/>
    </row>
    <row r="467" spans="1:13" s="45" customFormat="1" ht="15" customHeight="1" x14ac:dyDescent="0.25">
      <c r="A467" s="52"/>
      <c r="B467" s="206"/>
      <c r="C467" s="48"/>
      <c r="D467" s="57"/>
      <c r="E467" s="50"/>
      <c r="F467" s="59"/>
      <c r="H467" s="192"/>
      <c r="I467" s="192"/>
      <c r="J467" s="192"/>
      <c r="K467" s="192"/>
      <c r="L467" s="192"/>
      <c r="M467" s="192"/>
    </row>
    <row r="468" spans="1:13" s="45" customFormat="1" ht="15" customHeight="1" x14ac:dyDescent="0.25">
      <c r="A468" s="52"/>
      <c r="B468" s="206"/>
      <c r="C468" s="48"/>
      <c r="D468" s="57"/>
      <c r="E468" s="50"/>
      <c r="F468" s="59"/>
      <c r="H468" s="192"/>
      <c r="I468" s="192"/>
      <c r="J468" s="192"/>
      <c r="K468" s="192"/>
      <c r="L468" s="192"/>
      <c r="M468" s="192"/>
    </row>
    <row r="469" spans="1:13" s="45" customFormat="1" ht="15" customHeight="1" x14ac:dyDescent="0.25">
      <c r="A469" s="52"/>
      <c r="B469" s="206"/>
      <c r="C469" s="48"/>
      <c r="D469" s="57"/>
      <c r="E469" s="50"/>
      <c r="F469" s="59"/>
      <c r="H469" s="192"/>
      <c r="I469" s="192"/>
      <c r="J469" s="192"/>
      <c r="K469" s="192"/>
      <c r="L469" s="192"/>
      <c r="M469" s="192"/>
    </row>
    <row r="470" spans="1:13" s="45" customFormat="1" ht="15" customHeight="1" x14ac:dyDescent="0.25">
      <c r="A470" s="52"/>
      <c r="B470" s="206"/>
      <c r="C470" s="48"/>
      <c r="D470" s="57"/>
      <c r="E470" s="50"/>
      <c r="F470" s="59"/>
      <c r="H470" s="192"/>
      <c r="I470" s="192"/>
      <c r="J470" s="192"/>
      <c r="K470" s="192"/>
      <c r="L470" s="192"/>
      <c r="M470" s="192"/>
    </row>
    <row r="471" spans="1:13" s="45" customFormat="1" ht="15" customHeight="1" x14ac:dyDescent="0.25">
      <c r="A471" s="52"/>
      <c r="B471" s="206"/>
      <c r="C471" s="48"/>
      <c r="D471" s="57"/>
      <c r="E471" s="50"/>
      <c r="F471" s="59"/>
      <c r="H471" s="192"/>
      <c r="I471" s="192"/>
      <c r="J471" s="192"/>
      <c r="K471" s="192"/>
      <c r="L471" s="192"/>
      <c r="M471" s="192"/>
    </row>
    <row r="472" spans="1:13" s="45" customFormat="1" ht="15" customHeight="1" x14ac:dyDescent="0.25">
      <c r="A472" s="52"/>
      <c r="B472" s="206"/>
      <c r="C472" s="48"/>
      <c r="D472" s="57"/>
      <c r="E472" s="50"/>
      <c r="F472" s="59"/>
      <c r="H472" s="192"/>
      <c r="I472" s="192"/>
      <c r="J472" s="192"/>
      <c r="K472" s="192"/>
      <c r="L472" s="192"/>
      <c r="M472" s="192"/>
    </row>
    <row r="473" spans="1:13" s="45" customFormat="1" ht="15" customHeight="1" x14ac:dyDescent="0.25">
      <c r="A473" s="52"/>
      <c r="B473" s="206"/>
      <c r="C473" s="48"/>
      <c r="D473" s="57"/>
      <c r="E473" s="50"/>
      <c r="F473" s="59"/>
      <c r="H473" s="192"/>
      <c r="I473" s="192"/>
      <c r="J473" s="192"/>
      <c r="K473" s="192"/>
      <c r="L473" s="192"/>
      <c r="M473" s="192"/>
    </row>
    <row r="474" spans="1:13" s="45" customFormat="1" ht="15" customHeight="1" x14ac:dyDescent="0.25">
      <c r="A474" s="52"/>
      <c r="B474" s="206"/>
      <c r="C474" s="48"/>
      <c r="D474" s="57"/>
      <c r="E474" s="50"/>
      <c r="F474" s="59"/>
      <c r="H474" s="192"/>
      <c r="I474" s="192"/>
      <c r="J474" s="192"/>
      <c r="K474" s="192"/>
      <c r="L474" s="192"/>
      <c r="M474" s="192"/>
    </row>
    <row r="475" spans="1:13" s="45" customFormat="1" ht="15" customHeight="1" x14ac:dyDescent="0.25">
      <c r="A475" s="52"/>
      <c r="B475" s="206"/>
      <c r="C475" s="48"/>
      <c r="D475" s="57"/>
      <c r="E475" s="50"/>
      <c r="F475" s="59"/>
      <c r="H475" s="192"/>
      <c r="I475" s="192"/>
      <c r="J475" s="192"/>
      <c r="K475" s="192"/>
      <c r="L475" s="192"/>
      <c r="M475" s="192"/>
    </row>
    <row r="476" spans="1:13" s="45" customFormat="1" ht="15" customHeight="1" x14ac:dyDescent="0.25">
      <c r="A476" s="52"/>
      <c r="B476" s="206"/>
      <c r="C476" s="48"/>
      <c r="D476" s="57"/>
      <c r="E476" s="50"/>
      <c r="F476" s="59"/>
      <c r="H476" s="192"/>
      <c r="I476" s="192"/>
      <c r="J476" s="192"/>
      <c r="K476" s="192"/>
      <c r="L476" s="192"/>
      <c r="M476" s="192"/>
    </row>
    <row r="477" spans="1:13" s="45" customFormat="1" ht="15" customHeight="1" x14ac:dyDescent="0.25">
      <c r="A477" s="52"/>
      <c r="B477" s="206"/>
      <c r="C477" s="48"/>
      <c r="D477" s="57"/>
      <c r="E477" s="50"/>
      <c r="F477" s="59"/>
      <c r="H477" s="192"/>
      <c r="I477" s="192"/>
      <c r="J477" s="192"/>
      <c r="K477" s="192"/>
      <c r="L477" s="192"/>
      <c r="M477" s="192"/>
    </row>
    <row r="478" spans="1:13" s="45" customFormat="1" ht="15" customHeight="1" x14ac:dyDescent="0.25">
      <c r="A478" s="52"/>
      <c r="B478" s="206"/>
      <c r="C478" s="48"/>
      <c r="D478" s="57"/>
      <c r="E478" s="50"/>
      <c r="F478" s="59"/>
      <c r="H478" s="192"/>
      <c r="I478" s="192"/>
      <c r="J478" s="192"/>
      <c r="K478" s="192"/>
      <c r="L478" s="192"/>
      <c r="M478" s="192"/>
    </row>
    <row r="479" spans="1:13" s="45" customFormat="1" ht="15" customHeight="1" x14ac:dyDescent="0.25">
      <c r="A479" s="52"/>
      <c r="B479" s="206"/>
      <c r="C479" s="48"/>
      <c r="D479" s="57"/>
      <c r="E479" s="50"/>
      <c r="F479" s="59"/>
      <c r="H479" s="192"/>
      <c r="I479" s="192"/>
      <c r="J479" s="192"/>
      <c r="K479" s="192"/>
      <c r="L479" s="192"/>
      <c r="M479" s="192"/>
    </row>
    <row r="480" spans="1:13" s="45" customFormat="1" ht="15" customHeight="1" x14ac:dyDescent="0.25">
      <c r="A480" s="52"/>
      <c r="B480" s="206"/>
      <c r="C480" s="48"/>
      <c r="D480" s="57"/>
      <c r="E480" s="50"/>
      <c r="F480" s="59"/>
      <c r="H480" s="192"/>
      <c r="I480" s="192"/>
      <c r="J480" s="192"/>
      <c r="K480" s="192"/>
      <c r="L480" s="192"/>
      <c r="M480" s="192"/>
    </row>
    <row r="481" spans="1:13" s="45" customFormat="1" ht="15" customHeight="1" x14ac:dyDescent="0.25">
      <c r="A481" s="52"/>
      <c r="B481" s="206"/>
      <c r="C481" s="48"/>
      <c r="D481" s="57"/>
      <c r="E481" s="50"/>
      <c r="F481" s="59"/>
      <c r="H481" s="192"/>
      <c r="I481" s="192"/>
      <c r="J481" s="192"/>
      <c r="K481" s="192"/>
      <c r="L481" s="192"/>
      <c r="M481" s="192"/>
    </row>
    <row r="482" spans="1:13" s="45" customFormat="1" ht="15" customHeight="1" x14ac:dyDescent="0.25">
      <c r="A482" s="52"/>
      <c r="B482" s="206"/>
      <c r="C482" s="48"/>
      <c r="D482" s="57"/>
      <c r="E482" s="50"/>
      <c r="F482" s="59"/>
      <c r="H482" s="192"/>
      <c r="I482" s="192"/>
      <c r="J482" s="192"/>
      <c r="K482" s="192"/>
      <c r="L482" s="192"/>
      <c r="M482" s="192"/>
    </row>
    <row r="483" spans="1:13" s="45" customFormat="1" ht="15" customHeight="1" x14ac:dyDescent="0.25">
      <c r="A483" s="52"/>
      <c r="B483" s="206"/>
      <c r="C483" s="48"/>
      <c r="D483" s="57"/>
      <c r="E483" s="50"/>
      <c r="F483" s="59"/>
      <c r="H483" s="192"/>
      <c r="I483" s="192"/>
      <c r="J483" s="192"/>
      <c r="K483" s="192"/>
      <c r="L483" s="192"/>
      <c r="M483" s="192"/>
    </row>
    <row r="484" spans="1:13" s="45" customFormat="1" ht="15" customHeight="1" x14ac:dyDescent="0.25">
      <c r="A484" s="52"/>
      <c r="B484" s="206"/>
      <c r="C484" s="48"/>
      <c r="D484" s="57"/>
      <c r="E484" s="50"/>
      <c r="F484" s="59"/>
      <c r="H484" s="192"/>
      <c r="I484" s="192"/>
      <c r="J484" s="192"/>
      <c r="K484" s="192"/>
      <c r="L484" s="192"/>
      <c r="M484" s="192"/>
    </row>
    <row r="485" spans="1:13" s="45" customFormat="1" ht="15" customHeight="1" x14ac:dyDescent="0.25">
      <c r="A485" s="52"/>
      <c r="B485" s="206"/>
      <c r="C485" s="48"/>
      <c r="D485" s="57"/>
      <c r="E485" s="50"/>
      <c r="F485" s="59"/>
      <c r="H485" s="192"/>
      <c r="I485" s="192"/>
      <c r="J485" s="192"/>
      <c r="K485" s="192"/>
      <c r="L485" s="192"/>
      <c r="M485" s="192"/>
    </row>
    <row r="486" spans="1:13" s="45" customFormat="1" ht="15" customHeight="1" x14ac:dyDescent="0.25">
      <c r="A486" s="60"/>
      <c r="B486" s="172"/>
      <c r="C486" s="48"/>
      <c r="D486" s="57"/>
      <c r="E486" s="50"/>
      <c r="F486" s="59"/>
      <c r="H486" s="192"/>
      <c r="I486" s="192"/>
      <c r="J486" s="192"/>
      <c r="K486" s="192"/>
      <c r="L486" s="192"/>
      <c r="M486" s="192"/>
    </row>
    <row r="487" spans="1:13" s="45" customFormat="1" ht="15" customHeight="1" x14ac:dyDescent="0.25">
      <c r="A487" s="60"/>
      <c r="B487" s="155"/>
      <c r="C487" s="48"/>
      <c r="D487" s="58"/>
      <c r="E487" s="50"/>
      <c r="F487" s="51"/>
      <c r="H487" s="192"/>
      <c r="I487" s="192"/>
      <c r="J487" s="192"/>
      <c r="K487" s="192"/>
      <c r="L487" s="192"/>
      <c r="M487" s="192"/>
    </row>
    <row r="488" spans="1:13" s="45" customFormat="1" ht="15" customHeight="1" x14ac:dyDescent="0.25">
      <c r="A488" s="52"/>
      <c r="B488" s="157"/>
      <c r="C488" s="48"/>
      <c r="D488" s="58"/>
      <c r="E488" s="50"/>
      <c r="F488" s="51"/>
      <c r="H488" s="192"/>
      <c r="I488" s="192"/>
      <c r="J488" s="192"/>
      <c r="K488" s="192"/>
      <c r="L488" s="192"/>
      <c r="M488" s="192"/>
    </row>
    <row r="489" spans="1:13" s="45" customFormat="1" ht="15" customHeight="1" x14ac:dyDescent="0.25">
      <c r="A489" s="60"/>
      <c r="B489" s="157"/>
      <c r="C489" s="48"/>
      <c r="D489" s="58"/>
      <c r="E489" s="50"/>
      <c r="F489" s="51"/>
      <c r="H489" s="192"/>
      <c r="I489" s="192"/>
      <c r="J489" s="192"/>
      <c r="K489" s="192"/>
      <c r="L489" s="192"/>
      <c r="M489" s="192"/>
    </row>
    <row r="490" spans="1:13" s="45" customFormat="1" ht="15" customHeight="1" x14ac:dyDescent="0.25">
      <c r="A490" s="60"/>
      <c r="B490" s="157"/>
      <c r="C490" s="48"/>
      <c r="D490" s="58"/>
      <c r="E490" s="50"/>
      <c r="F490" s="51"/>
      <c r="H490" s="192"/>
      <c r="I490" s="192"/>
      <c r="J490" s="192"/>
      <c r="K490" s="192"/>
      <c r="L490" s="192"/>
      <c r="M490" s="192"/>
    </row>
    <row r="491" spans="1:13" s="45" customFormat="1" ht="15" customHeight="1" x14ac:dyDescent="0.25">
      <c r="A491" s="176"/>
      <c r="B491" s="174"/>
      <c r="C491" s="48"/>
      <c r="D491" s="58"/>
      <c r="E491" s="50"/>
      <c r="F491" s="51"/>
      <c r="H491" s="192"/>
      <c r="I491" s="192"/>
      <c r="J491" s="192"/>
      <c r="K491" s="192"/>
      <c r="L491" s="192"/>
      <c r="M491" s="192"/>
    </row>
    <row r="492" spans="1:13" s="45" customFormat="1" ht="15" customHeight="1" x14ac:dyDescent="0.25">
      <c r="A492" s="60"/>
      <c r="B492" s="174"/>
      <c r="C492" s="48"/>
      <c r="D492" s="58"/>
      <c r="E492" s="50"/>
      <c r="F492" s="51"/>
      <c r="H492" s="192"/>
      <c r="I492" s="192"/>
      <c r="J492" s="192"/>
      <c r="K492" s="192"/>
      <c r="L492" s="192"/>
      <c r="M492" s="192"/>
    </row>
    <row r="493" spans="1:13" s="45" customFormat="1" ht="15" customHeight="1" x14ac:dyDescent="0.25">
      <c r="A493" s="125"/>
      <c r="B493" s="61"/>
      <c r="C493" s="48"/>
      <c r="D493" s="58"/>
      <c r="E493" s="50"/>
      <c r="F493" s="51"/>
      <c r="H493" s="192"/>
      <c r="I493" s="192"/>
      <c r="J493" s="192"/>
      <c r="K493" s="192"/>
      <c r="L493" s="192"/>
      <c r="M493" s="192"/>
    </row>
    <row r="494" spans="1:13" s="45" customFormat="1" ht="15" customHeight="1" x14ac:dyDescent="0.25">
      <c r="A494" s="148"/>
      <c r="B494" s="102" t="s">
        <v>205</v>
      </c>
      <c r="C494" s="64"/>
      <c r="D494" s="175">
        <v>0</v>
      </c>
      <c r="E494" s="66"/>
      <c r="F494" s="67"/>
      <c r="H494" s="192"/>
      <c r="I494" s="192"/>
      <c r="J494" s="192"/>
      <c r="K494" s="192"/>
      <c r="L494" s="192"/>
      <c r="M494" s="192"/>
    </row>
    <row r="495" spans="1:13" s="45" customFormat="1" ht="15" customHeight="1" x14ac:dyDescent="0.25">
      <c r="A495" s="104"/>
      <c r="B495" s="69" t="s">
        <v>131</v>
      </c>
      <c r="C495" s="70"/>
      <c r="D495" s="71"/>
      <c r="E495" s="72"/>
      <c r="F495" s="73"/>
      <c r="H495" s="192"/>
      <c r="I495" s="192"/>
      <c r="J495" s="192"/>
      <c r="K495" s="192"/>
      <c r="L495" s="192"/>
      <c r="M495" s="192"/>
    </row>
    <row r="496" spans="1:13" s="179" customFormat="1" ht="15" customHeight="1" x14ac:dyDescent="0.25">
      <c r="A496" s="177"/>
      <c r="B496" s="181"/>
      <c r="C496" s="178"/>
      <c r="D496" s="197"/>
      <c r="E496" s="180"/>
      <c r="F496" s="180"/>
      <c r="H496" s="194"/>
      <c r="I496" s="194"/>
      <c r="J496" s="194"/>
      <c r="K496" s="194"/>
      <c r="L496" s="194"/>
      <c r="M496" s="194"/>
    </row>
    <row r="497" spans="1:13" s="179" customFormat="1" ht="15" customHeight="1" x14ac:dyDescent="0.25">
      <c r="A497" s="177"/>
      <c r="B497" s="181"/>
      <c r="C497" s="178"/>
      <c r="D497" s="197"/>
      <c r="E497" s="180"/>
      <c r="F497" s="180"/>
      <c r="H497" s="194"/>
      <c r="I497" s="194"/>
      <c r="J497" s="194"/>
      <c r="K497" s="194"/>
      <c r="L497" s="194"/>
      <c r="M497" s="194"/>
    </row>
  </sheetData>
  <mergeCells count="1">
    <mergeCell ref="A1:F1"/>
  </mergeCells>
  <pageMargins left="0.25" right="0.25" top="0.75" bottom="0.75" header="0.3" footer="0.3"/>
  <pageSetup paperSize="9" orientation="portrait" r:id="rId1"/>
  <headerFooter>
    <oddHeader>&amp;R&amp;"Copperplate Gothic Light,Regular"&amp;7BILL OF QUANTITIES / CELL BLOCK</oddHeader>
    <oddFooter>&amp;L&amp;"Copperplate Gothic Light,Regular"&amp;7&amp;K000000INFRASTRUCTURE UNIT
MALDIVES POLICE SERVICE / FINANCE DEPARTMENT&amp;R&amp;"Copperplate Gothic Light,Regular"&amp;7Page &amp;P</oddFooter>
    <firstFooter>&amp;CPage &amp;P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 SHEET</vt:lpstr>
      <vt:lpstr>SUMMERY</vt:lpstr>
      <vt:lpstr>BOQ</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ir_1676</dc:creator>
  <cp:lastModifiedBy>Ali Shareef</cp:lastModifiedBy>
  <cp:lastPrinted>2013-09-30T22:17:04Z</cp:lastPrinted>
  <dcterms:created xsi:type="dcterms:W3CDTF">2009-10-23T12:30:50Z</dcterms:created>
  <dcterms:modified xsi:type="dcterms:W3CDTF">2015-09-30T09:59:40Z</dcterms:modified>
</cp:coreProperties>
</file>