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255" windowWidth="15135" windowHeight="7755" activeTab="2"/>
  </bookViews>
  <sheets>
    <sheet name="Cover" sheetId="3" r:id="rId1"/>
    <sheet name="Summary" sheetId="2" r:id="rId2"/>
    <sheet name="Boq" sheetId="1" r:id="rId3"/>
  </sheets>
  <definedNames>
    <definedName name="_xlnm.Print_Area" localSheetId="2">Boq!$A$1:$G$1414</definedName>
    <definedName name="_xlnm.Print_Area" localSheetId="0">Cover!$A$1:$A$35</definedName>
    <definedName name="_xlnm.Print_Area" localSheetId="1">Summary!$A$1:$C$21</definedName>
    <definedName name="_xlnm.Print_Titles" localSheetId="2">Boq!$3:$3</definedName>
  </definedNames>
  <calcPr calcId="144525"/>
</workbook>
</file>

<file path=xl/calcChain.xml><?xml version="1.0" encoding="utf-8"?>
<calcChain xmlns="http://schemas.openxmlformats.org/spreadsheetml/2006/main">
  <c r="J590" i="1" l="1"/>
  <c r="J593" i="1"/>
  <c r="N593" i="1"/>
  <c r="M593" i="1"/>
  <c r="I593" i="1"/>
  <c r="K593" i="1" s="1"/>
  <c r="O593" i="1" s="1"/>
  <c r="P593" i="1" s="1"/>
  <c r="J592" i="1"/>
  <c r="I592" i="1"/>
  <c r="I591" i="1"/>
  <c r="I590" i="1"/>
  <c r="L590" i="1" s="1"/>
  <c r="M590" i="1" s="1"/>
  <c r="K174" i="1" l="1"/>
  <c r="G1077" i="1" l="1"/>
  <c r="G1076" i="1"/>
  <c r="G1075" i="1"/>
  <c r="G1074" i="1"/>
  <c r="D1073" i="1"/>
  <c r="G1073" i="1" s="1"/>
  <c r="G1072" i="1"/>
  <c r="D1071" i="1"/>
  <c r="G1071" i="1" s="1"/>
  <c r="D1070" i="1"/>
  <c r="G1070" i="1" s="1"/>
  <c r="D1069" i="1"/>
  <c r="G1069" i="1" s="1"/>
  <c r="D1068" i="1"/>
  <c r="G1068" i="1" s="1"/>
  <c r="G1067" i="1"/>
  <c r="G1066" i="1"/>
  <c r="G1064" i="1"/>
  <c r="G1063" i="1"/>
  <c r="G1059" i="1"/>
  <c r="G1058" i="1"/>
  <c r="G1057" i="1"/>
  <c r="G1056" i="1"/>
  <c r="D1055" i="1"/>
  <c r="G1055" i="1" s="1"/>
  <c r="G1054" i="1"/>
  <c r="D1053" i="1"/>
  <c r="G1053" i="1" s="1"/>
  <c r="D1052" i="1"/>
  <c r="G1052" i="1" s="1"/>
  <c r="D1051" i="1"/>
  <c r="G1051" i="1" s="1"/>
  <c r="D1050" i="1"/>
  <c r="G1050" i="1" s="1"/>
  <c r="G1049" i="1"/>
  <c r="G1048" i="1"/>
  <c r="G1046" i="1"/>
  <c r="G1045" i="1"/>
  <c r="G737" i="1"/>
  <c r="G738" i="1"/>
  <c r="G739" i="1"/>
  <c r="G1292" i="1"/>
  <c r="G1291" i="1"/>
  <c r="G1290" i="1"/>
  <c r="G1289" i="1"/>
  <c r="G1288" i="1"/>
  <c r="G1287" i="1"/>
  <c r="G1286" i="1"/>
  <c r="G1284" i="1"/>
  <c r="G1283" i="1"/>
  <c r="G1282" i="1"/>
  <c r="G1281" i="1"/>
  <c r="G1280" i="1"/>
  <c r="G1279" i="1"/>
  <c r="G1278" i="1"/>
  <c r="D1237" i="1"/>
  <c r="G1237" i="1" s="1"/>
  <c r="D1236" i="1"/>
  <c r="G1236" i="1" s="1"/>
  <c r="D1235" i="1"/>
  <c r="G1235" i="1" s="1"/>
  <c r="D1234" i="1"/>
  <c r="G1234" i="1" s="1"/>
  <c r="D1233" i="1"/>
  <c r="G1233" i="1" s="1"/>
  <c r="D1232" i="1"/>
  <c r="G1232" i="1" s="1"/>
  <c r="D1231" i="1"/>
  <c r="G1231" i="1" s="1"/>
  <c r="D1230" i="1"/>
  <c r="G1230" i="1" s="1"/>
  <c r="G1229" i="1"/>
  <c r="G1228" i="1"/>
  <c r="G1227" i="1"/>
  <c r="G1226" i="1"/>
  <c r="G1225" i="1"/>
  <c r="G1224" i="1"/>
  <c r="G1223" i="1"/>
  <c r="D1222" i="1"/>
  <c r="G1222" i="1" s="1"/>
  <c r="G1221" i="1"/>
  <c r="G1220" i="1"/>
  <c r="G1219" i="1"/>
  <c r="G1218" i="1"/>
  <c r="G1217" i="1"/>
  <c r="G1216" i="1"/>
  <c r="G1215" i="1"/>
  <c r="G1214" i="1"/>
  <c r="G1213" i="1"/>
  <c r="G1212" i="1"/>
  <c r="G1211" i="1"/>
  <c r="G1210" i="1"/>
  <c r="G1209" i="1"/>
  <c r="G1208" i="1"/>
  <c r="G1207" i="1"/>
  <c r="D1204" i="1"/>
  <c r="G1204" i="1" s="1"/>
  <c r="D1203" i="1"/>
  <c r="G1203" i="1" s="1"/>
  <c r="D1202" i="1"/>
  <c r="G1202" i="1" s="1"/>
  <c r="D1201" i="1"/>
  <c r="G1201" i="1" s="1"/>
  <c r="D1200" i="1"/>
  <c r="G1200" i="1" s="1"/>
  <c r="D1199" i="1"/>
  <c r="G1199" i="1" s="1"/>
  <c r="D1198" i="1"/>
  <c r="G1198" i="1" s="1"/>
  <c r="D1197" i="1"/>
  <c r="G1197" i="1" s="1"/>
  <c r="G1196" i="1"/>
  <c r="G1195" i="1"/>
  <c r="G1194" i="1"/>
  <c r="G1193" i="1"/>
  <c r="G1192" i="1"/>
  <c r="G1191" i="1"/>
  <c r="G1190" i="1"/>
  <c r="D1189" i="1"/>
  <c r="G1189" i="1" s="1"/>
  <c r="G1188" i="1"/>
  <c r="G1187" i="1"/>
  <c r="G1186" i="1"/>
  <c r="G1185" i="1"/>
  <c r="G1184" i="1"/>
  <c r="G1183" i="1"/>
  <c r="G1182" i="1"/>
  <c r="G1181" i="1"/>
  <c r="G1180" i="1"/>
  <c r="G1179" i="1"/>
  <c r="G1178" i="1"/>
  <c r="G1177" i="1"/>
  <c r="G1176" i="1"/>
  <c r="G1175" i="1"/>
  <c r="G1174" i="1"/>
  <c r="D1166" i="1"/>
  <c r="G1166" i="1" s="1"/>
  <c r="D1171" i="1"/>
  <c r="G1171" i="1" s="1"/>
  <c r="D1170" i="1"/>
  <c r="G1170" i="1" s="1"/>
  <c r="D1169" i="1"/>
  <c r="G1169" i="1" s="1"/>
  <c r="D1168" i="1"/>
  <c r="G1168" i="1" s="1"/>
  <c r="D1167" i="1"/>
  <c r="G1167" i="1" s="1"/>
  <c r="D1165" i="1"/>
  <c r="G1165" i="1" s="1"/>
  <c r="D1164" i="1"/>
  <c r="G1164" i="1" s="1"/>
  <c r="G1163" i="1"/>
  <c r="G1162" i="1"/>
  <c r="G1161" i="1"/>
  <c r="G1160" i="1"/>
  <c r="G1159" i="1"/>
  <c r="G1158" i="1"/>
  <c r="G1157" i="1"/>
  <c r="D1156" i="1"/>
  <c r="G1156" i="1" s="1"/>
  <c r="G1155" i="1"/>
  <c r="G1154" i="1"/>
  <c r="G1153" i="1"/>
  <c r="G1152" i="1"/>
  <c r="G1151" i="1"/>
  <c r="G1150" i="1"/>
  <c r="G1149" i="1"/>
  <c r="G1148" i="1"/>
  <c r="D1128" i="1"/>
  <c r="D1127" i="1"/>
  <c r="G1115" i="1"/>
  <c r="G31" i="1"/>
  <c r="G30" i="1"/>
  <c r="K125" i="1"/>
  <c r="L125" i="1" s="1"/>
  <c r="I73" i="1"/>
  <c r="J470" i="1"/>
  <c r="I470" i="1"/>
  <c r="I472" i="1"/>
  <c r="J472" i="1" s="1"/>
  <c r="J477" i="1"/>
  <c r="I477" i="1"/>
  <c r="G945" i="1"/>
  <c r="J737" i="1"/>
  <c r="I737" i="1"/>
  <c r="I736" i="1"/>
  <c r="G736" i="1"/>
  <c r="D1032" i="1"/>
  <c r="I970" i="1"/>
  <c r="I965" i="1"/>
  <c r="I964" i="1"/>
  <c r="D899" i="1"/>
  <c r="G899" i="1" s="1"/>
  <c r="G898" i="1"/>
  <c r="G897" i="1"/>
  <c r="G894" i="1"/>
  <c r="G893" i="1"/>
  <c r="G892" i="1"/>
  <c r="D882" i="1"/>
  <c r="I842" i="1"/>
  <c r="I838" i="1"/>
  <c r="K838" i="1" s="1"/>
  <c r="I839" i="1"/>
  <c r="I833" i="1"/>
  <c r="D743" i="1"/>
  <c r="D742" i="1"/>
  <c r="G642" i="1"/>
  <c r="G733" i="1"/>
  <c r="D744" i="1"/>
  <c r="G744" i="1" s="1"/>
  <c r="G729" i="1"/>
  <c r="G727" i="1"/>
  <c r="G726" i="1"/>
  <c r="G725" i="1"/>
  <c r="G722" i="1"/>
  <c r="G720" i="1"/>
  <c r="G718" i="1"/>
  <c r="G716" i="1"/>
  <c r="G712" i="1"/>
  <c r="G710" i="1"/>
  <c r="G709" i="1"/>
  <c r="G708" i="1"/>
  <c r="G705" i="1"/>
  <c r="G703" i="1"/>
  <c r="G701" i="1"/>
  <c r="G699" i="1"/>
  <c r="I694" i="1"/>
  <c r="I692" i="1"/>
  <c r="K691" i="1"/>
  <c r="I691" i="1"/>
  <c r="J691" i="1" s="1"/>
  <c r="K690" i="1"/>
  <c r="I690" i="1"/>
  <c r="J690" i="1" s="1"/>
  <c r="G687" i="1"/>
  <c r="I677" i="1"/>
  <c r="D672" i="1"/>
  <c r="G640" i="1"/>
  <c r="G639" i="1"/>
  <c r="G638" i="1"/>
  <c r="G636" i="1"/>
  <c r="G635" i="1"/>
  <c r="G634" i="1"/>
  <c r="G633" i="1"/>
  <c r="G632" i="1"/>
  <c r="G631" i="1"/>
  <c r="G630" i="1"/>
  <c r="I628" i="1"/>
  <c r="G628" i="1"/>
  <c r="G627" i="1"/>
  <c r="I626" i="1"/>
  <c r="J620" i="1"/>
  <c r="I620" i="1"/>
  <c r="I621" i="1"/>
  <c r="J621" i="1" s="1"/>
  <c r="G593" i="1"/>
  <c r="G592" i="1"/>
  <c r="G591" i="1"/>
  <c r="G590" i="1"/>
  <c r="G587" i="1"/>
  <c r="G586" i="1"/>
  <c r="G585" i="1"/>
  <c r="G584" i="1"/>
  <c r="N579" i="1"/>
  <c r="P578" i="1"/>
  <c r="N578" i="1"/>
  <c r="O578" i="1" s="1"/>
  <c r="M572" i="1"/>
  <c r="M575" i="1"/>
  <c r="N587" i="1"/>
  <c r="M587" i="1"/>
  <c r="I587" i="1"/>
  <c r="J587" i="1" s="1"/>
  <c r="K587" i="1" s="1"/>
  <c r="I586" i="1"/>
  <c r="J586" i="1" s="1"/>
  <c r="I585" i="1"/>
  <c r="I584" i="1"/>
  <c r="J584" i="1" s="1"/>
  <c r="L584" i="1" s="1"/>
  <c r="M584" i="1" s="1"/>
  <c r="I618" i="1"/>
  <c r="I941" i="1"/>
  <c r="G941" i="1"/>
  <c r="I939" i="1"/>
  <c r="G939" i="1"/>
  <c r="G938" i="1"/>
  <c r="I932" i="1"/>
  <c r="G932" i="1"/>
  <c r="G931" i="1"/>
  <c r="I934" i="1"/>
  <c r="I578" i="1"/>
  <c r="J578" i="1" s="1"/>
  <c r="L578" i="1" s="1"/>
  <c r="I581" i="1"/>
  <c r="J581" i="1" s="1"/>
  <c r="K581" i="1" s="1"/>
  <c r="I575" i="1"/>
  <c r="J575" i="1" s="1"/>
  <c r="K575" i="1" s="1"/>
  <c r="N581" i="1"/>
  <c r="M581" i="1"/>
  <c r="I580" i="1"/>
  <c r="J580" i="1" s="1"/>
  <c r="I579" i="1"/>
  <c r="L558" i="1"/>
  <c r="K558" i="1"/>
  <c r="I558" i="1"/>
  <c r="J558" i="1" s="1"/>
  <c r="G558" i="1"/>
  <c r="I557" i="1"/>
  <c r="J557" i="1" s="1"/>
  <c r="G557" i="1"/>
  <c r="G556" i="1"/>
  <c r="I555" i="1"/>
  <c r="G555" i="1"/>
  <c r="N554" i="1"/>
  <c r="I554" i="1"/>
  <c r="J554" i="1" s="1"/>
  <c r="L554" i="1" s="1"/>
  <c r="M554" i="1" s="1"/>
  <c r="G554" i="1"/>
  <c r="G553" i="1"/>
  <c r="L550" i="1"/>
  <c r="K550" i="1"/>
  <c r="I550" i="1"/>
  <c r="J550" i="1" s="1"/>
  <c r="G550" i="1"/>
  <c r="I549" i="1"/>
  <c r="J549" i="1" s="1"/>
  <c r="G549" i="1"/>
  <c r="G548" i="1"/>
  <c r="I547" i="1"/>
  <c r="G547" i="1"/>
  <c r="N546" i="1"/>
  <c r="I546" i="1"/>
  <c r="J546" i="1" s="1"/>
  <c r="L546" i="1" s="1"/>
  <c r="M546" i="1" s="1"/>
  <c r="G546" i="1"/>
  <c r="G545" i="1"/>
  <c r="L542" i="1"/>
  <c r="K542" i="1"/>
  <c r="I542" i="1"/>
  <c r="J542" i="1" s="1"/>
  <c r="I541" i="1"/>
  <c r="J541" i="1" s="1"/>
  <c r="N538" i="1"/>
  <c r="I538" i="1"/>
  <c r="J538" i="1" s="1"/>
  <c r="I539" i="1"/>
  <c r="N575" i="1"/>
  <c r="I572" i="1"/>
  <c r="J572" i="1" s="1"/>
  <c r="L572" i="1" s="1"/>
  <c r="Q572" i="1"/>
  <c r="O572" i="1"/>
  <c r="P572" i="1" s="1"/>
  <c r="J534" i="1"/>
  <c r="L534" i="1" s="1"/>
  <c r="I533" i="1"/>
  <c r="J533" i="1" s="1"/>
  <c r="I531" i="1"/>
  <c r="M530" i="1"/>
  <c r="I530" i="1"/>
  <c r="J530" i="1" s="1"/>
  <c r="L530" i="1" s="1"/>
  <c r="I777" i="1"/>
  <c r="I776" i="1"/>
  <c r="I775" i="1"/>
  <c r="I773" i="1"/>
  <c r="J773" i="1" s="1"/>
  <c r="I772" i="1"/>
  <c r="J772" i="1" s="1"/>
  <c r="I771" i="1"/>
  <c r="I764" i="1"/>
  <c r="I763" i="1"/>
  <c r="I761" i="1"/>
  <c r="L842" i="1"/>
  <c r="M842" i="1" s="1"/>
  <c r="G838" i="1"/>
  <c r="G837" i="1"/>
  <c r="K737" i="1" l="1"/>
  <c r="L691" i="1"/>
  <c r="N572" i="1"/>
  <c r="I573" i="1" s="1"/>
  <c r="J573" i="1" s="1"/>
  <c r="D637" i="1"/>
  <c r="G637" i="1" s="1"/>
  <c r="M550" i="1"/>
  <c r="N550" i="1" s="1"/>
  <c r="O550" i="1" s="1"/>
  <c r="O575" i="1"/>
  <c r="P575" i="1" s="1"/>
  <c r="M578" i="1"/>
  <c r="M579" i="1"/>
  <c r="O579" i="1" s="1"/>
  <c r="P579" i="1" s="1"/>
  <c r="N530" i="1"/>
  <c r="O530" i="1" s="1"/>
  <c r="O587" i="1"/>
  <c r="P587" i="1" s="1"/>
  <c r="O581" i="1"/>
  <c r="P581" i="1" s="1"/>
  <c r="M542" i="1"/>
  <c r="N542" i="1" s="1"/>
  <c r="O542" i="1" s="1"/>
  <c r="M558" i="1"/>
  <c r="N558" i="1" s="1"/>
  <c r="O558" i="1" s="1"/>
  <c r="K778" i="1"/>
  <c r="G809" i="1"/>
  <c r="I807" i="1"/>
  <c r="J807" i="1" s="1"/>
  <c r="G807" i="1"/>
  <c r="I806" i="1"/>
  <c r="J806" i="1" s="1"/>
  <c r="G806" i="1"/>
  <c r="I805" i="1"/>
  <c r="J805" i="1" s="1"/>
  <c r="G805" i="1"/>
  <c r="J804" i="1"/>
  <c r="G802" i="1"/>
  <c r="G801" i="1"/>
  <c r="I800" i="1"/>
  <c r="J800" i="1" s="1"/>
  <c r="G800" i="1"/>
  <c r="G796" i="1"/>
  <c r="I794" i="1"/>
  <c r="J794" i="1" s="1"/>
  <c r="G794" i="1"/>
  <c r="I793" i="1"/>
  <c r="J793" i="1" s="1"/>
  <c r="G793" i="1"/>
  <c r="I792" i="1"/>
  <c r="J792" i="1" s="1"/>
  <c r="G792" i="1"/>
  <c r="J791" i="1"/>
  <c r="G789" i="1"/>
  <c r="G788" i="1"/>
  <c r="I787" i="1"/>
  <c r="J787" i="1" s="1"/>
  <c r="G787" i="1"/>
  <c r="G773" i="1"/>
  <c r="G772" i="1"/>
  <c r="G771" i="1"/>
  <c r="I465" i="1"/>
  <c r="L463" i="1"/>
  <c r="L464" i="1" s="1"/>
  <c r="K463" i="1"/>
  <c r="J463" i="1"/>
  <c r="J464" i="1" s="1"/>
  <c r="I179" i="1"/>
  <c r="J258" i="1"/>
  <c r="I258" i="1"/>
  <c r="K460" i="1"/>
  <c r="L460" i="1" s="1"/>
  <c r="M460" i="1" s="1"/>
  <c r="K177" i="1"/>
  <c r="K256" i="1"/>
  <c r="I256" i="1"/>
  <c r="J256" i="1" s="1"/>
  <c r="L456" i="1"/>
  <c r="K456" i="1"/>
  <c r="K452" i="1"/>
  <c r="L452" i="1"/>
  <c r="M463" i="1" l="1"/>
  <c r="L792" i="1"/>
  <c r="L805" i="1"/>
  <c r="J808" i="1"/>
  <c r="K808" i="1" s="1"/>
  <c r="J795" i="1"/>
  <c r="K795" i="1" s="1"/>
  <c r="K464" i="1"/>
  <c r="M464" i="1" s="1"/>
  <c r="N464" i="1" s="1"/>
  <c r="I461" i="1"/>
  <c r="G461" i="1"/>
  <c r="I460" i="1"/>
  <c r="G460" i="1"/>
  <c r="I457" i="1"/>
  <c r="G457" i="1"/>
  <c r="M456" i="1"/>
  <c r="N456" i="1" s="1"/>
  <c r="O456" i="1" s="1"/>
  <c r="I456" i="1"/>
  <c r="G456" i="1"/>
  <c r="G465" i="1"/>
  <c r="I464" i="1"/>
  <c r="I466" i="1" s="1"/>
  <c r="D463" i="1" s="1"/>
  <c r="D466" i="1" s="1"/>
  <c r="G466" i="1" s="1"/>
  <c r="G464" i="1"/>
  <c r="I453" i="1"/>
  <c r="G453" i="1"/>
  <c r="M452" i="1"/>
  <c r="N452" i="1" s="1"/>
  <c r="I452" i="1"/>
  <c r="G452" i="1"/>
  <c r="I449" i="1"/>
  <c r="G449" i="1"/>
  <c r="K448" i="1"/>
  <c r="L448" i="1" s="1"/>
  <c r="M448" i="1" s="1"/>
  <c r="I448" i="1"/>
  <c r="G448" i="1"/>
  <c r="I442" i="1"/>
  <c r="G442" i="1"/>
  <c r="J441" i="1"/>
  <c r="K441" i="1" s="1"/>
  <c r="I441" i="1"/>
  <c r="G441" i="1"/>
  <c r="I438" i="1"/>
  <c r="G438" i="1"/>
  <c r="J437" i="1"/>
  <c r="I437" i="1"/>
  <c r="G437" i="1"/>
  <c r="I434" i="1"/>
  <c r="G434" i="1"/>
  <c r="J433" i="1"/>
  <c r="I433" i="1"/>
  <c r="G433" i="1"/>
  <c r="I430" i="1"/>
  <c r="G430" i="1"/>
  <c r="J429" i="1"/>
  <c r="I429" i="1"/>
  <c r="G429" i="1"/>
  <c r="I426" i="1"/>
  <c r="G426" i="1"/>
  <c r="M425" i="1"/>
  <c r="N425" i="1" s="1"/>
  <c r="L425" i="1"/>
  <c r="J425" i="1"/>
  <c r="I425" i="1"/>
  <c r="G425" i="1"/>
  <c r="I418" i="1"/>
  <c r="G418" i="1"/>
  <c r="I417" i="1"/>
  <c r="G417" i="1"/>
  <c r="O416" i="1"/>
  <c r="M416" i="1"/>
  <c r="K416" i="1"/>
  <c r="J416" i="1"/>
  <c r="I414" i="1"/>
  <c r="G414" i="1"/>
  <c r="J413" i="1"/>
  <c r="K413" i="1" s="1"/>
  <c r="I413" i="1"/>
  <c r="G413" i="1"/>
  <c r="I410" i="1"/>
  <c r="G410" i="1"/>
  <c r="J409" i="1"/>
  <c r="K409" i="1" s="1"/>
  <c r="L409" i="1" s="1"/>
  <c r="M409" i="1" s="1"/>
  <c r="I409" i="1"/>
  <c r="G409" i="1"/>
  <c r="G406" i="1"/>
  <c r="I403" i="1"/>
  <c r="I404" i="1" s="1"/>
  <c r="D402" i="1" s="1"/>
  <c r="G403" i="1"/>
  <c r="I400" i="1"/>
  <c r="G400" i="1"/>
  <c r="J399" i="1"/>
  <c r="K399" i="1" s="1"/>
  <c r="I399" i="1"/>
  <c r="G399" i="1"/>
  <c r="I396" i="1"/>
  <c r="G396" i="1"/>
  <c r="J395" i="1"/>
  <c r="I395" i="1"/>
  <c r="G395" i="1"/>
  <c r="I392" i="1"/>
  <c r="G392" i="1"/>
  <c r="J391" i="1"/>
  <c r="I391" i="1"/>
  <c r="G391" i="1"/>
  <c r="I388" i="1"/>
  <c r="G388" i="1"/>
  <c r="J387" i="1"/>
  <c r="I387" i="1"/>
  <c r="G387" i="1"/>
  <c r="I384" i="1"/>
  <c r="G384" i="1"/>
  <c r="M383" i="1"/>
  <c r="N383" i="1" s="1"/>
  <c r="L383" i="1"/>
  <c r="J383" i="1"/>
  <c r="I383" i="1"/>
  <c r="G383" i="1"/>
  <c r="I379" i="1"/>
  <c r="G379" i="1"/>
  <c r="I378" i="1"/>
  <c r="G378" i="1"/>
  <c r="O377" i="1"/>
  <c r="M377" i="1"/>
  <c r="K377" i="1"/>
  <c r="J377" i="1"/>
  <c r="I375" i="1"/>
  <c r="G375" i="1"/>
  <c r="J374" i="1"/>
  <c r="K374" i="1" s="1"/>
  <c r="I374" i="1"/>
  <c r="G374" i="1"/>
  <c r="I371" i="1"/>
  <c r="G371" i="1"/>
  <c r="J370" i="1"/>
  <c r="K370" i="1" s="1"/>
  <c r="L370" i="1" s="1"/>
  <c r="M370" i="1" s="1"/>
  <c r="I370" i="1"/>
  <c r="G370" i="1"/>
  <c r="G367" i="1"/>
  <c r="J335" i="1"/>
  <c r="L335" i="1" s="1"/>
  <c r="M335" i="1" s="1"/>
  <c r="N335" i="1" s="1"/>
  <c r="I163" i="1"/>
  <c r="J331" i="1"/>
  <c r="K331" i="1" s="1"/>
  <c r="L331" i="1" s="1"/>
  <c r="M331" i="1" s="1"/>
  <c r="I340" i="1"/>
  <c r="G340" i="1"/>
  <c r="O338" i="1"/>
  <c r="M338" i="1"/>
  <c r="K338" i="1"/>
  <c r="J338" i="1"/>
  <c r="L132" i="1"/>
  <c r="I365" i="1"/>
  <c r="I366" i="1" s="1"/>
  <c r="D364" i="1" s="1"/>
  <c r="G365" i="1"/>
  <c r="I361" i="1"/>
  <c r="G361" i="1"/>
  <c r="J360" i="1"/>
  <c r="K360" i="1" s="1"/>
  <c r="I360" i="1"/>
  <c r="G360" i="1"/>
  <c r="I357" i="1"/>
  <c r="G357" i="1"/>
  <c r="J356" i="1"/>
  <c r="I356" i="1"/>
  <c r="G356" i="1"/>
  <c r="I353" i="1"/>
  <c r="G353" i="1"/>
  <c r="J352" i="1"/>
  <c r="I352" i="1"/>
  <c r="G352" i="1"/>
  <c r="I349" i="1"/>
  <c r="G349" i="1"/>
  <c r="J348" i="1"/>
  <c r="I348" i="1"/>
  <c r="G348" i="1"/>
  <c r="I345" i="1"/>
  <c r="G345" i="1"/>
  <c r="M344" i="1"/>
  <c r="N344" i="1" s="1"/>
  <c r="L344" i="1"/>
  <c r="J344" i="1"/>
  <c r="I344" i="1"/>
  <c r="G344" i="1"/>
  <c r="M324" i="1"/>
  <c r="N324" i="1" s="1"/>
  <c r="O324" i="1" s="1"/>
  <c r="K325" i="1" s="1"/>
  <c r="L325" i="1" s="1"/>
  <c r="I300" i="1"/>
  <c r="I319" i="1"/>
  <c r="G319" i="1"/>
  <c r="J318" i="1"/>
  <c r="K318" i="1" s="1"/>
  <c r="I318" i="1"/>
  <c r="G318" i="1"/>
  <c r="I315" i="1"/>
  <c r="G315" i="1"/>
  <c r="J314" i="1"/>
  <c r="I314" i="1"/>
  <c r="G314" i="1"/>
  <c r="I311" i="1"/>
  <c r="G311" i="1"/>
  <c r="J310" i="1"/>
  <c r="I310" i="1"/>
  <c r="G310" i="1"/>
  <c r="I307" i="1"/>
  <c r="G307" i="1"/>
  <c r="J306" i="1"/>
  <c r="I306" i="1"/>
  <c r="G306" i="1"/>
  <c r="I301" i="1"/>
  <c r="G301" i="1"/>
  <c r="M300" i="1"/>
  <c r="N300" i="1" s="1"/>
  <c r="L300" i="1"/>
  <c r="J300" i="1"/>
  <c r="G300" i="1"/>
  <c r="I289" i="1"/>
  <c r="J272" i="1"/>
  <c r="K272" i="1" s="1"/>
  <c r="L272" i="1" s="1"/>
  <c r="I290" i="1"/>
  <c r="G290" i="1"/>
  <c r="J289" i="1"/>
  <c r="G289" i="1"/>
  <c r="I286" i="1"/>
  <c r="G286" i="1"/>
  <c r="J285" i="1"/>
  <c r="I285" i="1"/>
  <c r="G285" i="1"/>
  <c r="I269" i="1"/>
  <c r="I268" i="1"/>
  <c r="G268" i="1"/>
  <c r="L377" i="1" l="1"/>
  <c r="N377" i="1" s="1"/>
  <c r="Q377" i="1" s="1"/>
  <c r="K378" i="1" s="1"/>
  <c r="L378" i="1" s="1"/>
  <c r="M378" i="1" s="1"/>
  <c r="N378" i="1" s="1"/>
  <c r="O378" i="1" s="1"/>
  <c r="I350" i="1"/>
  <c r="D347" i="1" s="1"/>
  <c r="D350" i="1" s="1"/>
  <c r="G350" i="1" s="1"/>
  <c r="L416" i="1"/>
  <c r="N416" i="1" s="1"/>
  <c r="Q416" i="1" s="1"/>
  <c r="K417" i="1" s="1"/>
  <c r="L417" i="1" s="1"/>
  <c r="M417" i="1" s="1"/>
  <c r="N417" i="1" s="1"/>
  <c r="O417" i="1" s="1"/>
  <c r="I462" i="1"/>
  <c r="D459" i="1" s="1"/>
  <c r="G459" i="1" s="1"/>
  <c r="O464" i="1"/>
  <c r="P464" i="1" s="1"/>
  <c r="Q464" i="1" s="1"/>
  <c r="I458" i="1"/>
  <c r="D455" i="1" s="1"/>
  <c r="D458" i="1" s="1"/>
  <c r="G458" i="1" s="1"/>
  <c r="I450" i="1"/>
  <c r="D447" i="1" s="1"/>
  <c r="D450" i="1" s="1"/>
  <c r="G450" i="1" s="1"/>
  <c r="I385" i="1"/>
  <c r="D382" i="1" s="1"/>
  <c r="D385" i="1" s="1"/>
  <c r="G385" i="1" s="1"/>
  <c r="I427" i="1"/>
  <c r="D424" i="1" s="1"/>
  <c r="G424" i="1" s="1"/>
  <c r="I302" i="1"/>
  <c r="D299" i="1" s="1"/>
  <c r="G299" i="1" s="1"/>
  <c r="I346" i="1"/>
  <c r="D343" i="1" s="1"/>
  <c r="D346" i="1" s="1"/>
  <c r="G346" i="1" s="1"/>
  <c r="I372" i="1"/>
  <c r="D369" i="1" s="1"/>
  <c r="D372" i="1" s="1"/>
  <c r="G372" i="1" s="1"/>
  <c r="I401" i="1"/>
  <c r="D398" i="1" s="1"/>
  <c r="G398" i="1" s="1"/>
  <c r="I443" i="1"/>
  <c r="D440" i="1" s="1"/>
  <c r="D443" i="1" s="1"/>
  <c r="G443" i="1" s="1"/>
  <c r="I454" i="1"/>
  <c r="D451" i="1" s="1"/>
  <c r="D454" i="1" s="1"/>
  <c r="G454" i="1" s="1"/>
  <c r="D462" i="1"/>
  <c r="G462" i="1" s="1"/>
  <c r="P456" i="1"/>
  <c r="G455" i="1"/>
  <c r="O452" i="1"/>
  <c r="P452" i="1" s="1"/>
  <c r="G463" i="1"/>
  <c r="I376" i="1"/>
  <c r="D373" i="1" s="1"/>
  <c r="D376" i="1" s="1"/>
  <c r="G376" i="1" s="1"/>
  <c r="I415" i="1"/>
  <c r="D412" i="1" s="1"/>
  <c r="D415" i="1" s="1"/>
  <c r="G415" i="1" s="1"/>
  <c r="I431" i="1"/>
  <c r="D428" i="1" s="1"/>
  <c r="D431" i="1" s="1"/>
  <c r="G431" i="1" s="1"/>
  <c r="I358" i="1"/>
  <c r="D355" i="1" s="1"/>
  <c r="D358" i="1" s="1"/>
  <c r="G358" i="1" s="1"/>
  <c r="K335" i="1"/>
  <c r="O335" i="1" s="1"/>
  <c r="P335" i="1" s="1"/>
  <c r="I380" i="1"/>
  <c r="D377" i="1" s="1"/>
  <c r="G377" i="1" s="1"/>
  <c r="I419" i="1"/>
  <c r="D416" i="1" s="1"/>
  <c r="D419" i="1" s="1"/>
  <c r="G419" i="1" s="1"/>
  <c r="I362" i="1"/>
  <c r="D359" i="1" s="1"/>
  <c r="D362" i="1" s="1"/>
  <c r="G362" i="1" s="1"/>
  <c r="I439" i="1"/>
  <c r="D436" i="1" s="1"/>
  <c r="D439" i="1" s="1"/>
  <c r="G439" i="1" s="1"/>
  <c r="I389" i="1"/>
  <c r="D386" i="1" s="1"/>
  <c r="G386" i="1" s="1"/>
  <c r="L413" i="1"/>
  <c r="M413" i="1" s="1"/>
  <c r="N413" i="1" s="1"/>
  <c r="O413" i="1" s="1"/>
  <c r="P413" i="1" s="1"/>
  <c r="I354" i="1"/>
  <c r="D351" i="1" s="1"/>
  <c r="G351" i="1" s="1"/>
  <c r="I393" i="1"/>
  <c r="D390" i="1" s="1"/>
  <c r="G390" i="1" s="1"/>
  <c r="I411" i="1"/>
  <c r="D408" i="1" s="1"/>
  <c r="G408" i="1" s="1"/>
  <c r="L338" i="1"/>
  <c r="N338" i="1" s="1"/>
  <c r="Q338" i="1" s="1"/>
  <c r="K339" i="1" s="1"/>
  <c r="L339" i="1" s="1"/>
  <c r="M339" i="1" s="1"/>
  <c r="N339" i="1" s="1"/>
  <c r="O339" i="1" s="1"/>
  <c r="I397" i="1"/>
  <c r="D394" i="1" s="1"/>
  <c r="G394" i="1" s="1"/>
  <c r="I435" i="1"/>
  <c r="D432" i="1" s="1"/>
  <c r="G432" i="1" s="1"/>
  <c r="G402" i="1"/>
  <c r="D404" i="1"/>
  <c r="G404" i="1" s="1"/>
  <c r="L374" i="1"/>
  <c r="M374" i="1" s="1"/>
  <c r="N374" i="1" s="1"/>
  <c r="O374" i="1" s="1"/>
  <c r="P374" i="1" s="1"/>
  <c r="G364" i="1"/>
  <c r="D366" i="1"/>
  <c r="G366" i="1" s="1"/>
  <c r="I287" i="1"/>
  <c r="D284" i="1" s="1"/>
  <c r="G284" i="1" s="1"/>
  <c r="I316" i="1"/>
  <c r="D313" i="1" s="1"/>
  <c r="D316" i="1" s="1"/>
  <c r="G316" i="1" s="1"/>
  <c r="I320" i="1"/>
  <c r="D317" i="1" s="1"/>
  <c r="D320" i="1" s="1"/>
  <c r="G320" i="1" s="1"/>
  <c r="I312" i="1"/>
  <c r="D309" i="1" s="1"/>
  <c r="D312" i="1" s="1"/>
  <c r="G312" i="1" s="1"/>
  <c r="I308" i="1"/>
  <c r="D305" i="1" s="1"/>
  <c r="G305" i="1" s="1"/>
  <c r="I291" i="1"/>
  <c r="D288" i="1" s="1"/>
  <c r="G288" i="1" s="1"/>
  <c r="G428" i="1" l="1"/>
  <c r="D401" i="1"/>
  <c r="G401" i="1" s="1"/>
  <c r="G373" i="1"/>
  <c r="D427" i="1"/>
  <c r="G427" i="1" s="1"/>
  <c r="G355" i="1"/>
  <c r="G343" i="1"/>
  <c r="G347" i="1"/>
  <c r="D302" i="1"/>
  <c r="G302" i="1" s="1"/>
  <c r="G440" i="1"/>
  <c r="D354" i="1"/>
  <c r="G354" i="1" s="1"/>
  <c r="D397" i="1"/>
  <c r="G397" i="1" s="1"/>
  <c r="D380" i="1"/>
  <c r="G380" i="1" s="1"/>
  <c r="D411" i="1"/>
  <c r="G411" i="1" s="1"/>
  <c r="D389" i="1"/>
  <c r="G389" i="1" s="1"/>
  <c r="D287" i="1"/>
  <c r="G287" i="1" s="1"/>
  <c r="G382" i="1"/>
  <c r="G369" i="1"/>
  <c r="G447" i="1"/>
  <c r="G359" i="1"/>
  <c r="G416" i="1"/>
  <c r="G451" i="1"/>
  <c r="G412" i="1"/>
  <c r="G436" i="1"/>
  <c r="D393" i="1"/>
  <c r="G393" i="1" s="1"/>
  <c r="D435" i="1"/>
  <c r="G435" i="1" s="1"/>
  <c r="D308" i="1"/>
  <c r="G308" i="1" s="1"/>
  <c r="G309" i="1"/>
  <c r="G317" i="1"/>
  <c r="G313" i="1"/>
  <c r="D291" i="1"/>
  <c r="G291" i="1" s="1"/>
  <c r="I294" i="1" l="1"/>
  <c r="G294" i="1"/>
  <c r="J293" i="1"/>
  <c r="K293" i="1" s="1"/>
  <c r="I293" i="1"/>
  <c r="G293" i="1"/>
  <c r="I282" i="1"/>
  <c r="G282" i="1"/>
  <c r="J281" i="1"/>
  <c r="I281" i="1"/>
  <c r="G281" i="1"/>
  <c r="I278" i="1"/>
  <c r="G278" i="1"/>
  <c r="M277" i="1"/>
  <c r="N277" i="1" s="1"/>
  <c r="L277" i="1"/>
  <c r="J277" i="1"/>
  <c r="I277" i="1"/>
  <c r="G277" i="1"/>
  <c r="I272" i="1"/>
  <c r="G272" i="1"/>
  <c r="I267" i="1"/>
  <c r="G267" i="1"/>
  <c r="J269" i="1"/>
  <c r="G269" i="1"/>
  <c r="K258" i="1"/>
  <c r="L255" i="1"/>
  <c r="K255" i="1"/>
  <c r="I255" i="1"/>
  <c r="J255" i="1" s="1"/>
  <c r="I254" i="1"/>
  <c r="J254" i="1" s="1"/>
  <c r="M253" i="1"/>
  <c r="M174" i="1"/>
  <c r="L174" i="1"/>
  <c r="I174" i="1"/>
  <c r="J174" i="1" s="1"/>
  <c r="I253" i="1"/>
  <c r="J253" i="1" s="1"/>
  <c r="G258" i="1"/>
  <c r="G257" i="1"/>
  <c r="G256" i="1"/>
  <c r="G255" i="1"/>
  <c r="G254" i="1"/>
  <c r="K253" i="1"/>
  <c r="L253" i="1" s="1"/>
  <c r="G253" i="1"/>
  <c r="I246" i="1"/>
  <c r="G246" i="1"/>
  <c r="I245" i="1"/>
  <c r="G245" i="1"/>
  <c r="I244" i="1"/>
  <c r="G244" i="1"/>
  <c r="I243" i="1"/>
  <c r="G243" i="1"/>
  <c r="I242" i="1"/>
  <c r="G242" i="1"/>
  <c r="N240" i="1"/>
  <c r="L240" i="1"/>
  <c r="J240" i="1"/>
  <c r="I240" i="1"/>
  <c r="G240" i="1"/>
  <c r="G239" i="1"/>
  <c r="K238" i="1"/>
  <c r="L238" i="1" s="1"/>
  <c r="I238" i="1"/>
  <c r="J238" i="1" s="1"/>
  <c r="G238" i="1"/>
  <c r="K237" i="1"/>
  <c r="L237" i="1" s="1"/>
  <c r="I237" i="1"/>
  <c r="J237" i="1" s="1"/>
  <c r="G237" i="1"/>
  <c r="K234" i="1"/>
  <c r="J234" i="1"/>
  <c r="I234" i="1"/>
  <c r="G234" i="1"/>
  <c r="G233" i="1"/>
  <c r="I232" i="1"/>
  <c r="G232" i="1"/>
  <c r="I231" i="1"/>
  <c r="G231" i="1"/>
  <c r="I230" i="1"/>
  <c r="G230" i="1"/>
  <c r="I229" i="1"/>
  <c r="G229" i="1"/>
  <c r="I228" i="1"/>
  <c r="G228" i="1"/>
  <c r="N226" i="1"/>
  <c r="L226" i="1"/>
  <c r="J226" i="1"/>
  <c r="I226" i="1"/>
  <c r="G226" i="1"/>
  <c r="G225" i="1"/>
  <c r="K224" i="1"/>
  <c r="L224" i="1" s="1"/>
  <c r="I224" i="1"/>
  <c r="J224" i="1" s="1"/>
  <c r="G224" i="1"/>
  <c r="K223" i="1"/>
  <c r="L223" i="1" s="1"/>
  <c r="I223" i="1"/>
  <c r="J223" i="1" s="1"/>
  <c r="G223" i="1"/>
  <c r="N212" i="1"/>
  <c r="I218" i="1"/>
  <c r="I214" i="1"/>
  <c r="I171" i="1"/>
  <c r="G171" i="1"/>
  <c r="I157" i="1"/>
  <c r="G157" i="1"/>
  <c r="I138" i="1"/>
  <c r="I216" i="1"/>
  <c r="I215" i="1"/>
  <c r="G218" i="1"/>
  <c r="I217" i="1"/>
  <c r="G217" i="1"/>
  <c r="G216" i="1"/>
  <c r="G215" i="1"/>
  <c r="G214" i="1"/>
  <c r="G165" i="1"/>
  <c r="G151" i="1"/>
  <c r="O132" i="1"/>
  <c r="J132" i="1"/>
  <c r="I132" i="1"/>
  <c r="K209" i="1"/>
  <c r="L209" i="1" s="1"/>
  <c r="K210" i="1"/>
  <c r="L210" i="1" s="1"/>
  <c r="I209" i="1"/>
  <c r="K220" i="1"/>
  <c r="J220" i="1"/>
  <c r="I220" i="1"/>
  <c r="G220" i="1"/>
  <c r="G219" i="1"/>
  <c r="J204" i="1"/>
  <c r="I202" i="1"/>
  <c r="I198" i="1"/>
  <c r="I201" i="1"/>
  <c r="I200" i="1"/>
  <c r="I199" i="1"/>
  <c r="J209" i="1"/>
  <c r="L212" i="1"/>
  <c r="J212" i="1"/>
  <c r="I212" i="1"/>
  <c r="I210" i="1"/>
  <c r="J210" i="1" s="1"/>
  <c r="M204" i="1"/>
  <c r="K204" i="1"/>
  <c r="I204" i="1"/>
  <c r="G201" i="1"/>
  <c r="G202" i="1"/>
  <c r="G188" i="1"/>
  <c r="G189" i="1"/>
  <c r="G190" i="1"/>
  <c r="G191" i="1"/>
  <c r="G192" i="1"/>
  <c r="G193" i="1"/>
  <c r="G194" i="1"/>
  <c r="I194" i="1"/>
  <c r="I193" i="1"/>
  <c r="I192" i="1"/>
  <c r="I191" i="1"/>
  <c r="I190" i="1"/>
  <c r="Q187" i="1"/>
  <c r="P187" i="1"/>
  <c r="O187" i="1"/>
  <c r="N187" i="1"/>
  <c r="M187" i="1"/>
  <c r="L187" i="1"/>
  <c r="K187" i="1"/>
  <c r="J187" i="1"/>
  <c r="I187" i="1"/>
  <c r="I188" i="1"/>
  <c r="L258" i="1" l="1"/>
  <c r="M255" i="1"/>
  <c r="K240" i="1"/>
  <c r="M240" i="1" s="1"/>
  <c r="P240" i="1" s="1"/>
  <c r="I283" i="1"/>
  <c r="D280" i="1" s="1"/>
  <c r="D283" i="1" s="1"/>
  <c r="G283" i="1" s="1"/>
  <c r="K212" i="1"/>
  <c r="M212" i="1" s="1"/>
  <c r="P212" i="1" s="1"/>
  <c r="L220" i="1"/>
  <c r="I270" i="1"/>
  <c r="I279" i="1"/>
  <c r="D276" i="1" s="1"/>
  <c r="D279" i="1" s="1"/>
  <c r="G279" i="1" s="1"/>
  <c r="I295" i="1"/>
  <c r="D292" i="1" s="1"/>
  <c r="D295" i="1" s="1"/>
  <c r="G295" i="1" s="1"/>
  <c r="M223" i="1"/>
  <c r="L234" i="1"/>
  <c r="K226" i="1"/>
  <c r="M226" i="1" s="1"/>
  <c r="P226" i="1" s="1"/>
  <c r="G292" i="1"/>
  <c r="M210" i="1"/>
  <c r="M224" i="1"/>
  <c r="L256" i="1"/>
  <c r="N253" i="1"/>
  <c r="M238" i="1"/>
  <c r="M237" i="1"/>
  <c r="M209" i="1"/>
  <c r="L204" i="1"/>
  <c r="N204" i="1" s="1"/>
  <c r="R187" i="1"/>
  <c r="J179" i="1"/>
  <c r="K179" i="1"/>
  <c r="I177" i="1"/>
  <c r="J177" i="1" s="1"/>
  <c r="L177" i="1" s="1"/>
  <c r="I176" i="1"/>
  <c r="J176" i="1" s="1"/>
  <c r="L176" i="1"/>
  <c r="K176" i="1"/>
  <c r="I175" i="1"/>
  <c r="J175" i="1" s="1"/>
  <c r="G177" i="1"/>
  <c r="G176" i="1"/>
  <c r="G179" i="1"/>
  <c r="G178" i="1"/>
  <c r="G175" i="1"/>
  <c r="G174" i="1"/>
  <c r="I170" i="1"/>
  <c r="J170" i="1" s="1"/>
  <c r="G170" i="1"/>
  <c r="I169" i="1"/>
  <c r="G169" i="1"/>
  <c r="I168" i="1"/>
  <c r="G168" i="1"/>
  <c r="I167" i="1"/>
  <c r="G167" i="1"/>
  <c r="O165" i="1"/>
  <c r="L165" i="1"/>
  <c r="J165" i="1"/>
  <c r="I165" i="1"/>
  <c r="G164" i="1"/>
  <c r="J163" i="1"/>
  <c r="G163" i="1"/>
  <c r="I162" i="1"/>
  <c r="J162" i="1" s="1"/>
  <c r="G162" i="1"/>
  <c r="K159" i="1"/>
  <c r="J159" i="1"/>
  <c r="I159" i="1"/>
  <c r="G159" i="1"/>
  <c r="G158" i="1"/>
  <c r="I156" i="1"/>
  <c r="J156" i="1" s="1"/>
  <c r="G156" i="1"/>
  <c r="I155" i="1"/>
  <c r="G155" i="1"/>
  <c r="I154" i="1"/>
  <c r="G154" i="1"/>
  <c r="I153" i="1"/>
  <c r="G153" i="1"/>
  <c r="O151" i="1"/>
  <c r="L151" i="1"/>
  <c r="J151" i="1"/>
  <c r="I151" i="1"/>
  <c r="G150" i="1"/>
  <c r="I149" i="1"/>
  <c r="J149" i="1" s="1"/>
  <c r="G149" i="1"/>
  <c r="I148" i="1"/>
  <c r="J148" i="1" s="1"/>
  <c r="G148" i="1"/>
  <c r="I123" i="1"/>
  <c r="I140" i="1"/>
  <c r="K140" i="1"/>
  <c r="J140" i="1"/>
  <c r="M123" i="1"/>
  <c r="K123" i="1"/>
  <c r="J123" i="1"/>
  <c r="I130" i="1"/>
  <c r="J130" i="1" s="1"/>
  <c r="I129" i="1"/>
  <c r="J129" i="1" s="1"/>
  <c r="I137" i="1"/>
  <c r="J137" i="1" s="1"/>
  <c r="I136" i="1"/>
  <c r="I135" i="1"/>
  <c r="I134" i="1"/>
  <c r="I121" i="1"/>
  <c r="G140" i="1"/>
  <c r="G139" i="1"/>
  <c r="G138" i="1"/>
  <c r="G137" i="1"/>
  <c r="G136" i="1"/>
  <c r="G135" i="1"/>
  <c r="G134" i="1"/>
  <c r="J125" i="1"/>
  <c r="I120" i="1"/>
  <c r="J120" i="1" s="1"/>
  <c r="I119" i="1"/>
  <c r="I118" i="1"/>
  <c r="I117" i="1"/>
  <c r="K113" i="1"/>
  <c r="K112" i="1"/>
  <c r="L112" i="1" s="1"/>
  <c r="K111" i="1"/>
  <c r="K110" i="1"/>
  <c r="K109" i="1"/>
  <c r="I113" i="1"/>
  <c r="G113" i="1"/>
  <c r="G112" i="1"/>
  <c r="G111" i="1"/>
  <c r="I110" i="1"/>
  <c r="G110" i="1"/>
  <c r="I109" i="1"/>
  <c r="G109" i="1"/>
  <c r="G120" i="1"/>
  <c r="G119" i="1"/>
  <c r="I106" i="1"/>
  <c r="I527" i="1" s="1"/>
  <c r="J527" i="1" s="1"/>
  <c r="Q105" i="1"/>
  <c r="P105" i="1"/>
  <c r="O105" i="1"/>
  <c r="N105" i="1"/>
  <c r="M105" i="1"/>
  <c r="L105" i="1"/>
  <c r="K105" i="1"/>
  <c r="J105" i="1"/>
  <c r="I105" i="1"/>
  <c r="I101" i="1"/>
  <c r="I98" i="1"/>
  <c r="J98" i="1" s="1"/>
  <c r="P97" i="1"/>
  <c r="O97" i="1"/>
  <c r="N97" i="1"/>
  <c r="M97" i="1"/>
  <c r="L97" i="1"/>
  <c r="K97" i="1"/>
  <c r="J97" i="1"/>
  <c r="I97" i="1"/>
  <c r="G101" i="1"/>
  <c r="I63" i="1"/>
  <c r="I67" i="1"/>
  <c r="J67" i="1" s="1"/>
  <c r="P66" i="1"/>
  <c r="O66" i="1"/>
  <c r="N66" i="1"/>
  <c r="M66" i="1"/>
  <c r="L66" i="1"/>
  <c r="K66" i="1"/>
  <c r="J66" i="1"/>
  <c r="I66" i="1"/>
  <c r="I60" i="1"/>
  <c r="G276" i="1" l="1"/>
  <c r="G280" i="1"/>
  <c r="J101" i="1"/>
  <c r="I206" i="1"/>
  <c r="J206" i="1" s="1"/>
  <c r="L179" i="1"/>
  <c r="M176" i="1"/>
  <c r="N174" i="1"/>
  <c r="L159" i="1"/>
  <c r="K165" i="1"/>
  <c r="M165" i="1" s="1"/>
  <c r="N165" i="1" s="1"/>
  <c r="P165" i="1" s="1"/>
  <c r="L140" i="1"/>
  <c r="K151" i="1"/>
  <c r="M151" i="1" s="1"/>
  <c r="N151" i="1" s="1"/>
  <c r="P151" i="1" s="1"/>
  <c r="K132" i="1"/>
  <c r="M132" i="1" s="1"/>
  <c r="L123" i="1"/>
  <c r="N123" i="1" s="1"/>
  <c r="M125" i="1"/>
  <c r="R105" i="1"/>
  <c r="Q97" i="1"/>
  <c r="Q66" i="1"/>
  <c r="R66" i="1" s="1"/>
  <c r="L67" i="1" s="1"/>
  <c r="N132" i="1" l="1"/>
  <c r="P132" i="1" s="1"/>
  <c r="R97" i="1"/>
  <c r="L98" i="1" s="1"/>
  <c r="J106" i="1"/>
  <c r="G1414" i="1" l="1"/>
  <c r="C18" i="2" s="1"/>
  <c r="G1081" i="1"/>
  <c r="G1080" i="1"/>
  <c r="G1041" i="1"/>
  <c r="G1040" i="1"/>
  <c r="G1039" i="1"/>
  <c r="G1038" i="1"/>
  <c r="D1037" i="1"/>
  <c r="G1037" i="1" s="1"/>
  <c r="G1036" i="1"/>
  <c r="D1035" i="1"/>
  <c r="G1035" i="1" s="1"/>
  <c r="D1034" i="1"/>
  <c r="G1034" i="1" s="1"/>
  <c r="D1033" i="1"/>
  <c r="G1033" i="1" s="1"/>
  <c r="G1032" i="1"/>
  <c r="G1031" i="1"/>
  <c r="G1030" i="1"/>
  <c r="G1028" i="1"/>
  <c r="G1027" i="1"/>
  <c r="G1023" i="1"/>
  <c r="G1022" i="1"/>
  <c r="G1021" i="1"/>
  <c r="G1020" i="1"/>
  <c r="G1019" i="1"/>
  <c r="G1018" i="1"/>
  <c r="G1017" i="1"/>
  <c r="G1015" i="1"/>
  <c r="I889" i="1"/>
  <c r="G692" i="1"/>
  <c r="G691" i="1"/>
  <c r="G690" i="1"/>
  <c r="G626" i="1"/>
  <c r="L625" i="1"/>
  <c r="K625" i="1"/>
  <c r="J625" i="1"/>
  <c r="I625" i="1"/>
  <c r="L619" i="1"/>
  <c r="K619" i="1"/>
  <c r="J619" i="1"/>
  <c r="I619" i="1"/>
  <c r="D570" i="1"/>
  <c r="D479" i="1" s="1"/>
  <c r="J775" i="1"/>
  <c r="J771" i="1"/>
  <c r="J774" i="1"/>
  <c r="G542" i="1"/>
  <c r="G534" i="1"/>
  <c r="L690" i="1" l="1"/>
  <c r="M625" i="1"/>
  <c r="L538" i="1"/>
  <c r="M538" i="1" s="1"/>
  <c r="M619" i="1"/>
  <c r="L775" i="1"/>
  <c r="L470" i="1" l="1"/>
  <c r="D77" i="1" l="1"/>
  <c r="D1134" i="1"/>
  <c r="D1132" i="1"/>
  <c r="D1131" i="1"/>
  <c r="D1130" i="1"/>
  <c r="G1147" i="1"/>
  <c r="G1110" i="1"/>
  <c r="G1113" i="1"/>
  <c r="J964" i="1"/>
  <c r="I969" i="1"/>
  <c r="D904" i="1"/>
  <c r="J694" i="1"/>
  <c r="G694" i="1"/>
  <c r="J677" i="1"/>
  <c r="D624" i="1"/>
  <c r="I884" i="1" s="1"/>
  <c r="K677" i="1" l="1"/>
  <c r="J884" i="1"/>
  <c r="K884" i="1" s="1"/>
  <c r="L620" i="1"/>
  <c r="K694" i="1"/>
  <c r="M691" i="1"/>
  <c r="N691" i="1" s="1"/>
  <c r="D674" i="1"/>
  <c r="D675" i="1"/>
  <c r="D599" i="1"/>
  <c r="D597" i="1"/>
  <c r="J777" i="1"/>
  <c r="G777" i="1"/>
  <c r="J776" i="1"/>
  <c r="G776" i="1"/>
  <c r="G775" i="1"/>
  <c r="J778" i="1" l="1"/>
  <c r="L778" i="1" s="1"/>
  <c r="J267" i="1" l="1"/>
  <c r="G206" i="1" l="1"/>
  <c r="G205" i="1"/>
  <c r="M325" i="1" l="1"/>
  <c r="G477" i="1" l="1"/>
  <c r="G476" i="1"/>
  <c r="G474" i="1"/>
  <c r="K477" i="1" l="1"/>
  <c r="G767" i="1" l="1"/>
  <c r="G766" i="1"/>
  <c r="G779" i="1"/>
  <c r="G1276" i="1" l="1"/>
  <c r="G1275" i="1"/>
  <c r="G1274" i="1"/>
  <c r="G1273" i="1"/>
  <c r="G1272" i="1"/>
  <c r="G1271" i="1"/>
  <c r="G1270" i="1"/>
  <c r="G1267" i="1"/>
  <c r="G1266" i="1"/>
  <c r="G1265" i="1"/>
  <c r="G1264" i="1"/>
  <c r="G1263" i="1"/>
  <c r="G1262" i="1"/>
  <c r="G1261" i="1"/>
  <c r="G1260" i="1"/>
  <c r="G1259" i="1"/>
  <c r="G1297" i="1" l="1"/>
  <c r="I325" i="1"/>
  <c r="G480" i="1"/>
  <c r="I927" i="1"/>
  <c r="G927" i="1"/>
  <c r="G1146" i="1"/>
  <c r="G1145" i="1"/>
  <c r="G1144" i="1"/>
  <c r="G1143" i="1"/>
  <c r="D1133" i="1"/>
  <c r="G1133" i="1" s="1"/>
  <c r="G1134" i="1"/>
  <c r="G1125" i="1"/>
  <c r="G1124" i="1"/>
  <c r="G1123" i="1"/>
  <c r="G1107" i="1"/>
  <c r="D967" i="1" l="1"/>
  <c r="G967" i="1" s="1"/>
  <c r="G970" i="1"/>
  <c r="G969" i="1"/>
  <c r="G968" i="1"/>
  <c r="D966" i="1"/>
  <c r="G966" i="1" s="1"/>
  <c r="G965" i="1"/>
  <c r="G964" i="1"/>
  <c r="G963" i="1"/>
  <c r="G962" i="1"/>
  <c r="G961" i="1"/>
  <c r="G904" i="1"/>
  <c r="J889" i="1"/>
  <c r="G889" i="1"/>
  <c r="G934" i="1"/>
  <c r="G836" i="1"/>
  <c r="G839" i="1"/>
  <c r="J683" i="1"/>
  <c r="I683" i="1"/>
  <c r="G675" i="1"/>
  <c r="I624" i="1"/>
  <c r="G625" i="1"/>
  <c r="G624" i="1"/>
  <c r="G621" i="1"/>
  <c r="G479" i="1"/>
  <c r="G541" i="1"/>
  <c r="G540" i="1"/>
  <c r="G539" i="1"/>
  <c r="G538" i="1"/>
  <c r="G537" i="1"/>
  <c r="G531" i="1"/>
  <c r="G533" i="1"/>
  <c r="J761" i="1"/>
  <c r="G764" i="1"/>
  <c r="J763" i="1"/>
  <c r="G763" i="1"/>
  <c r="G472" i="1"/>
  <c r="G471" i="1"/>
  <c r="G445" i="1"/>
  <c r="G468" i="1"/>
  <c r="G469" i="1"/>
  <c r="G470" i="1"/>
  <c r="G478" i="1"/>
  <c r="G481" i="1"/>
  <c r="I336" i="1"/>
  <c r="I335" i="1"/>
  <c r="I332" i="1"/>
  <c r="I331" i="1"/>
  <c r="G336" i="1"/>
  <c r="G335" i="1"/>
  <c r="K683" i="1" l="1"/>
  <c r="J764" i="1"/>
  <c r="J765" i="1" s="1"/>
  <c r="I339" i="1"/>
  <c r="G339" i="1"/>
  <c r="I333" i="1"/>
  <c r="D330" i="1" s="1"/>
  <c r="D333" i="1" s="1"/>
  <c r="G333" i="1" s="1"/>
  <c r="G332" i="1"/>
  <c r="G331" i="1"/>
  <c r="G328" i="1"/>
  <c r="G212" i="1"/>
  <c r="G211" i="1"/>
  <c r="G210" i="1"/>
  <c r="G209" i="1"/>
  <c r="G204" i="1"/>
  <c r="G203" i="1"/>
  <c r="G200" i="1"/>
  <c r="G199" i="1"/>
  <c r="G198" i="1"/>
  <c r="G187" i="1"/>
  <c r="G132" i="1"/>
  <c r="G131" i="1"/>
  <c r="G130" i="1"/>
  <c r="G129" i="1"/>
  <c r="G125" i="1"/>
  <c r="G124" i="1"/>
  <c r="I341" i="1" l="1"/>
  <c r="D338" i="1" s="1"/>
  <c r="I337" i="1"/>
  <c r="D334" i="1" s="1"/>
  <c r="D337" i="1" s="1"/>
  <c r="G330" i="1"/>
  <c r="D341" i="1" l="1"/>
  <c r="G341" i="1" s="1"/>
  <c r="G338" i="1"/>
  <c r="G334" i="1"/>
  <c r="G337" i="1"/>
  <c r="I273" i="1" l="1"/>
  <c r="G273" i="1"/>
  <c r="I274" i="1" l="1"/>
  <c r="G1117" i="1" l="1"/>
  <c r="G1118" i="1"/>
  <c r="D903" i="1"/>
  <c r="G903" i="1" s="1"/>
  <c r="D902" i="1"/>
  <c r="G902" i="1" s="1"/>
  <c r="G599" i="1"/>
  <c r="G598" i="1"/>
  <c r="G597" i="1"/>
  <c r="G581" i="1"/>
  <c r="G580" i="1"/>
  <c r="G579" i="1"/>
  <c r="D670" i="1"/>
  <c r="I562" i="1"/>
  <c r="J562" i="1" s="1"/>
  <c r="L562" i="1" s="1"/>
  <c r="G562" i="1"/>
  <c r="G561" i="1"/>
  <c r="G596" i="1"/>
  <c r="L624" i="1" l="1"/>
  <c r="J188" i="1" l="1"/>
  <c r="D266" i="1"/>
  <c r="D271" i="1"/>
  <c r="D274" i="1" s="1"/>
  <c r="G274" i="1" s="1"/>
  <c r="D74" i="1"/>
  <c r="G271" i="1" l="1"/>
  <c r="G743" i="1" l="1"/>
  <c r="G742" i="1"/>
  <c r="F19" i="2" l="1"/>
  <c r="G1142" i="1"/>
  <c r="G926" i="1"/>
  <c r="G620" i="1"/>
  <c r="G619" i="1"/>
  <c r="G618" i="1"/>
  <c r="G674" i="1"/>
  <c r="G672" i="1"/>
  <c r="D1129" i="1"/>
  <c r="D1119" i="1"/>
  <c r="I742" i="1"/>
  <c r="J742" i="1" s="1"/>
  <c r="K742" i="1" s="1"/>
  <c r="G683" i="1"/>
  <c r="G681" i="1"/>
  <c r="G670" i="1"/>
  <c r="G1005" i="1" l="1"/>
  <c r="J746" i="1"/>
  <c r="K746" i="1" s="1"/>
  <c r="L746" i="1" s="1"/>
  <c r="M746" i="1" s="1"/>
  <c r="G685" i="1"/>
  <c r="M181" i="1" l="1"/>
  <c r="G106" i="1" l="1"/>
  <c r="G35" i="1" l="1"/>
  <c r="G1141" i="1" l="1"/>
  <c r="G1132" i="1"/>
  <c r="G1120" i="1" l="1"/>
  <c r="G570" i="1" l="1"/>
  <c r="G575" i="1" l="1"/>
  <c r="G574" i="1"/>
  <c r="G573" i="1"/>
  <c r="G572" i="1"/>
  <c r="G578" i="1"/>
  <c r="M677" i="1" l="1"/>
  <c r="G761" i="1" l="1"/>
  <c r="G822" i="1" l="1"/>
  <c r="G121" i="1" l="1"/>
  <c r="G118" i="1"/>
  <c r="G117" i="1"/>
  <c r="G1112" i="1" l="1"/>
  <c r="G1122" i="1"/>
  <c r="G1116" i="1"/>
  <c r="G1111" i="1"/>
  <c r="G1114" i="1"/>
  <c r="G746" i="1" l="1"/>
  <c r="I680" i="1"/>
  <c r="G677" i="1"/>
  <c r="D883" i="1"/>
  <c r="G872" i="1" l="1"/>
  <c r="I322" i="1" l="1"/>
  <c r="G325" i="1"/>
  <c r="D270" i="1"/>
  <c r="G270" i="1" s="1"/>
  <c r="I326" i="1" l="1"/>
  <c r="I323" i="1"/>
  <c r="G1126" i="1" l="1"/>
  <c r="G1129" i="1"/>
  <c r="G1130" i="1"/>
  <c r="G1131" i="1"/>
  <c r="G1104" i="1"/>
  <c r="G1103" i="1"/>
  <c r="G1105" i="1"/>
  <c r="G1106" i="1"/>
  <c r="G1108" i="1"/>
  <c r="G1109" i="1"/>
  <c r="G1119" i="1"/>
  <c r="G1121" i="1"/>
  <c r="G322" i="1"/>
  <c r="D324" i="1"/>
  <c r="G1127" i="1" l="1"/>
  <c r="G1128" i="1"/>
  <c r="D321" i="1"/>
  <c r="D326" i="1"/>
  <c r="G326" i="1" s="1"/>
  <c r="G324" i="1"/>
  <c r="G1247" i="1" l="1"/>
  <c r="C15" i="2" s="1"/>
  <c r="D323" i="1"/>
  <c r="G323" i="1" s="1"/>
  <c r="G321" i="1"/>
  <c r="G23" i="1" l="1"/>
  <c r="G1091" i="1" l="1"/>
  <c r="C13" i="2"/>
  <c r="G884" i="1" l="1"/>
  <c r="G623" i="1" l="1"/>
  <c r="G617" i="1"/>
  <c r="G749" i="1" l="1"/>
  <c r="G532" i="1"/>
  <c r="G529" i="1"/>
  <c r="G297" i="1" l="1"/>
  <c r="G123" i="1"/>
  <c r="G122" i="1"/>
  <c r="G105" i="1"/>
  <c r="G99" i="1"/>
  <c r="G78" i="1"/>
  <c r="G77" i="1"/>
  <c r="G76" i="1"/>
  <c r="G75" i="1"/>
  <c r="G74" i="1"/>
  <c r="G73" i="1"/>
  <c r="G69" i="1"/>
  <c r="G68" i="1"/>
  <c r="G67" i="1"/>
  <c r="G66" i="1"/>
  <c r="G65" i="1"/>
  <c r="G64" i="1"/>
  <c r="G63" i="1"/>
  <c r="G62" i="1"/>
  <c r="G61" i="1"/>
  <c r="G60" i="1"/>
  <c r="G59" i="1"/>
  <c r="G24" i="1"/>
  <c r="G25" i="1"/>
  <c r="G26" i="1"/>
  <c r="G27" i="1"/>
  <c r="G888" i="1" l="1"/>
  <c r="G887" i="1"/>
  <c r="G883" i="1"/>
  <c r="G882" i="1"/>
  <c r="G22" i="1"/>
  <c r="G917" i="1" l="1"/>
  <c r="G34" i="1" l="1"/>
  <c r="G33" i="1"/>
  <c r="G28" i="1"/>
  <c r="G52" i="1" l="1"/>
  <c r="C5" i="2" s="1"/>
  <c r="C14" i="2"/>
  <c r="C10" i="2"/>
  <c r="G530" i="1" l="1"/>
  <c r="G527" i="1" l="1"/>
  <c r="G609" i="1" s="1"/>
  <c r="C11" i="2" l="1"/>
  <c r="G1102" i="1" l="1"/>
  <c r="G1356" i="1" s="1"/>
  <c r="G91" i="1" l="1"/>
  <c r="C6" i="2" l="1"/>
  <c r="G266" i="1" l="1"/>
  <c r="C12" i="2" l="1"/>
  <c r="G516" i="1" l="1"/>
  <c r="C9" i="2"/>
  <c r="C8" i="2" l="1"/>
  <c r="C7" i="2" l="1"/>
  <c r="C21" i="2" s="1"/>
  <c r="C22" i="2" l="1"/>
  <c r="C23" i="2" s="1"/>
  <c r="F17" i="2"/>
  <c r="F21" i="2" l="1"/>
  <c r="F20" i="2"/>
</calcChain>
</file>

<file path=xl/sharedStrings.xml><?xml version="1.0" encoding="utf-8"?>
<sst xmlns="http://schemas.openxmlformats.org/spreadsheetml/2006/main" count="2107" uniqueCount="522">
  <si>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</si>
  <si>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</si>
  <si>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</si>
  <si>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</si>
  <si>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</si>
  <si>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</si>
  <si>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</si>
  <si>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</si>
  <si>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</si>
  <si>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</si>
  <si>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</si>
  <si>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</si>
  <si>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</si>
  <si>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</si>
  <si>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</si>
  <si>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</si>
  <si>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</si>
  <si>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</si>
  <si>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</si>
  <si>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</si>
  <si>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</si>
  <si>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</si>
  <si>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</si>
  <si>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</si>
  <si>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</si>
  <si>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</si>
  <si>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</si>
  <si>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</si>
  <si>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</si>
  <si>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</si>
  <si>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</si>
  <si>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</si>
  <si>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</si>
  <si>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</si>
  <si>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</si>
  <si>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Allow for clean-up of completed works and site upon completion.</t>
  </si>
  <si>
    <t>BILL No: 01 PRELIMINARIES</t>
  </si>
  <si>
    <t>TOTAL OF BILL No: 01 - Carried over to summary</t>
  </si>
  <si>
    <t>BILL NO : 02</t>
  </si>
  <si>
    <t>GROUND WORK</t>
  </si>
  <si>
    <t>General</t>
  </si>
  <si>
    <t>Shoring</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</si>
  <si>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</si>
  <si>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</si>
  <si>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</si>
  <si>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</si>
  <si>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</si>
  <si>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</si>
  <si>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</si>
  <si>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</si>
  <si>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</si>
  <si>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</si>
  <si>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</si>
  <si>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</si>
  <si>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</si>
  <si>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</si>
  <si>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</si>
  <si>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</si>
  <si>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</si>
  <si>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</si>
  <si>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</si>
  <si>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</si>
  <si>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</si>
  <si>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</si>
  <si>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</si>
  <si>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</si>
  <si>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</si>
  <si>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</si>
  <si>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</si>
  <si>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</si>
  <si>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</si>
  <si>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</si>
  <si>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</si>
  <si>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</si>
  <si>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</si>
  <si>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</si>
  <si>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</si>
  <si>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</si>
  <si>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</si>
  <si>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</si>
  <si>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</si>
  <si>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</si>
  <si>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</si>
  <si>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</si>
  <si>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</si>
  <si>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</si>
  <si>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</si>
  <si>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</si>
  <si>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</si>
  <si>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</si>
  <si>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</si>
  <si>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</si>
  <si>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</si>
  <si>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</si>
  <si>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</si>
  <si>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</si>
  <si>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</si>
  <si>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</si>
  <si>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</si>
  <si>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</si>
  <si>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</si>
  <si>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</si>
  <si>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</si>
  <si>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</si>
  <si>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</si>
  <si>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</si>
  <si>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</si>
  <si>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</si>
  <si>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</si>
  <si>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</si>
  <si>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</si>
  <si>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</si>
  <si>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</si>
  <si>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</si>
  <si>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</si>
  <si>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</si>
  <si>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</si>
  <si>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</si>
  <si>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</si>
  <si>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</si>
  <si>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</si>
  <si>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</si>
  <si>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</si>
  <si>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</si>
  <si>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</si>
  <si>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</si>
  <si>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</si>
  <si>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</si>
  <si>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</si>
  <si>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</si>
  <si>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</si>
  <si>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</si>
  <si>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</si>
  <si>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</si>
  <si>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</si>
  <si>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</si>
  <si>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</si>
  <si>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</si>
  <si>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</si>
  <si>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</si>
  <si>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</si>
  <si>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</si>
  <si>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</si>
  <si>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</si>
  <si>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</si>
  <si>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</si>
  <si>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</si>
  <si>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</si>
  <si>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</si>
  <si>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</si>
  <si>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</si>
  <si>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</si>
  <si>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</si>
  <si>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</si>
  <si>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</si>
  <si>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</si>
  <si>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</si>
  <si>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</si>
  <si>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</si>
  <si>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</si>
  <si>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</si>
  <si>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</si>
  <si>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</si>
  <si>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</si>
  <si>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</si>
  <si>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</si>
  <si>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</si>
  <si>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</si>
  <si>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1.4</t>
  </si>
  <si>
    <t>SAFETY</t>
  </si>
  <si>
    <t>WOOD WORK &amp;  CEILING</t>
  </si>
  <si>
    <t>1 )</t>
  </si>
  <si>
    <t>2 )</t>
  </si>
  <si>
    <t>PREPARED BY</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</si>
  <si>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</si>
  <si>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5.4</t>
  </si>
  <si>
    <t>5.5</t>
  </si>
  <si>
    <t>6.1</t>
  </si>
  <si>
    <t>7.2</t>
  </si>
  <si>
    <t>9.2</t>
  </si>
  <si>
    <t>COLUMNS</t>
  </si>
  <si>
    <t>TOTAL OF BILL No: 03 - Carried over to summary</t>
  </si>
  <si>
    <t>1.5</t>
  </si>
  <si>
    <t xml:space="preserve">                                                                                                                                                                                                                </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</si>
  <si>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</si>
  <si>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3 )</t>
  </si>
  <si>
    <t>4 )</t>
  </si>
  <si>
    <t>5 )</t>
  </si>
  <si>
    <t>6 )</t>
  </si>
  <si>
    <t>7 )</t>
  </si>
  <si>
    <t>8 )</t>
  </si>
  <si>
    <t>9 )</t>
  </si>
  <si>
    <t>BILL No: 11 - ELECTRICAL INSTALLATIONS</t>
  </si>
  <si>
    <t>10 )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</si>
  <si>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</si>
  <si>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</si>
  <si>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</si>
  <si>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</si>
  <si>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</si>
  <si>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</si>
  <si>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</si>
  <si>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</si>
  <si>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</si>
  <si>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</si>
  <si>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</si>
  <si>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</si>
  <si>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</si>
  <si>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</si>
  <si>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</si>
  <si>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</si>
  <si>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</si>
  <si>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</si>
  <si>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</si>
  <si>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</si>
  <si>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</si>
  <si>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</si>
  <si>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</si>
  <si>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Toilets</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</si>
  <si>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</si>
  <si>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</si>
  <si>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</si>
  <si>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</si>
  <si>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</si>
  <si>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</si>
  <si>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</si>
  <si>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</si>
  <si>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</si>
  <si>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</si>
  <si>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</si>
  <si>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</si>
  <si>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</si>
  <si>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</si>
  <si>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</si>
  <si>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</si>
  <si>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</si>
  <si>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</si>
  <si>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</si>
  <si>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</si>
  <si>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</si>
  <si>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</si>
  <si>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</si>
  <si>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</si>
  <si>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</si>
  <si>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</si>
  <si>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</si>
  <si>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</si>
  <si>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</si>
  <si>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</si>
  <si>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</si>
  <si>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</si>
  <si>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</si>
  <si>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</si>
  <si>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</si>
  <si>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(c) Rates shall include for 9mm thick Cement board fixed on 35 x 50mm Timber frame,trimming, nails, screws,hooks, hangers,  clips and similar.</t>
  </si>
  <si>
    <t xml:space="preserve">Supply and Installation of  STELCO approved brand Distribution board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</si>
  <si>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</si>
  <si>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</si>
  <si>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</si>
  <si>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</si>
  <si>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Charges for supplying special tiles grout Conmix C800 / Conmix C500 for fixing tiles to all floors.</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</si>
  <si>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</si>
  <si>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</si>
  <si>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</si>
  <si>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</si>
  <si>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</si>
  <si>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</si>
  <si>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</si>
  <si>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</si>
  <si>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</si>
  <si>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</si>
  <si>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</si>
  <si>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</si>
  <si>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</si>
  <si>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</si>
  <si>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</si>
  <si>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S.S. Railing  - Staircase</t>
  </si>
  <si>
    <t>Stair case</t>
  </si>
  <si>
    <t>300 x 600mm Polished Ceramic Wall Tiles 2.7m height.   (Rate shall include for 300 x 100mm Design border tiles @ 1200mm high on toilet walls)</t>
  </si>
  <si>
    <t>Ceiling Fan, dia. 1200</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</si>
  <si>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</si>
  <si>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</si>
  <si>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</si>
  <si>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</si>
  <si>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</si>
  <si>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</si>
  <si>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</si>
  <si>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</si>
  <si>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</si>
  <si>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</si>
  <si>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600 x 600mm Non Slip Porcelain tiles</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</si>
  <si>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</si>
  <si>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</si>
  <si>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</si>
  <si>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</si>
  <si>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</si>
  <si>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R.c.c. Staircase</t>
  </si>
  <si>
    <t>SLAB BEAMS</t>
  </si>
  <si>
    <t>FLOOR SLAB</t>
  </si>
  <si>
    <t>150mm thick R.c.c. Floor Slab</t>
  </si>
  <si>
    <t>TB1</t>
  </si>
  <si>
    <t>SLAB BEAM</t>
  </si>
  <si>
    <t>4.5</t>
  </si>
  <si>
    <t>WINDOW SILL &amp; LINTELS</t>
  </si>
  <si>
    <t>PARAPET WALL</t>
  </si>
  <si>
    <t>300x150x150mm solid block wall</t>
  </si>
  <si>
    <t>Interior walls</t>
  </si>
  <si>
    <t>External walls</t>
  </si>
  <si>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</si>
  <si>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</si>
  <si>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</si>
  <si>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</si>
  <si>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</si>
  <si>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</si>
  <si>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</si>
  <si>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</si>
  <si>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</si>
  <si>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</si>
  <si>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</si>
  <si>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</si>
  <si>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</si>
  <si>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Roof level - Eave Ceiling</t>
  </si>
  <si>
    <t>S.S. Railing  - BALCONY</t>
  </si>
  <si>
    <t>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</si>
  <si>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</si>
  <si>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</si>
  <si>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</si>
  <si>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</si>
  <si>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</si>
  <si>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</si>
  <si>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</si>
  <si>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</si>
  <si>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</si>
  <si>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</si>
  <si>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</si>
  <si>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</si>
  <si>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</si>
  <si>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</si>
  <si>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</si>
  <si>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</si>
  <si>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</si>
  <si>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</si>
  <si>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</si>
  <si>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</si>
  <si>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</si>
  <si>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</si>
  <si>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</si>
  <si>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</si>
  <si>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</si>
  <si>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</si>
  <si>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</si>
  <si>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</si>
  <si>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</si>
  <si>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</si>
  <si>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</si>
  <si>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</si>
  <si>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VGA Sockets - VGA 01 &amp; VGA 02</t>
  </si>
  <si>
    <t xml:space="preserve">Supply, Fabrication and Installation of  40mm dia. S.S.Pipe Fixed at both Sides of the Staircase as per details </t>
  </si>
  <si>
    <t xml:space="preserve"> TOTAL           Mrf</t>
  </si>
  <si>
    <t>6% GST           Mrf</t>
  </si>
  <si>
    <t>GRAND TOTAL          Mrf</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</si>
  <si>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</si>
  <si>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</si>
  <si>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</si>
  <si>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</si>
  <si>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</si>
  <si>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</si>
  <si>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</si>
  <si>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</si>
  <si>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</si>
  <si>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</si>
  <si>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</si>
  <si>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</si>
  <si>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</si>
  <si>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</si>
  <si>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</si>
  <si>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</si>
  <si>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</si>
  <si>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</si>
  <si>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</si>
  <si>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</si>
  <si>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</si>
  <si>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</si>
  <si>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</si>
  <si>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</si>
  <si>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</si>
  <si>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</si>
  <si>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</si>
  <si>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</si>
  <si>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</si>
  <si>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</si>
  <si>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</si>
  <si>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</si>
  <si>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</si>
  <si>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</si>
  <si>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</si>
  <si>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</si>
  <si>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</si>
  <si>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</si>
  <si>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</si>
  <si>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</si>
  <si>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</si>
  <si>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</si>
  <si>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100mm thick R.C. slab including Entrance Steps</t>
  </si>
  <si>
    <t>Charges for construction of 100mm thick R.c.c.Parapet wall at First floor and Second floor as per details. (Refer drawing no:A 14) Rate shall include for Shuttering and Reinforcement work complete.</t>
  </si>
  <si>
    <t>D3 - Solid Timber framed door with Soild Timber door panel, 780 x 2000mm.</t>
  </si>
  <si>
    <t>W1 - Coated Aluminium framed Window with Openable glass panels and Fixed aluminium louvered panels &amp; glass panels at top, 2450 x 1690mm</t>
  </si>
  <si>
    <t>TYPE 01 - Coated Aluminium frame with Louvered aluminium panels, 3000 x 650mm (Refer Elevation)</t>
  </si>
  <si>
    <t>TYPE 02 - Coated Aluminium frame with Louvered aluminium panels, 1800 x 650mm (Refer Elevation)</t>
  </si>
  <si>
    <t>1 x 13A Power Socket (WP) - P17</t>
  </si>
  <si>
    <t>Mechanical Ventilator</t>
  </si>
  <si>
    <t>Exhaust Fan (Mechanical Ventilator)</t>
  </si>
  <si>
    <t>Cabling - Multi media Projectors VGA 01 to VGA 02</t>
  </si>
  <si>
    <t>Cabling - Data Network points (Cat 06)</t>
  </si>
  <si>
    <t>Cabling - Telephone  points</t>
  </si>
  <si>
    <t>Cabling - TV points</t>
  </si>
  <si>
    <t>Cabling - Speaker System</t>
  </si>
  <si>
    <t xml:space="preserve">S.S.Floor drain with trap </t>
  </si>
  <si>
    <t>Provision to remove the excess quantity given in the bill quantities if any as per the drawing details</t>
  </si>
  <si>
    <t>External surface of exeterior wall incl. Parapet wall</t>
  </si>
  <si>
    <t>Wash room walls @ 1.8m H</t>
  </si>
  <si>
    <t>Vanity Counter</t>
  </si>
  <si>
    <t xml:space="preserve">Toilets </t>
  </si>
  <si>
    <t>Angle valves</t>
  </si>
  <si>
    <t>CLIENT</t>
  </si>
  <si>
    <t>MINISTRY OF EDUCATION</t>
  </si>
  <si>
    <t>REPUBLIC OF MALDIVES</t>
  </si>
  <si>
    <t>PROJECT : B.EYDHAFUSHI SCHOOL BUILDING</t>
  </si>
  <si>
    <t>B. EYDHAFUSHI SCHOOL BUILDING</t>
  </si>
  <si>
    <t>BILL OF QUANTITIES</t>
  </si>
  <si>
    <t>PROJECT: B. EYDHAFUSHI SCHOOL BUILDING</t>
  </si>
  <si>
    <t>Charges for construction of 150mm thick solid block Masonry wall complete including plastering, below foundation of existing adjacent building.</t>
  </si>
  <si>
    <t>75mm thick lean concrete</t>
  </si>
  <si>
    <t>50mm thick lean concrete</t>
  </si>
  <si>
    <t>Below Foundation Footings &amp; Tie beams</t>
  </si>
  <si>
    <t>Below Entrance steps.</t>
  </si>
  <si>
    <t>Tie Beam TB1, 200 x 300mm</t>
  </si>
  <si>
    <t>Footings F1 to  F9</t>
  </si>
  <si>
    <t>SC, 150 x 150mm x 09nos: (750mm H)</t>
  </si>
  <si>
    <t>C4, 325mm dia. x 06nos: (3740mm H)</t>
  </si>
  <si>
    <t>C3, 500 x 225mm x 04nos: (3740mm H)</t>
  </si>
  <si>
    <t>C2, 400 x 200mm x 02nos: (3740mm H)</t>
  </si>
  <si>
    <t>C1, 300 x 200mm x 08nos: (3740mm H)</t>
  </si>
  <si>
    <t>C1, 300 x 200mm x 08nos: (750mm H)</t>
  </si>
  <si>
    <t>C2, 400 x 200mm x 02nos: (750mm H)</t>
  </si>
  <si>
    <t>C3, 500 x 225mm x 04nos: (750mm H)</t>
  </si>
  <si>
    <t>C4, 325mm dia. x 06nos: (750mm H)</t>
  </si>
  <si>
    <t>C1, 300 x 200mm x 08nos: (3365mm H)</t>
  </si>
  <si>
    <t>C2, 400 x 200mm x 02nos:  (3365mm H)</t>
  </si>
  <si>
    <t>C3, 500 x 225mm x 04nos:  (3365mm H)</t>
  </si>
  <si>
    <t>C4, 325mm dia. x 06nos:  (3365mm H)</t>
  </si>
  <si>
    <t>SC, 150 x 150mm x 09nos: (3290mm H)</t>
  </si>
  <si>
    <t>B1 , 200 x 500mm</t>
  </si>
  <si>
    <t>B2 , 200 x 400mm</t>
  </si>
  <si>
    <t>150mm &amp; 190mm thick R.c.c. Floor Slab</t>
  </si>
  <si>
    <t>SECOND FLOOR</t>
  </si>
  <si>
    <t>4.4</t>
  </si>
  <si>
    <t>THIRD FLOOR</t>
  </si>
  <si>
    <t>B1, 200 x 500mm</t>
  </si>
  <si>
    <t>B2, 200 x 400mm</t>
  </si>
  <si>
    <t>B3, 200 x 400mm</t>
  </si>
  <si>
    <t>130mm, 150mm &amp; 170mm thick R.c.c. Floor Slab</t>
  </si>
  <si>
    <t>ROOF SLAB</t>
  </si>
  <si>
    <t>Footings F1 to F9</t>
  </si>
  <si>
    <t>1.1</t>
  </si>
  <si>
    <t>1.2</t>
  </si>
  <si>
    <t>SC, 150 x 150mm x 09nos: (2915mm H)</t>
  </si>
  <si>
    <t>6.2</t>
  </si>
  <si>
    <t>F1 to F9</t>
  </si>
  <si>
    <t>(b) Mix ratio for  reinforced concrete shall be 1:2:3 and lean concrete shall be 1:2:6 by volume.</t>
  </si>
  <si>
    <t>(c) Quantity is measured to the edges of concrete foundation members. Rates shall be inclusive for any additional concrete required to place the formwork.</t>
  </si>
  <si>
    <t>C1 , 200 x 300mm x 08nos:</t>
  </si>
  <si>
    <t>C2, 400 x 200mm x 02nos</t>
  </si>
  <si>
    <t>C4, 325mm dia. x 06nos</t>
  </si>
  <si>
    <t>SC, 150 x 150 x 09nos:</t>
  </si>
  <si>
    <t>C3, 500 x 225mm x 04nos</t>
  </si>
  <si>
    <t>10mm dia MS Round bars - 6m @ 200mm c/c</t>
  </si>
  <si>
    <t>B4, 225 x 550mm</t>
  </si>
  <si>
    <r>
      <t>300x150x200mm solid block</t>
    </r>
    <r>
      <rPr>
        <sz val="9"/>
        <color theme="1"/>
        <rFont val="Times New Roman"/>
        <family val="1"/>
      </rPr>
      <t xml:space="preserve"> wall - 200mm thick</t>
    </r>
  </si>
  <si>
    <t>300x150x200mm solid block wall - 200mm thick above all foundation beams.</t>
  </si>
  <si>
    <t>(c) All Timber door frames shall be treated timber. Rate shall include for Paint/Varnish finish.</t>
  </si>
  <si>
    <r>
      <t xml:space="preserve">D1 - Solid Timber framed door with Soild Timber door panel, 950 x 2785mm. </t>
    </r>
    <r>
      <rPr>
        <b/>
        <sz val="9"/>
        <rFont val="Times New Roman"/>
        <family val="1"/>
      </rPr>
      <t>All glazed fix panels shall be double glazed panels.</t>
    </r>
  </si>
  <si>
    <t>D2 - Solid Timber framed door with Soild Timber door panel, 850 x 2000mm.</t>
  </si>
  <si>
    <r>
      <t xml:space="preserve">W2 - Coated Aluminium framed Window with Openable glass panels and Fixed </t>
    </r>
    <r>
      <rPr>
        <b/>
        <sz val="9"/>
        <rFont val="Times New Roman"/>
        <family val="1"/>
      </rPr>
      <t xml:space="preserve">double glazed </t>
    </r>
    <r>
      <rPr>
        <sz val="9"/>
        <rFont val="Times New Roman"/>
        <family val="1"/>
      </rPr>
      <t>panels at top , 1575 x 1785mm</t>
    </r>
  </si>
  <si>
    <t>W4 - Coated Aluminium framed Window with Fixed aluminium louvered panels, 700 x 650mm</t>
  </si>
  <si>
    <t>Third floor - Class room</t>
  </si>
  <si>
    <t>Third floor  - Corridor &amp; Toilet / Wash room</t>
  </si>
  <si>
    <t>External surface of exeterior wall &amp; Concrete surfaces</t>
  </si>
  <si>
    <t xml:space="preserve">Supply, Fabrication and Fixing S.S.Railing - Fixed at Center of the Staircase between two flights as per details </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</si>
  <si>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</si>
  <si>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</si>
  <si>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t>Toilet &amp; Wash</t>
  </si>
  <si>
    <t>Stair Lobby area</t>
  </si>
  <si>
    <t>Corridor &amp; Stair Lobby area</t>
  </si>
  <si>
    <t>Roof Slabs</t>
  </si>
  <si>
    <t>Roof slab</t>
  </si>
  <si>
    <t>First floor  - Toilet / Wash room</t>
  </si>
  <si>
    <t>Second floor  - Toilet / Wash room</t>
  </si>
  <si>
    <t>Roof Truss - Supply, Fabrication and Fixing Roof Trusses complete with  Base plates, Gussette plates, Bolts, nuts, Washers etc including  Paint Finishes. Refer drawing detail    S 09.</t>
  </si>
  <si>
    <t>(c) Ground water connection shall be made as specified in the drawings.</t>
  </si>
  <si>
    <t>(e) All pipes shall be High Pressure  uPVC "Mutha" or equivalent brand.</t>
  </si>
  <si>
    <t>GLASS BLOCK WALL FINISHES</t>
  </si>
  <si>
    <t>200 x 200mm Glass block wall</t>
  </si>
  <si>
    <t>Ground floor</t>
  </si>
  <si>
    <t>First floor</t>
  </si>
  <si>
    <t>Second floor</t>
  </si>
  <si>
    <t>Third floor</t>
  </si>
  <si>
    <t>Supply, Fabrication and Installation of  S.S.Railing - Staircase as per details (Refer drawing - A13)</t>
  </si>
  <si>
    <t>Charges for construction of R.c.c. Sills and Lintels for the windows and doors as per details. Rate shall include for shuttering and Reinforcement works complete. 200 x 200mm Lintel &amp; Sill Beam inside the wall and 450 x 100mm Lintel slab and Sill slab at rear side for window W1.</t>
  </si>
  <si>
    <t>Safety - Providing and fixing scaffolding with G.I. pipes and clamps and pvc netting alaround building during construction</t>
  </si>
  <si>
    <t>LOGISTICS</t>
  </si>
  <si>
    <t>1.6</t>
  </si>
  <si>
    <t>Charges for transporting material and other logistics expenses during construction period.</t>
  </si>
  <si>
    <t>CLEAN UP</t>
  </si>
  <si>
    <t>(e) Rates shall include for supply and complete installation of fittings and fixtures.</t>
  </si>
  <si>
    <t>(d) Each Light/ light fixture and its switch is measured as one one point; similarly each fan or each socket outlet is measured as one point;</t>
  </si>
  <si>
    <t xml:space="preserve">Supply and Installation of STELCO approved Main Panel board with 4nos KWH meters. </t>
  </si>
  <si>
    <t xml:space="preserve">2 x 13A Power Socket - P02 </t>
  </si>
  <si>
    <t>1 Gang 1 way Switch - P19</t>
  </si>
  <si>
    <t>4.0.</t>
  </si>
  <si>
    <t>To be connected to existing well</t>
  </si>
  <si>
    <t>(Only for Indicative purpose)</t>
  </si>
  <si>
    <t>SUMMARY OF BILL OF QUANTITIES (given only for indicative purpose)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</si>
</sst>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1"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sz val="11"/>
      <name val="Arial"/>
      <family val="2"/>
    </font>
    <font>
      <b/>
      <sz val="22"/>
      <name val="Arial"/>
      <family val="2"/>
    </font>
    <font>
      <b/>
      <u/>
      <sz val="11"/>
      <name val="Arial"/>
      <family val="2"/>
    </font>
    <font>
      <b/>
      <sz val="11"/>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67">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medium">
        <color auto="1"/>
      </top>
      <bottom/>
      <diagonal/>
    </border>
    <border>
      <left style="thin">
        <color auto="1"/>
      </left>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668">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8" fillId="2" borderId="10" xfId="0" applyNumberFormat="1" applyFont="1" applyFill="1" applyBorder="1"/>
    <xf numFmtId="0" fontId="8" fillId="2" borderId="11" xfId="0" applyFont="1" applyFill="1" applyBorder="1"/>
    <xf numFmtId="0" fontId="9" fillId="2" borderId="12" xfId="0"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49" fontId="3" fillId="2" borderId="4" xfId="0" applyNumberFormat="1" applyFont="1" applyFill="1" applyBorder="1"/>
    <xf numFmtId="0" fontId="9" fillId="2" borderId="5" xfId="0" applyFont="1" applyFill="1" applyBorder="1" applyAlignment="1">
      <alignment horizontal="center"/>
    </xf>
    <xf numFmtId="43" fontId="9" fillId="2" borderId="6" xfId="0" applyNumberFormat="1"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0" fontId="11" fillId="0" borderId="1" xfId="0" applyFont="1" applyBorder="1" applyAlignment="1">
      <alignment horizontal="center"/>
    </xf>
    <xf numFmtId="43" fontId="11" fillId="0" borderId="1" xfId="1" applyNumberFormat="1" applyFont="1" applyBorder="1"/>
    <xf numFmtId="43"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0" fontId="11" fillId="3" borderId="0" xfId="0" applyFont="1" applyFill="1"/>
    <xf numFmtId="0" fontId="18" fillId="6" borderId="1" xfId="0" applyFont="1" applyFill="1" applyBorder="1"/>
    <xf numFmtId="43" fontId="17" fillId="6" borderId="1" xfId="1" applyNumberFormat="1" applyFont="1" applyFill="1" applyBorder="1"/>
    <xf numFmtId="43"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0" fontId="12" fillId="2" borderId="1" xfId="2" applyNumberFormat="1" applyFont="1" applyFill="1" applyBorder="1" applyAlignment="1">
      <alignment horizontal="left" wrapText="1"/>
    </xf>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0" fontId="12" fillId="2" borderId="1" xfId="2" applyNumberFormat="1" applyFont="1" applyFill="1" applyBorder="1" applyAlignment="1">
      <alignment horizontal="left" wrapText="1"/>
    </xf>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43" fontId="12" fillId="3" borderId="0" xfId="1" applyNumberFormat="1" applyFont="1" applyFill="1" applyBorder="1" applyAlignment="1">
      <alignment horizontal="center"/>
    </xf>
    <xf numFmtId="164" fontId="11" fillId="0" borderId="0" xfId="0" applyNumberFormat="1" applyFont="1" applyAlignment="1"/>
    <xf numFmtId="43" fontId="11" fillId="0" borderId="0" xfId="1" applyNumberFormat="1" applyFont="1" applyBorder="1"/>
    <xf numFmtId="164" fontId="11" fillId="0" borderId="0" xfId="0" applyNumberFormat="1" applyFont="1" applyAlignment="1">
      <alignment horizontal="center"/>
    </xf>
    <xf numFmtId="49" fontId="12" fillId="2" borderId="19" xfId="2" applyNumberFormat="1" applyFont="1" applyFill="1" applyBorder="1" applyAlignment="1">
      <alignment horizontal="center" vertical="justify"/>
    </xf>
    <xf numFmtId="0" fontId="13" fillId="2" borderId="0" xfId="2" applyNumberFormat="1" applyFont="1" applyFill="1" applyBorder="1" applyAlignment="1">
      <alignment horizontal="center"/>
    </xf>
    <xf numFmtId="43" fontId="14" fillId="3" borderId="0" xfId="1" applyNumberFormat="1" applyFont="1" applyFill="1" applyBorder="1" applyAlignment="1">
      <alignment horizontal="center"/>
    </xf>
    <xf numFmtId="165" fontId="12" fillId="2" borderId="0" xfId="1" applyNumberFormat="1" applyFont="1" applyFill="1" applyBorder="1" applyAlignment="1">
      <alignment horizontal="center"/>
    </xf>
    <xf numFmtId="43" fontId="11" fillId="0" borderId="20" xfId="1" applyFont="1" applyBorder="1" applyAlignment="1">
      <alignment horizontal="center" vertical="center" wrapText="1"/>
    </xf>
    <xf numFmtId="43" fontId="12" fillId="2" borderId="0" xfId="2" applyFont="1" applyFill="1" applyBorder="1" applyAlignment="1">
      <alignment horizontal="center"/>
    </xf>
    <xf numFmtId="43" fontId="11" fillId="0" borderId="20" xfId="1" applyFont="1" applyBorder="1"/>
    <xf numFmtId="49" fontId="12" fillId="2" borderId="19" xfId="2" applyNumberFormat="1" applyFont="1" applyFill="1" applyBorder="1" applyAlignment="1">
      <alignment horizontal="center" vertical="top"/>
    </xf>
    <xf numFmtId="0" fontId="14" fillId="2" borderId="0" xfId="2" quotePrefix="1" applyNumberFormat="1" applyFont="1" applyFill="1" applyBorder="1" applyAlignment="1">
      <alignment horizontal="left"/>
    </xf>
    <xf numFmtId="0" fontId="13" fillId="2" borderId="0" xfId="2" applyNumberFormat="1" applyFont="1" applyFill="1" applyBorder="1" applyAlignment="1">
      <alignment horizontal="justify" vertical="top"/>
    </xf>
    <xf numFmtId="49" fontId="12" fillId="2" borderId="19" xfId="2" applyNumberFormat="1" applyFont="1" applyFill="1" applyBorder="1" applyAlignment="1">
      <alignment horizontal="center"/>
    </xf>
    <xf numFmtId="0" fontId="13" fillId="2" borderId="0" xfId="2" applyNumberFormat="1" applyFont="1" applyFill="1" applyBorder="1" applyAlignment="1">
      <alignment horizontal="center" vertical="top"/>
    </xf>
    <xf numFmtId="0" fontId="12" fillId="2" borderId="20" xfId="2" quotePrefix="1" applyNumberFormat="1" applyFont="1" applyFill="1" applyBorder="1" applyAlignment="1">
      <alignment vertical="top"/>
    </xf>
    <xf numFmtId="49" fontId="11" fillId="0" borderId="19" xfId="0" applyNumberFormat="1" applyFont="1" applyBorder="1"/>
    <xf numFmtId="43" fontId="17" fillId="0" borderId="20" xfId="1" applyFont="1" applyBorder="1"/>
    <xf numFmtId="0" fontId="12" fillId="2" borderId="20" xfId="2" applyNumberFormat="1" applyFont="1" applyFill="1" applyBorder="1" applyAlignment="1">
      <alignment vertical="top" wrapText="1"/>
    </xf>
    <xf numFmtId="0" fontId="12" fillId="2" borderId="20" xfId="2" applyNumberFormat="1" applyFont="1" applyFill="1" applyBorder="1" applyAlignment="1">
      <alignment wrapText="1"/>
    </xf>
    <xf numFmtId="43" fontId="12" fillId="3" borderId="0" xfId="1" applyFont="1" applyFill="1" applyBorder="1" applyAlignment="1">
      <alignment horizontal="center"/>
    </xf>
    <xf numFmtId="0" fontId="13" fillId="2" borderId="0" xfId="2" quotePrefix="1" applyNumberFormat="1" applyFont="1" applyFill="1" applyBorder="1" applyAlignment="1">
      <alignment horizontal="center"/>
    </xf>
    <xf numFmtId="49" fontId="14" fillId="2" borderId="19" xfId="2" applyNumberFormat="1" applyFont="1" applyFill="1" applyBorder="1" applyAlignment="1">
      <alignment horizontal="center" vertical="justify"/>
    </xf>
    <xf numFmtId="0" fontId="12" fillId="2" borderId="20" xfId="2" applyNumberFormat="1" applyFont="1" applyFill="1" applyBorder="1" applyAlignment="1"/>
    <xf numFmtId="0" fontId="11" fillId="0" borderId="0" xfId="0" applyFont="1" applyBorder="1"/>
    <xf numFmtId="49" fontId="14" fillId="3" borderId="19" xfId="2" applyNumberFormat="1" applyFont="1" applyFill="1" applyBorder="1" applyAlignment="1">
      <alignment horizontal="center" vertical="justify"/>
    </xf>
    <xf numFmtId="43" fontId="14" fillId="3" borderId="0" xfId="2" applyFont="1" applyFill="1" applyBorder="1" applyAlignment="1">
      <alignment horizontal="center"/>
    </xf>
    <xf numFmtId="165" fontId="12" fillId="3" borderId="0" xfId="1" applyNumberFormat="1" applyFont="1" applyFill="1" applyBorder="1" applyAlignment="1">
      <alignment horizontal="center"/>
    </xf>
    <xf numFmtId="49" fontId="14" fillId="10" borderId="19" xfId="2" applyNumberFormat="1" applyFont="1" applyFill="1" applyBorder="1" applyAlignment="1">
      <alignment horizontal="center"/>
    </xf>
    <xf numFmtId="0" fontId="13" fillId="10" borderId="0" xfId="2" applyNumberFormat="1" applyFont="1" applyFill="1" applyBorder="1" applyAlignment="1">
      <alignment horizontal="left" wrapText="1"/>
    </xf>
    <xf numFmtId="165" fontId="12" fillId="10" borderId="0" xfId="1" applyNumberFormat="1" applyFont="1" applyFill="1" applyBorder="1" applyAlignment="1">
      <alignment horizontal="center"/>
    </xf>
    <xf numFmtId="43" fontId="11" fillId="10" borderId="0" xfId="1" applyFont="1" applyFill="1" applyBorder="1"/>
    <xf numFmtId="43" fontId="11" fillId="10" borderId="20" xfId="1" applyFont="1" applyFill="1" applyBorder="1"/>
    <xf numFmtId="43" fontId="12" fillId="10" borderId="0" xfId="2" applyFont="1" applyFill="1" applyBorder="1" applyAlignment="1">
      <alignment horizontal="center"/>
    </xf>
    <xf numFmtId="43" fontId="12" fillId="10" borderId="0" xfId="1" applyNumberFormat="1" applyFont="1" applyFill="1" applyBorder="1" applyAlignment="1">
      <alignment horizontal="center"/>
    </xf>
    <xf numFmtId="43" fontId="11" fillId="5" borderId="20" xfId="1" applyFont="1" applyFill="1" applyBorder="1"/>
    <xf numFmtId="0" fontId="12" fillId="0" borderId="0" xfId="0" applyFont="1" applyBorder="1" applyAlignment="1">
      <alignment vertical="center" wrapText="1"/>
    </xf>
    <xf numFmtId="0" fontId="12" fillId="0" borderId="20" xfId="0" applyFont="1" applyBorder="1" applyAlignment="1">
      <alignment vertical="center" wrapText="1"/>
    </xf>
    <xf numFmtId="0" fontId="12" fillId="2" borderId="0" xfId="3" applyNumberFormat="1" applyFont="1" applyFill="1" applyBorder="1" applyAlignment="1">
      <alignment wrapText="1"/>
    </xf>
    <xf numFmtId="0" fontId="12" fillId="2" borderId="20" xfId="3" applyNumberFormat="1" applyFont="1" applyFill="1" applyBorder="1" applyAlignment="1">
      <alignment wrapText="1"/>
    </xf>
    <xf numFmtId="49" fontId="14" fillId="2" borderId="19" xfId="2" applyNumberFormat="1" applyFont="1" applyFill="1" applyBorder="1" applyAlignment="1">
      <alignment horizontal="left" vertical="justify"/>
    </xf>
    <xf numFmtId="43" fontId="12" fillId="2" borderId="0" xfId="1" applyNumberFormat="1" applyFont="1" applyFill="1" applyBorder="1" applyAlignment="1">
      <alignment horizontal="center"/>
    </xf>
    <xf numFmtId="49" fontId="12" fillId="2" borderId="19" xfId="2" applyNumberFormat="1" applyFont="1" applyFill="1" applyBorder="1" applyAlignment="1">
      <alignment horizontal="left" vertical="justify"/>
    </xf>
    <xf numFmtId="49" fontId="12" fillId="2" borderId="19" xfId="2" applyNumberFormat="1" applyFont="1" applyFill="1" applyBorder="1" applyAlignment="1">
      <alignment horizontal="left"/>
    </xf>
    <xf numFmtId="43" fontId="17" fillId="3" borderId="20" xfId="1" applyFont="1" applyFill="1" applyBorder="1"/>
    <xf numFmtId="165" fontId="12" fillId="2" borderId="19" xfId="1" applyNumberFormat="1" applyFont="1" applyFill="1" applyBorder="1" applyAlignment="1">
      <alignment horizontal="left" vertical="justify"/>
    </xf>
    <xf numFmtId="43" fontId="17" fillId="11" borderId="20" xfId="1" applyFont="1" applyFill="1" applyBorder="1"/>
    <xf numFmtId="165" fontId="12" fillId="2" borderId="21" xfId="1" applyNumberFormat="1" applyFont="1" applyFill="1" applyBorder="1" applyAlignment="1">
      <alignment horizontal="left" vertical="justify"/>
    </xf>
    <xf numFmtId="0" fontId="14" fillId="2" borderId="22" xfId="2" quotePrefix="1" applyNumberFormat="1" applyFont="1" applyFill="1" applyBorder="1" applyAlignment="1">
      <alignment horizontal="left"/>
    </xf>
    <xf numFmtId="0" fontId="11" fillId="0" borderId="22" xfId="0" applyFont="1" applyBorder="1" applyAlignment="1">
      <alignment horizontal="center"/>
    </xf>
    <xf numFmtId="43" fontId="11" fillId="0" borderId="22" xfId="1" applyFont="1" applyBorder="1"/>
    <xf numFmtId="165" fontId="11" fillId="0" borderId="22" xfId="1" applyNumberFormat="1" applyFont="1" applyBorder="1"/>
    <xf numFmtId="43" fontId="17" fillId="0" borderId="23" xfId="1" applyFont="1" applyBorder="1"/>
    <xf numFmtId="49"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43" fontId="11" fillId="0" borderId="25" xfId="1" applyNumberFormat="1" applyFont="1" applyBorder="1" applyAlignment="1">
      <alignment horizontal="center" vertical="center"/>
    </xf>
    <xf numFmtId="165" fontId="11" fillId="0" borderId="25" xfId="1" applyNumberFormat="1" applyFont="1" applyBorder="1" applyAlignment="1">
      <alignment horizontal="center" vertical="center" wrapText="1"/>
    </xf>
    <xf numFmtId="43" fontId="11" fillId="0" borderId="25" xfId="1" applyFont="1" applyBorder="1" applyAlignment="1">
      <alignment horizontal="center" vertical="center" wrapText="1"/>
    </xf>
    <xf numFmtId="43" fontId="11" fillId="0" borderId="26" xfId="1" applyFont="1" applyBorder="1" applyAlignment="1">
      <alignment horizontal="center" vertical="center" wrapText="1"/>
    </xf>
    <xf numFmtId="49" fontId="12" fillId="2" borderId="27" xfId="2" applyNumberFormat="1" applyFont="1" applyFill="1" applyBorder="1" applyAlignment="1">
      <alignment horizontal="center" vertical="justify"/>
    </xf>
    <xf numFmtId="0" fontId="14" fillId="2" borderId="28" xfId="2" quotePrefix="1" applyNumberFormat="1" applyFont="1" applyFill="1" applyBorder="1" applyAlignment="1">
      <alignment horizontal="left"/>
    </xf>
    <xf numFmtId="0" fontId="12" fillId="3" borderId="28" xfId="3" applyFont="1" applyFill="1" applyBorder="1" applyAlignment="1">
      <alignment horizontal="center"/>
    </xf>
    <xf numFmtId="43" fontId="12" fillId="3" borderId="28" xfId="1" applyNumberFormat="1" applyFont="1" applyFill="1" applyBorder="1" applyAlignment="1">
      <alignment horizontal="center"/>
    </xf>
    <xf numFmtId="165" fontId="12" fillId="2" borderId="28" xfId="1" applyNumberFormat="1" applyFont="1" applyFill="1" applyBorder="1" applyAlignment="1">
      <alignment horizontal="center"/>
    </xf>
    <xf numFmtId="43" fontId="11" fillId="0" borderId="29" xfId="1" applyFont="1" applyBorder="1" applyAlignment="1">
      <alignment horizontal="center" vertical="center" wrapText="1"/>
    </xf>
    <xf numFmtId="49" fontId="12" fillId="2" borderId="21" xfId="2" applyNumberFormat="1" applyFont="1" applyFill="1" applyBorder="1" applyAlignment="1">
      <alignment horizontal="center" vertical="justify"/>
    </xf>
    <xf numFmtId="0" fontId="12" fillId="4" borderId="22" xfId="3" applyFont="1" applyFill="1" applyBorder="1" applyAlignment="1">
      <alignment horizontal="center"/>
    </xf>
    <xf numFmtId="43" fontId="12" fillId="3" borderId="22" xfId="1" applyNumberFormat="1" applyFont="1" applyFill="1" applyBorder="1" applyAlignment="1">
      <alignment horizontal="center"/>
    </xf>
    <xf numFmtId="165" fontId="12" fillId="2" borderId="22" xfId="1" applyNumberFormat="1" applyFont="1" applyFill="1" applyBorder="1" applyAlignment="1">
      <alignment horizontal="center"/>
    </xf>
    <xf numFmtId="43" fontId="17" fillId="0" borderId="23" xfId="1" applyFont="1" applyBorder="1" applyAlignment="1">
      <alignment horizontal="center" vertical="center" wrapText="1"/>
    </xf>
    <xf numFmtId="43" fontId="11" fillId="0" borderId="30" xfId="1" applyFont="1" applyBorder="1" applyAlignment="1">
      <alignment horizontal="center" vertical="center" wrapText="1"/>
    </xf>
    <xf numFmtId="43" fontId="11" fillId="0" borderId="31" xfId="1" applyFont="1" applyBorder="1" applyAlignment="1">
      <alignment horizontal="center" vertical="center" wrapText="1"/>
    </xf>
    <xf numFmtId="43" fontId="12" fillId="2" borderId="28" xfId="2" applyFont="1" applyFill="1" applyBorder="1" applyAlignment="1">
      <alignment horizontal="center"/>
    </xf>
    <xf numFmtId="43" fontId="12" fillId="2" borderId="22" xfId="2" applyFont="1" applyFill="1" applyBorder="1" applyAlignment="1">
      <alignment horizontal="center"/>
    </xf>
    <xf numFmtId="43" fontId="11" fillId="0" borderId="22" xfId="1" applyNumberFormat="1" applyFont="1" applyBorder="1"/>
    <xf numFmtId="49" fontId="17" fillId="6" borderId="33" xfId="0" applyNumberFormat="1" applyFont="1" applyFill="1" applyBorder="1"/>
    <xf numFmtId="0" fontId="18" fillId="6" borderId="34" xfId="0" applyFont="1" applyFill="1" applyBorder="1" applyAlignment="1">
      <alignment wrapText="1"/>
    </xf>
    <xf numFmtId="0" fontId="17" fillId="6" borderId="34" xfId="0" applyFont="1" applyFill="1" applyBorder="1" applyAlignment="1">
      <alignment horizontal="center"/>
    </xf>
    <xf numFmtId="43" fontId="17" fillId="6" borderId="34" xfId="1" applyNumberFormat="1" applyFont="1" applyFill="1" applyBorder="1"/>
    <xf numFmtId="165" fontId="17" fillId="6" borderId="34" xfId="1" applyNumberFormat="1" applyFont="1" applyFill="1" applyBorder="1"/>
    <xf numFmtId="43" fontId="17" fillId="6" borderId="34" xfId="1" applyFont="1" applyFill="1" applyBorder="1"/>
    <xf numFmtId="43" fontId="17" fillId="6" borderId="35" xfId="1" applyFont="1" applyFill="1" applyBorder="1"/>
    <xf numFmtId="49" fontId="12" fillId="2" borderId="33" xfId="2" applyNumberFormat="1" applyFont="1" applyFill="1" applyBorder="1" applyAlignment="1">
      <alignment horizontal="center" vertical="justify"/>
    </xf>
    <xf numFmtId="0" fontId="12" fillId="2" borderId="34" xfId="2" applyNumberFormat="1" applyFont="1" applyFill="1" applyBorder="1" applyAlignment="1">
      <alignment horizontal="left" vertical="top" wrapText="1"/>
    </xf>
    <xf numFmtId="49" fontId="12" fillId="2" borderId="34" xfId="2" applyNumberFormat="1" applyFont="1" applyFill="1" applyBorder="1" applyAlignment="1">
      <alignment horizontal="center"/>
    </xf>
    <xf numFmtId="43" fontId="12" fillId="3" borderId="34" xfId="1" applyNumberFormat="1" applyFont="1" applyFill="1" applyBorder="1" applyAlignment="1">
      <alignment horizontal="center"/>
    </xf>
    <xf numFmtId="165" fontId="12" fillId="2" borderId="34" xfId="1" applyNumberFormat="1" applyFont="1" applyFill="1" applyBorder="1" applyAlignment="1">
      <alignment horizontal="center"/>
    </xf>
    <xf numFmtId="43" fontId="11" fillId="0" borderId="34" xfId="1" applyFont="1" applyBorder="1"/>
    <xf numFmtId="43" fontId="11" fillId="0" borderId="35" xfId="1" applyFont="1" applyBorder="1"/>
    <xf numFmtId="49" fontId="11" fillId="0" borderId="33" xfId="0" applyNumberFormat="1" applyFont="1" applyBorder="1"/>
    <xf numFmtId="0" fontId="11" fillId="0" borderId="34" xfId="0" applyFont="1" applyBorder="1" applyAlignment="1">
      <alignment wrapText="1"/>
    </xf>
    <xf numFmtId="0" fontId="11" fillId="0" borderId="34" xfId="0" applyFont="1" applyBorder="1" applyAlignment="1">
      <alignment horizontal="center"/>
    </xf>
    <xf numFmtId="43" fontId="11" fillId="0" borderId="34" xfId="1" applyNumberFormat="1" applyFont="1" applyBorder="1"/>
    <xf numFmtId="49" fontId="17" fillId="0" borderId="33" xfId="0" applyNumberFormat="1" applyFont="1" applyBorder="1"/>
    <xf numFmtId="0" fontId="18" fillId="0" borderId="34" xfId="0" applyFont="1" applyBorder="1" applyAlignment="1">
      <alignment wrapText="1"/>
    </xf>
    <xf numFmtId="0" fontId="17" fillId="0" borderId="34" xfId="0" applyFont="1" applyBorder="1" applyAlignment="1">
      <alignment horizontal="center"/>
    </xf>
    <xf numFmtId="43" fontId="17" fillId="0" borderId="34" xfId="1" applyNumberFormat="1" applyFont="1" applyBorder="1"/>
    <xf numFmtId="165" fontId="17" fillId="0" borderId="34" xfId="1" applyNumberFormat="1" applyFont="1" applyBorder="1"/>
    <xf numFmtId="43" fontId="17" fillId="0" borderId="34" xfId="1" applyFont="1" applyBorder="1"/>
    <xf numFmtId="43" fontId="17" fillId="0" borderId="35" xfId="1" applyFont="1" applyBorder="1"/>
    <xf numFmtId="49" fontId="11" fillId="0" borderId="36" xfId="0" applyNumberFormat="1" applyFont="1" applyBorder="1"/>
    <xf numFmtId="43" fontId="11" fillId="0" borderId="37" xfId="1" applyNumberFormat="1" applyFont="1" applyBorder="1"/>
    <xf numFmtId="165" fontId="12" fillId="2" borderId="37" xfId="1" applyNumberFormat="1" applyFont="1" applyFill="1" applyBorder="1" applyAlignment="1">
      <alignment horizontal="center"/>
    </xf>
    <xf numFmtId="43" fontId="11" fillId="0" borderId="37" xfId="1" applyFont="1" applyBorder="1"/>
    <xf numFmtId="43" fontId="11" fillId="0" borderId="38" xfId="1" applyFont="1" applyBorder="1"/>
    <xf numFmtId="49" fontId="17" fillId="6" borderId="39" xfId="0" applyNumberFormat="1" applyFont="1" applyFill="1" applyBorder="1"/>
    <xf numFmtId="0" fontId="18" fillId="6" borderId="40" xfId="0" applyFont="1" applyFill="1" applyBorder="1" applyAlignment="1">
      <alignment wrapText="1"/>
    </xf>
    <xf numFmtId="0" fontId="17" fillId="6" borderId="40" xfId="0" applyFont="1" applyFill="1" applyBorder="1" applyAlignment="1">
      <alignment horizontal="center"/>
    </xf>
    <xf numFmtId="43" fontId="17" fillId="6" borderId="40" xfId="1" applyNumberFormat="1" applyFont="1" applyFill="1" applyBorder="1"/>
    <xf numFmtId="165" fontId="17" fillId="6" borderId="40" xfId="1" applyNumberFormat="1" applyFont="1" applyFill="1" applyBorder="1"/>
    <xf numFmtId="43" fontId="17" fillId="6" borderId="40" xfId="1" applyFont="1" applyFill="1" applyBorder="1"/>
    <xf numFmtId="43" fontId="17" fillId="6" borderId="41" xfId="1" applyFont="1" applyFill="1" applyBorder="1"/>
    <xf numFmtId="43" fontId="11" fillId="0" borderId="28" xfId="1" applyFont="1" applyBorder="1"/>
    <xf numFmtId="43" fontId="11" fillId="0" borderId="29" xfId="1" applyFont="1" applyBorder="1"/>
    <xf numFmtId="43" fontId="11" fillId="0" borderId="42" xfId="1" applyFont="1" applyBorder="1"/>
    <xf numFmtId="43" fontId="17" fillId="0" borderId="38" xfId="1" applyFont="1" applyBorder="1"/>
    <xf numFmtId="0" fontId="11" fillId="6" borderId="40" xfId="0" applyFont="1" applyFill="1" applyBorder="1" applyAlignment="1">
      <alignment horizontal="center"/>
    </xf>
    <xf numFmtId="43" fontId="11" fillId="6" borderId="40" xfId="1" applyNumberFormat="1" applyFont="1" applyFill="1" applyBorder="1"/>
    <xf numFmtId="165" fontId="11" fillId="6" borderId="40" xfId="1" applyNumberFormat="1" applyFont="1" applyFill="1" applyBorder="1"/>
    <xf numFmtId="43" fontId="11" fillId="6" borderId="40" xfId="1" applyFont="1" applyFill="1" applyBorder="1"/>
    <xf numFmtId="43" fontId="11" fillId="6" borderId="41" xfId="1" applyFont="1" applyFill="1" applyBorder="1"/>
    <xf numFmtId="0" fontId="11" fillId="6" borderId="34" xfId="0" applyFont="1" applyFill="1" applyBorder="1" applyAlignment="1">
      <alignment horizontal="center"/>
    </xf>
    <xf numFmtId="43" fontId="11" fillId="6" borderId="34" xfId="1" applyNumberFormat="1" applyFont="1" applyFill="1" applyBorder="1"/>
    <xf numFmtId="165" fontId="11" fillId="6" borderId="34" xfId="1" applyNumberFormat="1" applyFont="1" applyFill="1" applyBorder="1"/>
    <xf numFmtId="43" fontId="11" fillId="6" borderId="34" xfId="1" applyFont="1" applyFill="1" applyBorder="1"/>
    <xf numFmtId="43" fontId="11" fillId="6" borderId="35" xfId="1" applyFont="1" applyFill="1" applyBorder="1"/>
    <xf numFmtId="0" fontId="10" fillId="0" borderId="34" xfId="0" applyFont="1" applyBorder="1" applyAlignment="1">
      <alignment wrapText="1"/>
    </xf>
    <xf numFmtId="165" fontId="11" fillId="0" borderId="34" xfId="1" applyNumberFormat="1" applyFont="1" applyBorder="1"/>
    <xf numFmtId="49" fontId="17" fillId="3" borderId="33" xfId="0" applyNumberFormat="1" applyFont="1" applyFill="1" applyBorder="1"/>
    <xf numFmtId="0" fontId="18" fillId="3" borderId="34" xfId="0" applyFont="1" applyFill="1" applyBorder="1" applyAlignment="1">
      <alignment wrapText="1"/>
    </xf>
    <xf numFmtId="0" fontId="17" fillId="3" borderId="34" xfId="0" applyFont="1" applyFill="1" applyBorder="1" applyAlignment="1">
      <alignment horizontal="center"/>
    </xf>
    <xf numFmtId="43" fontId="17" fillId="3" borderId="34" xfId="1" applyNumberFormat="1" applyFont="1" applyFill="1" applyBorder="1"/>
    <xf numFmtId="165" fontId="17" fillId="3" borderId="34" xfId="1" applyNumberFormat="1" applyFont="1" applyFill="1" applyBorder="1"/>
    <xf numFmtId="49" fontId="11" fillId="3" borderId="33" xfId="0" applyNumberFormat="1" applyFont="1" applyFill="1" applyBorder="1"/>
    <xf numFmtId="0" fontId="11" fillId="3" borderId="34" xfId="0" applyFont="1" applyFill="1" applyBorder="1" applyAlignment="1">
      <alignment wrapText="1"/>
    </xf>
    <xf numFmtId="0" fontId="11" fillId="3" borderId="34" xfId="0" applyFont="1" applyFill="1" applyBorder="1" applyAlignment="1">
      <alignment horizontal="center"/>
    </xf>
    <xf numFmtId="43" fontId="11" fillId="3" borderId="34" xfId="1" applyNumberFormat="1" applyFont="1" applyFill="1" applyBorder="1"/>
    <xf numFmtId="165" fontId="11" fillId="3" borderId="34" xfId="1" applyNumberFormat="1" applyFont="1" applyFill="1" applyBorder="1"/>
    <xf numFmtId="43" fontId="11" fillId="3" borderId="34" xfId="1" applyFont="1" applyFill="1" applyBorder="1"/>
    <xf numFmtId="43" fontId="11" fillId="3" borderId="35" xfId="1" applyFont="1" applyFill="1" applyBorder="1"/>
    <xf numFmtId="49" fontId="17" fillId="0" borderId="33" xfId="0" applyNumberFormat="1" applyFont="1" applyBorder="1" applyAlignment="1">
      <alignment vertical="top"/>
    </xf>
    <xf numFmtId="49" fontId="11" fillId="0" borderId="33" xfId="0" applyNumberFormat="1" applyFont="1" applyBorder="1" applyAlignment="1">
      <alignment vertical="top"/>
    </xf>
    <xf numFmtId="0" fontId="12" fillId="3" borderId="34" xfId="3" applyFont="1" applyFill="1" applyBorder="1" applyAlignment="1">
      <alignment horizontal="left" wrapText="1"/>
    </xf>
    <xf numFmtId="43" fontId="12" fillId="3" borderId="34" xfId="1" applyFont="1" applyFill="1" applyBorder="1" applyAlignment="1">
      <alignment horizontal="center"/>
    </xf>
    <xf numFmtId="0" fontId="17" fillId="0" borderId="34" xfId="0" applyFont="1" applyBorder="1" applyAlignment="1">
      <alignment wrapText="1"/>
    </xf>
    <xf numFmtId="0" fontId="17" fillId="0" borderId="37" xfId="0" applyFont="1" applyBorder="1" applyAlignment="1">
      <alignment wrapText="1"/>
    </xf>
    <xf numFmtId="0" fontId="17" fillId="0" borderId="37" xfId="0" applyFont="1" applyBorder="1" applyAlignment="1">
      <alignment horizontal="center"/>
    </xf>
    <xf numFmtId="43" fontId="17" fillId="0" borderId="37" xfId="1" applyNumberFormat="1" applyFont="1" applyBorder="1"/>
    <xf numFmtId="165" fontId="11" fillId="0" borderId="37" xfId="1" applyNumberFormat="1" applyFont="1" applyBorder="1"/>
    <xf numFmtId="165" fontId="11" fillId="3" borderId="37" xfId="1" applyNumberFormat="1" applyFont="1" applyFill="1" applyBorder="1"/>
    <xf numFmtId="43" fontId="11" fillId="3" borderId="37" xfId="1" applyFont="1" applyFill="1" applyBorder="1"/>
    <xf numFmtId="0" fontId="11" fillId="0" borderId="37" xfId="0" applyFont="1" applyBorder="1" applyAlignment="1">
      <alignment horizontal="center"/>
    </xf>
    <xf numFmtId="0" fontId="18" fillId="6" borderId="34" xfId="0" applyFont="1" applyFill="1" applyBorder="1"/>
    <xf numFmtId="0" fontId="17" fillId="0" borderId="34" xfId="0" applyFont="1" applyBorder="1"/>
    <xf numFmtId="0" fontId="11" fillId="0" borderId="34" xfId="0" applyFont="1" applyBorder="1"/>
    <xf numFmtId="49" fontId="14" fillId="5" borderId="33" xfId="2" applyNumberFormat="1" applyFont="1" applyFill="1" applyBorder="1" applyAlignment="1">
      <alignment horizontal="center" vertical="justify"/>
    </xf>
    <xf numFmtId="0" fontId="13" fillId="5" borderId="34" xfId="2" applyNumberFormat="1" applyFont="1" applyFill="1" applyBorder="1" applyAlignment="1">
      <alignment horizontal="center"/>
    </xf>
    <xf numFmtId="43" fontId="12" fillId="5" borderId="34" xfId="2" applyFont="1" applyFill="1" applyBorder="1" applyAlignment="1">
      <alignment horizontal="center"/>
    </xf>
    <xf numFmtId="43" fontId="12" fillId="5" borderId="34" xfId="1" applyNumberFormat="1" applyFont="1" applyFill="1" applyBorder="1" applyAlignment="1">
      <alignment horizontal="center"/>
    </xf>
    <xf numFmtId="165" fontId="12" fillId="5" borderId="34" xfId="1" applyNumberFormat="1" applyFont="1" applyFill="1" applyBorder="1" applyAlignment="1">
      <alignment horizontal="center"/>
    </xf>
    <xf numFmtId="43" fontId="14" fillId="5" borderId="35" xfId="2" applyFont="1" applyFill="1" applyBorder="1"/>
    <xf numFmtId="0" fontId="12" fillId="2" borderId="34" xfId="2" applyNumberFormat="1" applyFont="1" applyFill="1" applyBorder="1" applyAlignment="1">
      <alignment wrapText="1"/>
    </xf>
    <xf numFmtId="0" fontId="12" fillId="2" borderId="35" xfId="2" applyNumberFormat="1" applyFont="1" applyFill="1" applyBorder="1" applyAlignment="1"/>
    <xf numFmtId="0" fontId="12" fillId="2" borderId="34" xfId="2" applyNumberFormat="1" applyFont="1" applyFill="1" applyBorder="1" applyAlignment="1"/>
    <xf numFmtId="0" fontId="18" fillId="0" borderId="34" xfId="0" applyFont="1" applyBorder="1"/>
    <xf numFmtId="43" fontId="17" fillId="0" borderId="34" xfId="1" applyFont="1" applyBorder="1" applyAlignment="1"/>
    <xf numFmtId="43" fontId="11" fillId="0" borderId="30" xfId="1" applyFont="1" applyBorder="1"/>
    <xf numFmtId="43" fontId="11" fillId="0" borderId="31" xfId="1" applyFont="1" applyBorder="1"/>
    <xf numFmtId="49" fontId="14" fillId="10" borderId="39" xfId="2" applyNumberFormat="1" applyFont="1" applyFill="1" applyBorder="1" applyAlignment="1">
      <alignment horizontal="center"/>
    </xf>
    <xf numFmtId="0" fontId="13" fillId="10" borderId="40" xfId="2" applyNumberFormat="1" applyFont="1" applyFill="1" applyBorder="1" applyAlignment="1">
      <alignment horizontal="left" wrapText="1"/>
    </xf>
    <xf numFmtId="43" fontId="14" fillId="10" borderId="40" xfId="2" applyFont="1" applyFill="1" applyBorder="1" applyAlignment="1">
      <alignment horizontal="center"/>
    </xf>
    <xf numFmtId="43" fontId="14" fillId="10" borderId="40" xfId="1" applyNumberFormat="1" applyFont="1" applyFill="1" applyBorder="1" applyAlignment="1">
      <alignment horizontal="center"/>
    </xf>
    <xf numFmtId="165" fontId="12" fillId="10" borderId="40" xfId="1" applyNumberFormat="1" applyFont="1" applyFill="1" applyBorder="1" applyAlignment="1">
      <alignment horizontal="center"/>
    </xf>
    <xf numFmtId="43" fontId="11" fillId="10" borderId="40" xfId="1" applyFont="1" applyFill="1" applyBorder="1"/>
    <xf numFmtId="43" fontId="11" fillId="10" borderId="41" xfId="1" applyFont="1" applyFill="1" applyBorder="1"/>
    <xf numFmtId="49" fontId="3" fillId="3" borderId="33" xfId="0" applyNumberFormat="1" applyFont="1" applyFill="1" applyBorder="1" applyAlignment="1">
      <alignment horizontal="center" vertical="center"/>
    </xf>
    <xf numFmtId="0" fontId="23" fillId="3" borderId="34" xfId="0" applyFont="1" applyFill="1" applyBorder="1" applyAlignment="1">
      <alignment vertical="center" wrapText="1"/>
    </xf>
    <xf numFmtId="0" fontId="3" fillId="3" borderId="34" xfId="0" applyFont="1" applyFill="1" applyBorder="1" applyAlignment="1">
      <alignment horizontal="center" vertical="center"/>
    </xf>
    <xf numFmtId="43" fontId="3" fillId="3" borderId="34" xfId="0" applyNumberFormat="1" applyFont="1" applyFill="1" applyBorder="1" applyAlignment="1">
      <alignment horizontal="center" vertical="center"/>
    </xf>
    <xf numFmtId="165" fontId="12" fillId="3" borderId="34" xfId="1" applyNumberFormat="1" applyFont="1" applyFill="1" applyBorder="1" applyAlignment="1">
      <alignment horizontal="center"/>
    </xf>
    <xf numFmtId="49" fontId="3" fillId="6" borderId="33" xfId="0" applyNumberFormat="1" applyFont="1" applyFill="1" applyBorder="1" applyAlignment="1">
      <alignment horizontal="center" vertical="center"/>
    </xf>
    <xf numFmtId="0" fontId="23" fillId="6" borderId="34" xfId="0" applyFont="1" applyFill="1" applyBorder="1" applyAlignment="1">
      <alignment vertical="center" wrapText="1"/>
    </xf>
    <xf numFmtId="0" fontId="3" fillId="6" borderId="34" xfId="0" applyFont="1" applyFill="1" applyBorder="1" applyAlignment="1">
      <alignment horizontal="center" vertical="center"/>
    </xf>
    <xf numFmtId="43" fontId="3" fillId="6" borderId="34" xfId="0" applyNumberFormat="1" applyFont="1" applyFill="1" applyBorder="1" applyAlignment="1">
      <alignment horizontal="center" vertical="center"/>
    </xf>
    <xf numFmtId="0" fontId="3" fillId="3" borderId="34" xfId="0" applyFont="1" applyFill="1" applyBorder="1" applyAlignment="1">
      <alignment vertical="center" wrapText="1"/>
    </xf>
    <xf numFmtId="49" fontId="3" fillId="3" borderId="43" xfId="0" applyNumberFormat="1" applyFont="1" applyFill="1" applyBorder="1" applyAlignment="1">
      <alignment horizontal="center" vertical="center"/>
    </xf>
    <xf numFmtId="0" fontId="3" fillId="3" borderId="44" xfId="0" applyFont="1" applyFill="1" applyBorder="1" applyAlignment="1">
      <alignment vertical="center" wrapText="1"/>
    </xf>
    <xf numFmtId="0" fontId="3" fillId="3" borderId="44" xfId="0" applyFont="1" applyFill="1" applyBorder="1" applyAlignment="1">
      <alignment horizontal="center" vertical="center"/>
    </xf>
    <xf numFmtId="43" fontId="3" fillId="3" borderId="44" xfId="0" applyNumberFormat="1" applyFont="1" applyFill="1" applyBorder="1" applyAlignment="1">
      <alignment horizontal="center" vertical="center"/>
    </xf>
    <xf numFmtId="165" fontId="11" fillId="3" borderId="44" xfId="1" applyNumberFormat="1" applyFont="1" applyFill="1" applyBorder="1"/>
    <xf numFmtId="43" fontId="11" fillId="3" borderId="44" xfId="1" applyFont="1" applyFill="1" applyBorder="1"/>
    <xf numFmtId="43" fontId="11" fillId="3" borderId="45" xfId="1" applyFont="1" applyFill="1" applyBorder="1"/>
    <xf numFmtId="0" fontId="12" fillId="2" borderId="18" xfId="2" applyNumberFormat="1" applyFont="1" applyFill="1" applyBorder="1" applyAlignment="1">
      <alignment wrapText="1"/>
    </xf>
    <xf numFmtId="0" fontId="12" fillId="2" borderId="48" xfId="2" applyNumberFormat="1" applyFont="1" applyFill="1" applyBorder="1" applyAlignment="1">
      <alignment wrapText="1"/>
    </xf>
    <xf numFmtId="49" fontId="3" fillId="6" borderId="39" xfId="0" applyNumberFormat="1" applyFont="1" applyFill="1" applyBorder="1" applyAlignment="1">
      <alignment horizontal="center" vertical="center"/>
    </xf>
    <xf numFmtId="0" fontId="23" fillId="6" borderId="40" xfId="0" applyFont="1" applyFill="1" applyBorder="1" applyAlignment="1">
      <alignment vertical="center" wrapText="1"/>
    </xf>
    <xf numFmtId="0" fontId="3" fillId="6" borderId="40" xfId="0" applyFont="1" applyFill="1" applyBorder="1" applyAlignment="1">
      <alignment horizontal="center" vertical="center"/>
    </xf>
    <xf numFmtId="43" fontId="3" fillId="6" borderId="40" xfId="0" applyNumberFormat="1" applyFont="1" applyFill="1" applyBorder="1" applyAlignment="1">
      <alignment horizontal="center" vertical="center"/>
    </xf>
    <xf numFmtId="165" fontId="12" fillId="6" borderId="40" xfId="1" applyNumberFormat="1" applyFont="1" applyFill="1" applyBorder="1" applyAlignment="1">
      <alignment horizontal="center"/>
    </xf>
    <xf numFmtId="0" fontId="26" fillId="3" borderId="34" xfId="0" applyFont="1" applyFill="1" applyBorder="1" applyAlignment="1">
      <alignment vertical="center" wrapText="1"/>
    </xf>
    <xf numFmtId="165" fontId="12" fillId="6" borderId="34" xfId="1" applyNumberFormat="1" applyFont="1" applyFill="1" applyBorder="1" applyAlignment="1">
      <alignment horizontal="center"/>
    </xf>
    <xf numFmtId="49" fontId="14" fillId="5" borderId="33" xfId="2" applyNumberFormat="1" applyFont="1" applyFill="1" applyBorder="1" applyAlignment="1">
      <alignment horizontal="center"/>
    </xf>
    <xf numFmtId="0" fontId="13" fillId="5" borderId="34" xfId="2" applyNumberFormat="1" applyFont="1" applyFill="1" applyBorder="1" applyAlignment="1">
      <alignment horizontal="left" wrapText="1"/>
    </xf>
    <xf numFmtId="43" fontId="11" fillId="5" borderId="34" xfId="1" applyFont="1" applyFill="1" applyBorder="1"/>
    <xf numFmtId="43" fontId="11" fillId="5" borderId="35" xfId="1" applyFont="1" applyFill="1" applyBorder="1"/>
    <xf numFmtId="49" fontId="14" fillId="3" borderId="33" xfId="2" applyNumberFormat="1" applyFont="1" applyFill="1" applyBorder="1" applyAlignment="1">
      <alignment horizontal="center"/>
    </xf>
    <xf numFmtId="0" fontId="12" fillId="3" borderId="34" xfId="2" applyNumberFormat="1" applyFont="1" applyFill="1" applyBorder="1" applyAlignment="1">
      <alignment horizontal="left" wrapText="1"/>
    </xf>
    <xf numFmtId="43" fontId="12" fillId="3" borderId="34" xfId="2" applyFont="1" applyFill="1" applyBorder="1" applyAlignment="1">
      <alignment horizontal="center"/>
    </xf>
    <xf numFmtId="49" fontId="12" fillId="3" borderId="33" xfId="2" applyNumberFormat="1" applyFont="1" applyFill="1" applyBorder="1" applyAlignment="1">
      <alignment horizontal="center" vertical="top"/>
    </xf>
    <xf numFmtId="43" fontId="12" fillId="2" borderId="34" xfId="2" applyFont="1" applyFill="1" applyBorder="1" applyAlignment="1">
      <alignment horizontal="center"/>
    </xf>
    <xf numFmtId="49" fontId="12" fillId="2" borderId="49" xfId="2" applyNumberFormat="1" applyFont="1" applyFill="1" applyBorder="1" applyAlignment="1">
      <alignment horizontal="center" vertical="justify"/>
    </xf>
    <xf numFmtId="0" fontId="14" fillId="2" borderId="50" xfId="2" quotePrefix="1" applyNumberFormat="1" applyFont="1" applyFill="1" applyBorder="1" applyAlignment="1">
      <alignment horizontal="left"/>
    </xf>
    <xf numFmtId="43" fontId="12" fillId="2" borderId="50" xfId="2" applyFont="1" applyFill="1" applyBorder="1" applyAlignment="1">
      <alignment horizontal="center"/>
    </xf>
    <xf numFmtId="43" fontId="12" fillId="3" borderId="50" xfId="1" applyNumberFormat="1" applyFont="1" applyFill="1" applyBorder="1" applyAlignment="1">
      <alignment horizontal="center"/>
    </xf>
    <xf numFmtId="165" fontId="12" fillId="2" borderId="50" xfId="1" applyNumberFormat="1" applyFont="1" applyFill="1" applyBorder="1" applyAlignment="1">
      <alignment horizontal="center"/>
    </xf>
    <xf numFmtId="43" fontId="11" fillId="0" borderId="50" xfId="1" applyFont="1" applyBorder="1"/>
    <xf numFmtId="49" fontId="12" fillId="2" borderId="36" xfId="2" applyNumberFormat="1" applyFont="1" applyFill="1" applyBorder="1" applyAlignment="1">
      <alignment horizontal="center" vertical="justify"/>
    </xf>
    <xf numFmtId="43" fontId="12" fillId="2" borderId="37" xfId="2" applyFont="1" applyFill="1" applyBorder="1" applyAlignment="1">
      <alignment horizontal="center"/>
    </xf>
    <xf numFmtId="43" fontId="12" fillId="3" borderId="37" xfId="1" applyNumberFormat="1" applyFont="1" applyFill="1" applyBorder="1" applyAlignment="1">
      <alignment horizontal="center"/>
    </xf>
    <xf numFmtId="49" fontId="14" fillId="6" borderId="39" xfId="2" applyNumberFormat="1" applyFont="1" applyFill="1" applyBorder="1" applyAlignment="1">
      <alignment horizontal="center" vertical="justify"/>
    </xf>
    <xf numFmtId="0" fontId="13" fillId="6" borderId="40" xfId="2" applyNumberFormat="1" applyFont="1" applyFill="1" applyBorder="1" applyAlignment="1">
      <alignment horizontal="left" vertical="top"/>
    </xf>
    <xf numFmtId="43" fontId="12" fillId="6" borderId="40" xfId="2" applyFont="1" applyFill="1" applyBorder="1" applyAlignment="1">
      <alignment horizontal="center"/>
    </xf>
    <xf numFmtId="43" fontId="12" fillId="6" borderId="40" xfId="1" applyNumberFormat="1" applyFont="1" applyFill="1" applyBorder="1" applyAlignment="1">
      <alignment horizontal="center"/>
    </xf>
    <xf numFmtId="49" fontId="14" fillId="8" borderId="33" xfId="2" applyNumberFormat="1" applyFont="1" applyFill="1" applyBorder="1" applyAlignment="1">
      <alignment horizontal="center" vertical="justify"/>
    </xf>
    <xf numFmtId="0" fontId="13" fillId="8" borderId="34" xfId="2" applyNumberFormat="1" applyFont="1" applyFill="1" applyBorder="1" applyAlignment="1">
      <alignment horizontal="left" vertical="top"/>
    </xf>
    <xf numFmtId="43" fontId="12" fillId="8" borderId="34" xfId="2" applyFont="1" applyFill="1" applyBorder="1" applyAlignment="1">
      <alignment horizontal="center"/>
    </xf>
    <xf numFmtId="43" fontId="12" fillId="8" borderId="34" xfId="1" applyNumberFormat="1" applyFont="1" applyFill="1" applyBorder="1" applyAlignment="1">
      <alignment horizontal="center"/>
    </xf>
    <xf numFmtId="165" fontId="12" fillId="8" borderId="34" xfId="1" applyNumberFormat="1" applyFont="1" applyFill="1" applyBorder="1" applyAlignment="1">
      <alignment horizontal="center"/>
    </xf>
    <xf numFmtId="43" fontId="11" fillId="8" borderId="34" xfId="1" applyFont="1" applyFill="1" applyBorder="1"/>
    <xf numFmtId="43" fontId="11" fillId="8" borderId="35" xfId="1" applyFont="1" applyFill="1" applyBorder="1"/>
    <xf numFmtId="49" fontId="12" fillId="2" borderId="33" xfId="2" applyNumberFormat="1" applyFont="1" applyFill="1" applyBorder="1" applyAlignment="1">
      <alignment horizontal="center" vertical="top"/>
    </xf>
    <xf numFmtId="0" fontId="12" fillId="0" borderId="34" xfId="3" applyFont="1" applyBorder="1" applyAlignment="1">
      <alignment horizontal="left" wrapText="1"/>
    </xf>
    <xf numFmtId="0" fontId="12" fillId="0" borderId="34" xfId="3" applyFont="1" applyFill="1" applyBorder="1" applyAlignment="1">
      <alignment horizontal="center"/>
    </xf>
    <xf numFmtId="43" fontId="11" fillId="0" borderId="34" xfId="1" applyFont="1" applyBorder="1" applyAlignment="1"/>
    <xf numFmtId="43" fontId="11" fillId="0" borderId="35" xfId="1" applyFont="1" applyBorder="1" applyAlignment="1"/>
    <xf numFmtId="49" fontId="14" fillId="6" borderId="33" xfId="2" applyNumberFormat="1" applyFont="1" applyFill="1" applyBorder="1" applyAlignment="1">
      <alignment horizontal="center" vertical="justify"/>
    </xf>
    <xf numFmtId="0" fontId="13" fillId="6" borderId="34" xfId="2" applyNumberFormat="1" applyFont="1" applyFill="1" applyBorder="1" applyAlignment="1">
      <alignment horizontal="left" vertical="top"/>
    </xf>
    <xf numFmtId="43" fontId="12" fillId="6" borderId="34" xfId="2" applyFont="1" applyFill="1" applyBorder="1" applyAlignment="1">
      <alignment horizontal="center"/>
    </xf>
    <xf numFmtId="43" fontId="12" fillId="6" borderId="34" xfId="1" applyNumberFormat="1" applyFont="1" applyFill="1" applyBorder="1" applyAlignment="1">
      <alignment horizontal="center"/>
    </xf>
    <xf numFmtId="49" fontId="14" fillId="2" borderId="33" xfId="2" applyNumberFormat="1" applyFont="1" applyFill="1" applyBorder="1" applyAlignment="1">
      <alignment horizontal="center" vertical="justify"/>
    </xf>
    <xf numFmtId="43" fontId="14" fillId="2" borderId="34" xfId="2" applyFont="1" applyFill="1" applyBorder="1" applyAlignment="1">
      <alignment horizontal="center"/>
    </xf>
    <xf numFmtId="43" fontId="14" fillId="3" borderId="34" xfId="1" applyNumberFormat="1" applyFont="1" applyFill="1" applyBorder="1" applyAlignment="1">
      <alignment horizontal="center"/>
    </xf>
    <xf numFmtId="43" fontId="14" fillId="2" borderId="50" xfId="2" applyFont="1" applyFill="1" applyBorder="1" applyAlignment="1">
      <alignment horizontal="center"/>
    </xf>
    <xf numFmtId="43" fontId="14" fillId="3" borderId="50" xfId="1" applyNumberFormat="1" applyFont="1" applyFill="1" applyBorder="1" applyAlignment="1">
      <alignment horizontal="center"/>
    </xf>
    <xf numFmtId="49" fontId="14" fillId="2" borderId="27" xfId="2" applyNumberFormat="1" applyFont="1" applyFill="1" applyBorder="1" applyAlignment="1">
      <alignment horizontal="center" vertical="justify"/>
    </xf>
    <xf numFmtId="43" fontId="14" fillId="2" borderId="28" xfId="2" applyFont="1" applyFill="1" applyBorder="1" applyAlignment="1">
      <alignment horizontal="center"/>
    </xf>
    <xf numFmtId="43" fontId="14" fillId="3" borderId="28" xfId="1" applyNumberFormat="1" applyFont="1" applyFill="1" applyBorder="1" applyAlignment="1">
      <alignment horizontal="center"/>
    </xf>
    <xf numFmtId="49" fontId="14" fillId="2" borderId="21" xfId="2" applyNumberFormat="1" applyFont="1" applyFill="1" applyBorder="1" applyAlignment="1">
      <alignment horizontal="center" vertical="justify"/>
    </xf>
    <xf numFmtId="43" fontId="14" fillId="2" borderId="22" xfId="2" applyFont="1" applyFill="1" applyBorder="1" applyAlignment="1">
      <alignment horizontal="center"/>
    </xf>
    <xf numFmtId="43" fontId="14" fillId="3" borderId="22" xfId="1" applyNumberFormat="1" applyFont="1" applyFill="1" applyBorder="1" applyAlignment="1">
      <alignment horizontal="center"/>
    </xf>
    <xf numFmtId="0" fontId="14" fillId="6" borderId="34" xfId="3" applyFont="1" applyFill="1" applyBorder="1" applyAlignment="1">
      <alignment horizontal="center"/>
    </xf>
    <xf numFmtId="43" fontId="14" fillId="6" borderId="34" xfId="1" applyNumberFormat="1" applyFont="1" applyFill="1" applyBorder="1" applyAlignment="1">
      <alignment horizontal="center"/>
    </xf>
    <xf numFmtId="165" fontId="14" fillId="6" borderId="34" xfId="1" applyNumberFormat="1" applyFont="1" applyFill="1" applyBorder="1" applyAlignment="1">
      <alignment horizontal="center"/>
    </xf>
    <xf numFmtId="0" fontId="12" fillId="3" borderId="34" xfId="2" applyNumberFormat="1" applyFont="1" applyFill="1" applyBorder="1" applyAlignment="1">
      <alignment horizontal="justify"/>
    </xf>
    <xf numFmtId="0" fontId="12" fillId="3" borderId="34" xfId="3" applyFont="1" applyFill="1" applyBorder="1" applyAlignment="1">
      <alignment horizontal="center"/>
    </xf>
    <xf numFmtId="0" fontId="13" fillId="5" borderId="34" xfId="2" applyNumberFormat="1" applyFont="1" applyFill="1" applyBorder="1" applyAlignment="1">
      <alignment horizontal="left"/>
    </xf>
    <xf numFmtId="0" fontId="12" fillId="2" borderId="34" xfId="3" applyFont="1" applyFill="1" applyBorder="1" applyAlignment="1">
      <alignment horizontal="left" wrapText="1"/>
    </xf>
    <xf numFmtId="0" fontId="12" fillId="0" borderId="34" xfId="3" applyFont="1" applyBorder="1" applyAlignment="1">
      <alignment horizontal="center"/>
    </xf>
    <xf numFmtId="49" fontId="14" fillId="5" borderId="39" xfId="2" applyNumberFormat="1" applyFont="1" applyFill="1" applyBorder="1" applyAlignment="1">
      <alignment horizontal="center" vertical="justify"/>
    </xf>
    <xf numFmtId="0" fontId="13" fillId="5" borderId="40" xfId="2" applyNumberFormat="1" applyFont="1" applyFill="1" applyBorder="1" applyAlignment="1">
      <alignment horizontal="justify" vertical="top"/>
    </xf>
    <xf numFmtId="43" fontId="12" fillId="5" borderId="40" xfId="2" applyFont="1" applyFill="1" applyBorder="1" applyAlignment="1">
      <alignment horizontal="center"/>
    </xf>
    <xf numFmtId="43" fontId="12" fillId="5" borderId="40" xfId="1" applyNumberFormat="1" applyFont="1" applyFill="1" applyBorder="1" applyAlignment="1">
      <alignment horizontal="center"/>
    </xf>
    <xf numFmtId="165" fontId="12" fillId="5" borderId="40" xfId="1" applyNumberFormat="1" applyFont="1" applyFill="1" applyBorder="1" applyAlignment="1">
      <alignment horizontal="center"/>
    </xf>
    <xf numFmtId="43" fontId="14" fillId="5" borderId="41" xfId="2" applyFont="1" applyFill="1" applyBorder="1"/>
    <xf numFmtId="0" fontId="13" fillId="6" borderId="34" xfId="2" applyNumberFormat="1" applyFont="1" applyFill="1" applyBorder="1" applyAlignment="1">
      <alignment horizontal="left"/>
    </xf>
    <xf numFmtId="0" fontId="12" fillId="6" borderId="34" xfId="2" applyNumberFormat="1" applyFont="1" applyFill="1" applyBorder="1" applyAlignment="1">
      <alignment horizontal="center"/>
    </xf>
    <xf numFmtId="43" fontId="12" fillId="6" borderId="35" xfId="2" applyFont="1" applyFill="1" applyBorder="1"/>
    <xf numFmtId="49" fontId="14" fillId="2" borderId="33" xfId="3" applyNumberFormat="1" applyFont="1" applyFill="1" applyBorder="1" applyAlignment="1">
      <alignment horizontal="center"/>
    </xf>
    <xf numFmtId="0" fontId="13" fillId="0" borderId="34" xfId="3" applyFont="1" applyFill="1" applyBorder="1" applyAlignment="1">
      <alignment horizontal="left" wrapText="1"/>
    </xf>
    <xf numFmtId="0" fontId="22" fillId="0" borderId="34" xfId="3" applyFont="1" applyFill="1" applyBorder="1" applyAlignment="1">
      <alignment horizontal="center"/>
    </xf>
    <xf numFmtId="43" fontId="22" fillId="3" borderId="34" xfId="1" applyNumberFormat="1" applyFont="1" applyFill="1" applyBorder="1" applyAlignment="1">
      <alignment horizontal="center"/>
    </xf>
    <xf numFmtId="165" fontId="14" fillId="2" borderId="34" xfId="1" applyNumberFormat="1" applyFont="1" applyFill="1" applyBorder="1" applyAlignment="1">
      <alignment horizontal="center"/>
    </xf>
    <xf numFmtId="0" fontId="13" fillId="5" borderId="34" xfId="2" applyNumberFormat="1" applyFont="1" applyFill="1" applyBorder="1" applyAlignment="1">
      <alignment horizontal="justify" vertical="top"/>
    </xf>
    <xf numFmtId="0" fontId="12" fillId="2" borderId="23" xfId="2" applyNumberFormat="1" applyFont="1" applyFill="1" applyBorder="1" applyAlignment="1"/>
    <xf numFmtId="49" fontId="14" fillId="6" borderId="49" xfId="1" applyNumberFormat="1" applyFont="1" applyFill="1" applyBorder="1" applyAlignment="1">
      <alignment horizontal="left" vertical="justify"/>
    </xf>
    <xf numFmtId="0" fontId="13" fillId="6" borderId="50" xfId="2" applyNumberFormat="1" applyFont="1" applyFill="1" applyBorder="1" applyAlignment="1">
      <alignment horizontal="justify"/>
    </xf>
    <xf numFmtId="43" fontId="14" fillId="6" borderId="50" xfId="2" applyFont="1" applyFill="1" applyBorder="1" applyAlignment="1">
      <alignment horizontal="center"/>
    </xf>
    <xf numFmtId="43" fontId="14" fillId="6" borderId="50" xfId="1" applyFont="1" applyFill="1" applyBorder="1" applyAlignment="1">
      <alignment horizontal="center"/>
    </xf>
    <xf numFmtId="165" fontId="14" fillId="6" borderId="50" xfId="1" applyNumberFormat="1" applyFont="1" applyFill="1" applyBorder="1" applyAlignment="1">
      <alignment horizontal="center"/>
    </xf>
    <xf numFmtId="43" fontId="11" fillId="6" borderId="50" xfId="1" applyFont="1" applyFill="1" applyBorder="1"/>
    <xf numFmtId="43" fontId="11" fillId="6" borderId="42" xfId="1" applyFont="1" applyFill="1" applyBorder="1"/>
    <xf numFmtId="49" fontId="14" fillId="10" borderId="33" xfId="1" applyNumberFormat="1" applyFont="1" applyFill="1" applyBorder="1" applyAlignment="1">
      <alignment horizontal="left" vertical="justify"/>
    </xf>
    <xf numFmtId="0" fontId="13" fillId="10" borderId="34" xfId="2" applyNumberFormat="1" applyFont="1" applyFill="1" applyBorder="1" applyAlignment="1">
      <alignment horizontal="justify"/>
    </xf>
    <xf numFmtId="43" fontId="12" fillId="10" borderId="34" xfId="2" applyFont="1" applyFill="1" applyBorder="1" applyAlignment="1">
      <alignment horizontal="center"/>
    </xf>
    <xf numFmtId="43" fontId="12" fillId="10" borderId="34" xfId="1" applyFont="1" applyFill="1" applyBorder="1" applyAlignment="1">
      <alignment horizontal="center"/>
    </xf>
    <xf numFmtId="165" fontId="12" fillId="10" borderId="34" xfId="1" applyNumberFormat="1" applyFont="1" applyFill="1" applyBorder="1" applyAlignment="1">
      <alignment horizontal="center"/>
    </xf>
    <xf numFmtId="43" fontId="12" fillId="10" borderId="34" xfId="1" applyNumberFormat="1" applyFont="1" applyFill="1" applyBorder="1" applyAlignment="1">
      <alignment horizontal="center"/>
    </xf>
    <xf numFmtId="43" fontId="14" fillId="10" borderId="35" xfId="2" applyFont="1" applyFill="1" applyBorder="1"/>
    <xf numFmtId="49" fontId="12" fillId="3" borderId="33" xfId="1" applyNumberFormat="1" applyFont="1" applyFill="1" applyBorder="1" applyAlignment="1">
      <alignment horizontal="left" vertical="justify"/>
    </xf>
    <xf numFmtId="0" fontId="13" fillId="10" borderId="34" xfId="2" applyNumberFormat="1" applyFont="1" applyFill="1" applyBorder="1" applyAlignment="1">
      <alignment horizontal="left"/>
    </xf>
    <xf numFmtId="43" fontId="11" fillId="10" borderId="34" xfId="1" applyFont="1" applyFill="1" applyBorder="1"/>
    <xf numFmtId="43" fontId="11" fillId="10" borderId="35" xfId="1" applyFont="1" applyFill="1" applyBorder="1"/>
    <xf numFmtId="0" fontId="13" fillId="10" borderId="34" xfId="3" applyFont="1" applyFill="1" applyBorder="1" applyAlignment="1">
      <alignment horizontal="left" wrapText="1"/>
    </xf>
    <xf numFmtId="0" fontId="14" fillId="10" borderId="34" xfId="3" applyFont="1" applyFill="1" applyBorder="1" applyAlignment="1">
      <alignment horizontal="center"/>
    </xf>
    <xf numFmtId="49" fontId="12" fillId="3" borderId="36" xfId="1" applyNumberFormat="1" applyFont="1" applyFill="1" applyBorder="1" applyAlignment="1">
      <alignment horizontal="left" vertical="justify"/>
    </xf>
    <xf numFmtId="0" fontId="12" fillId="3" borderId="37" xfId="3" applyFont="1" applyFill="1" applyBorder="1" applyAlignment="1">
      <alignment horizontal="left" wrapText="1"/>
    </xf>
    <xf numFmtId="0" fontId="12" fillId="3" borderId="37" xfId="3" applyFont="1" applyFill="1" applyBorder="1" applyAlignment="1">
      <alignment horizontal="center"/>
    </xf>
    <xf numFmtId="43" fontId="12" fillId="3" borderId="37" xfId="1" applyFont="1" applyFill="1" applyBorder="1" applyAlignment="1">
      <alignment horizontal="center"/>
    </xf>
    <xf numFmtId="49" fontId="12" fillId="3" borderId="49" xfId="1" applyNumberFormat="1" applyFont="1" applyFill="1" applyBorder="1" applyAlignment="1">
      <alignment horizontal="left" vertical="justify"/>
    </xf>
    <xf numFmtId="0" fontId="12" fillId="3" borderId="50" xfId="3" applyFont="1" applyFill="1" applyBorder="1" applyAlignment="1">
      <alignment horizontal="left" wrapText="1"/>
    </xf>
    <xf numFmtId="0" fontId="12" fillId="3" borderId="50" xfId="3" applyFont="1" applyFill="1" applyBorder="1" applyAlignment="1">
      <alignment horizontal="center"/>
    </xf>
    <xf numFmtId="43" fontId="12" fillId="3" borderId="50" xfId="1" applyFont="1" applyFill="1" applyBorder="1" applyAlignment="1">
      <alignment horizontal="center"/>
    </xf>
    <xf numFmtId="49" fontId="14" fillId="6" borderId="33" xfId="1" applyNumberFormat="1" applyFont="1" applyFill="1" applyBorder="1" applyAlignment="1">
      <alignment horizontal="left" vertical="justify"/>
    </xf>
    <xf numFmtId="0" fontId="13" fillId="6" borderId="34" xfId="2" applyNumberFormat="1" applyFont="1" applyFill="1" applyBorder="1" applyAlignment="1">
      <alignment horizontal="justify"/>
    </xf>
    <xf numFmtId="43" fontId="14" fillId="6" borderId="34" xfId="2" applyFont="1" applyFill="1" applyBorder="1" applyAlignment="1">
      <alignment horizontal="center"/>
    </xf>
    <xf numFmtId="43" fontId="14" fillId="6" borderId="34" xfId="1" applyFont="1" applyFill="1" applyBorder="1" applyAlignment="1">
      <alignment horizontal="center"/>
    </xf>
    <xf numFmtId="0" fontId="12" fillId="0" borderId="37" xfId="3" applyFont="1" applyBorder="1" applyAlignment="1">
      <alignment horizontal="left" wrapText="1"/>
    </xf>
    <xf numFmtId="0" fontId="12" fillId="0" borderId="37" xfId="3" applyFont="1" applyBorder="1" applyAlignment="1">
      <alignment horizontal="center"/>
    </xf>
    <xf numFmtId="49" fontId="12" fillId="2" borderId="21" xfId="2" applyNumberFormat="1" applyFont="1" applyFill="1" applyBorder="1" applyAlignment="1">
      <alignment horizontal="left" vertical="justify"/>
    </xf>
    <xf numFmtId="49" fontId="14" fillId="9" borderId="49" xfId="1" applyNumberFormat="1" applyFont="1" applyFill="1" applyBorder="1" applyAlignment="1">
      <alignment horizontal="left" vertical="justify"/>
    </xf>
    <xf numFmtId="0" fontId="13" fillId="9" borderId="50" xfId="2" applyNumberFormat="1" applyFont="1" applyFill="1" applyBorder="1" applyAlignment="1">
      <alignment horizontal="justify"/>
    </xf>
    <xf numFmtId="43" fontId="14" fillId="9" borderId="50" xfId="2" applyFont="1" applyFill="1" applyBorder="1" applyAlignment="1">
      <alignment horizontal="center"/>
    </xf>
    <xf numFmtId="43" fontId="14" fillId="9" borderId="50" xfId="1" applyFont="1" applyFill="1" applyBorder="1" applyAlignment="1">
      <alignment horizontal="center"/>
    </xf>
    <xf numFmtId="165" fontId="14" fillId="9" borderId="50" xfId="1" applyNumberFormat="1" applyFont="1" applyFill="1" applyBorder="1" applyAlignment="1">
      <alignment horizontal="center"/>
    </xf>
    <xf numFmtId="43" fontId="11" fillId="9" borderId="50" xfId="1" applyFont="1" applyFill="1" applyBorder="1"/>
    <xf numFmtId="43" fontId="11" fillId="9" borderId="42" xfId="1" applyFont="1" applyFill="1" applyBorder="1"/>
    <xf numFmtId="49" fontId="25" fillId="3" borderId="33" xfId="0" applyNumberFormat="1" applyFont="1" applyFill="1" applyBorder="1" applyAlignment="1">
      <alignment horizontal="center" vertical="top"/>
    </xf>
    <xf numFmtId="0" fontId="23" fillId="3" borderId="34" xfId="0" applyFont="1" applyFill="1" applyBorder="1" applyAlignment="1">
      <alignment vertical="justify" wrapText="1"/>
    </xf>
    <xf numFmtId="49" fontId="3" fillId="3" borderId="33" xfId="0" applyNumberFormat="1" applyFont="1" applyFill="1" applyBorder="1" applyAlignment="1">
      <alignment horizontal="center" vertical="top"/>
    </xf>
    <xf numFmtId="0" fontId="3" fillId="3" borderId="34" xfId="0" applyFont="1" applyFill="1" applyBorder="1" applyAlignment="1">
      <alignment wrapText="1"/>
    </xf>
    <xf numFmtId="0" fontId="3" fillId="3" borderId="34" xfId="0" applyFont="1" applyFill="1" applyBorder="1" applyAlignment="1">
      <alignment horizontal="center"/>
    </xf>
    <xf numFmtId="43" fontId="3" fillId="3" borderId="34" xfId="0" applyNumberFormat="1" applyFont="1" applyFill="1" applyBorder="1" applyAlignment="1">
      <alignment horizontal="center"/>
    </xf>
    <xf numFmtId="43" fontId="12" fillId="3" borderId="34" xfId="1" applyNumberFormat="1" applyFont="1" applyFill="1" applyBorder="1" applyAlignment="1"/>
    <xf numFmtId="43" fontId="17" fillId="3" borderId="35" xfId="1" applyFont="1" applyFill="1" applyBorder="1" applyAlignment="1"/>
    <xf numFmtId="0" fontId="3" fillId="3" borderId="34" xfId="0" applyFont="1" applyFill="1" applyBorder="1" applyAlignment="1">
      <alignment vertical="justify" wrapText="1"/>
    </xf>
    <xf numFmtId="0" fontId="25" fillId="3" borderId="34" xfId="0" applyFont="1" applyFill="1" applyBorder="1" applyAlignment="1">
      <alignment horizontal="center" vertical="center"/>
    </xf>
    <xf numFmtId="43" fontId="25" fillId="3" borderId="34" xfId="0" applyNumberFormat="1" applyFont="1" applyFill="1" applyBorder="1" applyAlignment="1">
      <alignment horizontal="center" vertical="center"/>
    </xf>
    <xf numFmtId="43" fontId="17" fillId="3" borderId="35" xfId="1" applyFont="1" applyFill="1" applyBorder="1"/>
    <xf numFmtId="43" fontId="12" fillId="3" borderId="37" xfId="1" applyNumberFormat="1" applyFont="1" applyFill="1" applyBorder="1" applyAlignment="1"/>
    <xf numFmtId="43" fontId="17" fillId="3" borderId="38" xfId="1" applyFont="1" applyFill="1" applyBorder="1"/>
    <xf numFmtId="49" fontId="14" fillId="9" borderId="33" xfId="1" applyNumberFormat="1" applyFont="1" applyFill="1" applyBorder="1" applyAlignment="1">
      <alignment horizontal="left" vertical="justify"/>
    </xf>
    <xf numFmtId="0" fontId="13" fillId="9" borderId="34" xfId="2" applyNumberFormat="1" applyFont="1" applyFill="1" applyBorder="1" applyAlignment="1">
      <alignment horizontal="justify"/>
    </xf>
    <xf numFmtId="43" fontId="14" fillId="9" borderId="34" xfId="2" applyFont="1" applyFill="1" applyBorder="1" applyAlignment="1">
      <alignment horizontal="center"/>
    </xf>
    <xf numFmtId="43" fontId="14" fillId="9" borderId="34" xfId="1" applyFont="1" applyFill="1" applyBorder="1" applyAlignment="1">
      <alignment horizontal="center"/>
    </xf>
    <xf numFmtId="165" fontId="14" fillId="9" borderId="34" xfId="1" applyNumberFormat="1" applyFont="1" applyFill="1" applyBorder="1" applyAlignment="1">
      <alignment horizontal="center"/>
    </xf>
    <xf numFmtId="43" fontId="11" fillId="9" borderId="34" xfId="1" applyFont="1" applyFill="1" applyBorder="1"/>
    <xf numFmtId="43" fontId="11" fillId="9" borderId="35" xfId="1" applyFont="1" applyFill="1" applyBorder="1"/>
    <xf numFmtId="0" fontId="11" fillId="0" borderId="28" xfId="0" applyFont="1" applyBorder="1" applyAlignment="1">
      <alignment horizontal="center"/>
    </xf>
    <xf numFmtId="43" fontId="11" fillId="0" borderId="28" xfId="1" applyNumberFormat="1" applyFont="1" applyBorder="1"/>
    <xf numFmtId="165" fontId="11" fillId="0" borderId="28" xfId="1" applyNumberFormat="1" applyFont="1" applyBorder="1"/>
    <xf numFmtId="43" fontId="17" fillId="0" borderId="29" xfId="1" applyFont="1" applyBorder="1"/>
    <xf numFmtId="165" fontId="12" fillId="2" borderId="27" xfId="1" applyNumberFormat="1" applyFont="1" applyFill="1" applyBorder="1" applyAlignment="1">
      <alignment horizontal="left" vertical="justify"/>
    </xf>
    <xf numFmtId="165" fontId="12" fillId="2" borderId="33" xfId="1" applyNumberFormat="1" applyFont="1" applyFill="1" applyBorder="1" applyAlignment="1">
      <alignment horizontal="left" vertical="justify"/>
    </xf>
    <xf numFmtId="165" fontId="14" fillId="11" borderId="33" xfId="1" applyNumberFormat="1" applyFont="1" applyFill="1" applyBorder="1" applyAlignment="1">
      <alignment horizontal="left" vertical="justify"/>
    </xf>
    <xf numFmtId="0" fontId="14" fillId="11" borderId="34" xfId="3" applyFont="1" applyFill="1" applyBorder="1" applyAlignment="1">
      <alignment horizontal="left" wrapText="1"/>
    </xf>
    <xf numFmtId="0" fontId="14" fillId="11" borderId="34" xfId="3" applyFont="1" applyFill="1" applyBorder="1" applyAlignment="1">
      <alignment horizontal="center"/>
    </xf>
    <xf numFmtId="43" fontId="14" fillId="11" borderId="34" xfId="1" applyFont="1" applyFill="1" applyBorder="1" applyAlignment="1">
      <alignment horizontal="center"/>
    </xf>
    <xf numFmtId="165" fontId="14" fillId="11" borderId="34" xfId="1" applyNumberFormat="1" applyFont="1" applyFill="1" applyBorder="1" applyAlignment="1">
      <alignment horizontal="center"/>
    </xf>
    <xf numFmtId="43" fontId="17" fillId="11" borderId="34" xfId="1" applyFont="1" applyFill="1" applyBorder="1"/>
    <xf numFmtId="165" fontId="14" fillId="2" borderId="33" xfId="1" applyNumberFormat="1" applyFont="1" applyFill="1" applyBorder="1" applyAlignment="1">
      <alignment horizontal="left"/>
    </xf>
    <xf numFmtId="0" fontId="13" fillId="0" borderId="34" xfId="3" applyNumberFormat="1" applyFont="1" applyBorder="1" applyAlignment="1">
      <alignment horizontal="left"/>
    </xf>
    <xf numFmtId="0" fontId="14" fillId="0" borderId="34" xfId="3" applyFont="1" applyBorder="1" applyAlignment="1">
      <alignment horizontal="center"/>
    </xf>
    <xf numFmtId="43" fontId="14" fillId="3" borderId="34" xfId="1" applyFont="1" applyFill="1" applyBorder="1" applyAlignment="1">
      <alignment horizontal="center"/>
    </xf>
    <xf numFmtId="165" fontId="14" fillId="3" borderId="33" xfId="1" applyNumberFormat="1" applyFont="1" applyFill="1" applyBorder="1" applyAlignment="1">
      <alignment horizontal="left" vertical="justify"/>
    </xf>
    <xf numFmtId="0" fontId="14" fillId="3" borderId="34" xfId="3" applyFont="1" applyFill="1" applyBorder="1" applyAlignment="1">
      <alignment horizontal="left" wrapText="1"/>
    </xf>
    <xf numFmtId="0" fontId="14" fillId="3" borderId="34" xfId="3" applyFont="1" applyFill="1" applyBorder="1" applyAlignment="1">
      <alignment horizontal="center"/>
    </xf>
    <xf numFmtId="165" fontId="14" fillId="3" borderId="34" xfId="1" applyNumberFormat="1" applyFont="1" applyFill="1" applyBorder="1" applyAlignment="1">
      <alignment horizontal="center"/>
    </xf>
    <xf numFmtId="43" fontId="17" fillId="3" borderId="34" xfId="1" applyFont="1" applyFill="1" applyBorder="1"/>
    <xf numFmtId="165" fontId="14" fillId="3" borderId="36" xfId="1" applyNumberFormat="1" applyFont="1" applyFill="1" applyBorder="1" applyAlignment="1">
      <alignment horizontal="left" vertical="justify"/>
    </xf>
    <xf numFmtId="0" fontId="14" fillId="3" borderId="37" xfId="3" applyFont="1" applyFill="1" applyBorder="1" applyAlignment="1">
      <alignment horizontal="left" wrapText="1"/>
    </xf>
    <xf numFmtId="0" fontId="14" fillId="3" borderId="37" xfId="3" applyFont="1" applyFill="1" applyBorder="1" applyAlignment="1">
      <alignment horizontal="center"/>
    </xf>
    <xf numFmtId="43" fontId="14" fillId="3" borderId="37" xfId="1" applyFont="1" applyFill="1" applyBorder="1" applyAlignment="1">
      <alignment horizontal="center"/>
    </xf>
    <xf numFmtId="165" fontId="14" fillId="3" borderId="37" xfId="1" applyNumberFormat="1" applyFont="1" applyFill="1" applyBorder="1" applyAlignment="1">
      <alignment horizontal="center"/>
    </xf>
    <xf numFmtId="43" fontId="17" fillId="3" borderId="37" xfId="1" applyFont="1" applyFill="1" applyBorder="1"/>
    <xf numFmtId="165" fontId="12" fillId="2" borderId="49" xfId="1" applyNumberFormat="1" applyFont="1" applyFill="1" applyBorder="1" applyAlignment="1">
      <alignment horizontal="left" vertical="justify"/>
    </xf>
    <xf numFmtId="0" fontId="13" fillId="2" borderId="50" xfId="2" quotePrefix="1" applyNumberFormat="1" applyFont="1" applyFill="1" applyBorder="1" applyAlignment="1">
      <alignment horizontal="center"/>
    </xf>
    <xf numFmtId="0" fontId="13" fillId="2" borderId="34" xfId="2" applyNumberFormat="1" applyFont="1" applyFill="1" applyBorder="1" applyAlignment="1">
      <alignment horizontal="center"/>
    </xf>
    <xf numFmtId="165" fontId="14" fillId="5" borderId="33" xfId="1" applyNumberFormat="1" applyFont="1" applyFill="1" applyBorder="1" applyAlignment="1">
      <alignment horizontal="left" vertical="justify"/>
    </xf>
    <xf numFmtId="0" fontId="12" fillId="5" borderId="34" xfId="3" applyFont="1" applyFill="1" applyBorder="1" applyAlignment="1">
      <alignment horizontal="center"/>
    </xf>
    <xf numFmtId="43" fontId="12" fillId="5" borderId="34" xfId="1" applyFont="1" applyFill="1" applyBorder="1" applyAlignment="1">
      <alignment horizontal="center"/>
    </xf>
    <xf numFmtId="165" fontId="12" fillId="5" borderId="33" xfId="1" applyNumberFormat="1" applyFont="1" applyFill="1" applyBorder="1" applyAlignment="1">
      <alignment horizontal="left" vertical="justify"/>
    </xf>
    <xf numFmtId="165" fontId="12" fillId="2" borderId="36" xfId="1" applyNumberFormat="1" applyFont="1" applyFill="1" applyBorder="1" applyAlignment="1">
      <alignment horizontal="left" vertical="justify"/>
    </xf>
    <xf numFmtId="165" fontId="12" fillId="3" borderId="33" xfId="1" applyNumberFormat="1" applyFont="1" applyFill="1" applyBorder="1" applyAlignment="1">
      <alignment horizontal="left" vertical="justify"/>
    </xf>
    <xf numFmtId="0" fontId="13" fillId="3" borderId="34" xfId="2" applyNumberFormat="1" applyFont="1" applyFill="1" applyBorder="1" applyAlignment="1">
      <alignment horizontal="left"/>
    </xf>
    <xf numFmtId="43" fontId="11" fillId="0" borderId="50" xfId="1" applyFont="1" applyBorder="1" applyAlignment="1">
      <alignment horizontal="center" vertical="center" wrapText="1"/>
    </xf>
    <xf numFmtId="43" fontId="11" fillId="0" borderId="34" xfId="1" applyFont="1" applyBorder="1" applyAlignment="1">
      <alignment horizontal="center" vertical="center" wrapText="1"/>
    </xf>
    <xf numFmtId="0" fontId="14" fillId="2" borderId="34" xfId="2" applyNumberFormat="1" applyFont="1" applyFill="1" applyBorder="1" applyAlignment="1">
      <alignment horizontal="left"/>
    </xf>
    <xf numFmtId="0" fontId="13" fillId="2" borderId="34" xfId="2" applyNumberFormat="1" applyFont="1" applyFill="1" applyBorder="1" applyAlignment="1">
      <alignment horizontal="left"/>
    </xf>
    <xf numFmtId="49" fontId="12" fillId="2" borderId="33" xfId="2" quotePrefix="1" applyNumberFormat="1" applyFont="1" applyFill="1" applyBorder="1" applyAlignment="1">
      <alignment horizontal="center" vertical="justify"/>
    </xf>
    <xf numFmtId="0" fontId="15" fillId="2" borderId="34" xfId="2" applyNumberFormat="1" applyFont="1" applyFill="1" applyBorder="1" applyAlignment="1">
      <alignment horizontal="left"/>
    </xf>
    <xf numFmtId="0" fontId="12" fillId="2" borderId="34" xfId="2" applyNumberFormat="1" applyFont="1" applyFill="1" applyBorder="1" applyAlignment="1">
      <alignment horizontal="left"/>
    </xf>
    <xf numFmtId="0" fontId="13" fillId="2" borderId="34" xfId="2" applyNumberFormat="1" applyFont="1" applyFill="1" applyBorder="1"/>
    <xf numFmtId="0" fontId="12" fillId="2" borderId="34" xfId="2" applyNumberFormat="1" applyFont="1" applyFill="1" applyBorder="1" applyAlignment="1">
      <alignment horizontal="justify"/>
    </xf>
    <xf numFmtId="0" fontId="12" fillId="2" borderId="34" xfId="2" applyNumberFormat="1" applyFont="1" applyFill="1" applyBorder="1"/>
    <xf numFmtId="0" fontId="15" fillId="2" borderId="34" xfId="2" applyNumberFormat="1" applyFont="1" applyFill="1" applyBorder="1"/>
    <xf numFmtId="0" fontId="13" fillId="2" borderId="34" xfId="2" applyNumberFormat="1" applyFont="1" applyFill="1" applyBorder="1" applyAlignment="1">
      <alignment vertical="top"/>
    </xf>
    <xf numFmtId="43" fontId="12" fillId="2" borderId="34" xfId="2" applyFont="1" applyFill="1" applyBorder="1" applyAlignment="1">
      <alignment horizontal="center" vertical="top"/>
    </xf>
    <xf numFmtId="43" fontId="12" fillId="3" borderId="34" xfId="1" applyNumberFormat="1" applyFont="1" applyFill="1" applyBorder="1" applyAlignment="1">
      <alignment horizontal="center" vertical="top"/>
    </xf>
    <xf numFmtId="0" fontId="12" fillId="2" borderId="34" xfId="2" applyNumberFormat="1" applyFont="1" applyFill="1" applyBorder="1" applyAlignment="1">
      <alignment vertical="top" wrapText="1"/>
    </xf>
    <xf numFmtId="43" fontId="11" fillId="0" borderId="37" xfId="1" applyFont="1" applyBorder="1" applyAlignment="1">
      <alignment horizontal="center" vertical="center" wrapText="1"/>
    </xf>
    <xf numFmtId="43" fontId="11" fillId="0" borderId="42" xfId="1" applyFont="1" applyBorder="1" applyAlignment="1">
      <alignment horizontal="center" vertical="center" wrapText="1"/>
    </xf>
    <xf numFmtId="43" fontId="11" fillId="0" borderId="35" xfId="1" applyFont="1" applyBorder="1" applyAlignment="1">
      <alignment horizontal="center" vertical="center" wrapText="1"/>
    </xf>
    <xf numFmtId="0" fontId="12" fillId="2" borderId="34" xfId="2" quotePrefix="1" applyNumberFormat="1" applyFont="1" applyFill="1" applyBorder="1" applyAlignment="1">
      <alignment wrapText="1"/>
    </xf>
    <xf numFmtId="0" fontId="12" fillId="2" borderId="34" xfId="2" quotePrefix="1" applyNumberFormat="1" applyFont="1" applyFill="1" applyBorder="1" applyAlignment="1"/>
    <xf numFmtId="0" fontId="12" fillId="2" borderId="35" xfId="2" quotePrefix="1" applyNumberFormat="1" applyFont="1" applyFill="1" applyBorder="1" applyAlignment="1"/>
    <xf numFmtId="49" fontId="11" fillId="0" borderId="33" xfId="0" applyNumberFormat="1" applyFont="1" applyBorder="1" applyAlignment="1">
      <alignment horizontal="center" vertical="center"/>
    </xf>
    <xf numFmtId="0" fontId="11" fillId="0" borderId="34" xfId="0" applyFont="1" applyBorder="1" applyAlignment="1">
      <alignment horizontal="center" vertical="center"/>
    </xf>
    <xf numFmtId="43" fontId="11" fillId="0" borderId="34" xfId="0" applyNumberFormat="1" applyFont="1" applyBorder="1" applyAlignment="1">
      <alignment horizontal="center" vertical="center"/>
    </xf>
    <xf numFmtId="165" fontId="11" fillId="0" borderId="34" xfId="0" applyNumberFormat="1" applyFont="1" applyBorder="1" applyAlignment="1">
      <alignment horizontal="center" vertical="center"/>
    </xf>
    <xf numFmtId="0" fontId="11" fillId="0" borderId="35" xfId="0" applyFont="1" applyBorder="1" applyAlignment="1">
      <alignment horizontal="center" vertical="center"/>
    </xf>
    <xf numFmtId="0" fontId="13" fillId="2" borderId="34" xfId="2" applyNumberFormat="1" applyFont="1" applyFill="1" applyBorder="1" applyAlignment="1">
      <alignment horizontal="justify"/>
    </xf>
    <xf numFmtId="43" fontId="12" fillId="3" borderId="34" xfId="2" applyNumberFormat="1" applyFont="1" applyFill="1" applyBorder="1" applyAlignment="1">
      <alignment horizontal="center"/>
    </xf>
    <xf numFmtId="43" fontId="13" fillId="2" borderId="34" xfId="2" applyFont="1" applyFill="1" applyBorder="1" applyAlignment="1">
      <alignment horizontal="justify" vertical="top"/>
    </xf>
    <xf numFmtId="43" fontId="12" fillId="3" borderId="34" xfId="1" applyNumberFormat="1" applyFont="1" applyFill="1" applyBorder="1" applyAlignment="1">
      <alignment horizontal="right"/>
    </xf>
    <xf numFmtId="43" fontId="12" fillId="2" borderId="34" xfId="2" applyFont="1" applyFill="1" applyBorder="1" applyAlignment="1">
      <alignment horizontal="justify" vertical="top"/>
    </xf>
    <xf numFmtId="0" fontId="12" fillId="2" borderId="34" xfId="2" applyNumberFormat="1" applyFont="1" applyFill="1" applyBorder="1" applyAlignment="1">
      <alignment horizontal="justify" vertical="top" wrapText="1"/>
    </xf>
    <xf numFmtId="0" fontId="13" fillId="2" borderId="34" xfId="2" applyNumberFormat="1" applyFont="1" applyFill="1" applyBorder="1" applyAlignment="1">
      <alignment horizontal="justify" vertical="top"/>
    </xf>
    <xf numFmtId="0" fontId="12" fillId="2" borderId="34" xfId="2" quotePrefix="1" applyNumberFormat="1" applyFont="1" applyFill="1" applyBorder="1" applyAlignment="1">
      <alignment vertical="justify"/>
    </xf>
    <xf numFmtId="0" fontId="15" fillId="2" borderId="34" xfId="2" quotePrefix="1" applyNumberFormat="1" applyFont="1" applyFill="1" applyBorder="1" applyAlignment="1">
      <alignment horizontal="left" vertical="top"/>
    </xf>
    <xf numFmtId="49" fontId="12" fillId="2" borderId="33" xfId="2" applyNumberFormat="1" applyFont="1" applyFill="1" applyBorder="1" applyAlignment="1">
      <alignment horizontal="center"/>
    </xf>
    <xf numFmtId="0" fontId="12" fillId="2" borderId="34" xfId="2" applyNumberFormat="1" applyFont="1" applyFill="1" applyBorder="1" applyAlignment="1">
      <alignment horizontal="left" wrapText="1"/>
    </xf>
    <xf numFmtId="0" fontId="13" fillId="2" borderId="34" xfId="2" applyNumberFormat="1" applyFont="1" applyFill="1" applyBorder="1" applyAlignment="1">
      <alignment horizontal="left" vertical="top" wrapText="1"/>
    </xf>
    <xf numFmtId="0" fontId="12" fillId="2" borderId="34" xfId="2" quotePrefix="1" applyNumberFormat="1" applyFont="1" applyFill="1" applyBorder="1" applyAlignment="1">
      <alignment vertical="top" wrapText="1"/>
    </xf>
    <xf numFmtId="0" fontId="12" fillId="2" borderId="34" xfId="2" quotePrefix="1" applyNumberFormat="1" applyFont="1" applyFill="1" applyBorder="1" applyAlignment="1">
      <alignment vertical="top"/>
    </xf>
    <xf numFmtId="0" fontId="12" fillId="2" borderId="34" xfId="2" applyNumberFormat="1" applyFont="1" applyFill="1" applyBorder="1" applyAlignment="1">
      <alignment vertical="top"/>
    </xf>
    <xf numFmtId="0" fontId="12" fillId="2" borderId="34" xfId="2" applyNumberFormat="1" applyFont="1" applyFill="1" applyBorder="1" applyAlignment="1">
      <alignment horizontal="justify" vertical="top"/>
    </xf>
    <xf numFmtId="0" fontId="12" fillId="2" borderId="34" xfId="2" quotePrefix="1" applyNumberFormat="1" applyFont="1" applyFill="1" applyBorder="1" applyAlignment="1">
      <alignment horizontal="justify" vertical="top"/>
    </xf>
    <xf numFmtId="0" fontId="12" fillId="2" borderId="37" xfId="2" quotePrefix="1" applyNumberFormat="1" applyFont="1" applyFill="1" applyBorder="1" applyAlignment="1">
      <alignment horizontal="justify" vertical="top"/>
    </xf>
    <xf numFmtId="43" fontId="11" fillId="0" borderId="38" xfId="1" applyFont="1" applyBorder="1" applyAlignment="1">
      <alignment horizontal="center" vertical="center" wrapText="1"/>
    </xf>
    <xf numFmtId="49" fontId="3" fillId="3" borderId="36" xfId="0" applyNumberFormat="1" applyFont="1" applyFill="1" applyBorder="1" applyAlignment="1">
      <alignment horizontal="center" vertical="center"/>
    </xf>
    <xf numFmtId="0" fontId="3" fillId="3" borderId="37" xfId="0" applyFont="1" applyFill="1" applyBorder="1" applyAlignment="1">
      <alignment vertical="center" wrapText="1"/>
    </xf>
    <xf numFmtId="0" fontId="3" fillId="3" borderId="37" xfId="0" applyFont="1" applyFill="1" applyBorder="1" applyAlignment="1">
      <alignment horizontal="center" vertical="center"/>
    </xf>
    <xf numFmtId="43" fontId="3" fillId="3" borderId="37" xfId="0" applyNumberFormat="1" applyFont="1" applyFill="1" applyBorder="1" applyAlignment="1">
      <alignment horizontal="center" vertical="center"/>
    </xf>
    <xf numFmtId="43" fontId="11" fillId="3" borderId="38" xfId="1" applyFont="1" applyFill="1" applyBorder="1"/>
    <xf numFmtId="43" fontId="12" fillId="5" borderId="34" xfId="2" applyNumberFormat="1" applyFont="1" applyFill="1" applyBorder="1" applyAlignment="1">
      <alignment horizontal="center"/>
    </xf>
    <xf numFmtId="43" fontId="11" fillId="5" borderId="34" xfId="1" applyFont="1" applyFill="1" applyBorder="1" applyAlignment="1">
      <alignment horizontal="center" vertical="center" wrapText="1"/>
    </xf>
    <xf numFmtId="43" fontId="11" fillId="5" borderId="35" xfId="1" applyFont="1" applyFill="1" applyBorder="1" applyAlignment="1">
      <alignment horizontal="center" vertical="center" wrapText="1"/>
    </xf>
    <xf numFmtId="165" fontId="12" fillId="2" borderId="34" xfId="1" applyNumberFormat="1" applyFont="1" applyFill="1" applyBorder="1" applyAlignment="1">
      <alignment horizontal="center" vertical="top"/>
    </xf>
    <xf numFmtId="43" fontId="11" fillId="0" borderId="34" xfId="1" applyFont="1" applyBorder="1" applyAlignment="1">
      <alignment horizontal="center" vertical="top" wrapText="1"/>
    </xf>
    <xf numFmtId="43" fontId="11" fillId="0" borderId="35" xfId="1" applyFont="1" applyBorder="1" applyAlignment="1">
      <alignment horizontal="center" vertical="top" wrapText="1"/>
    </xf>
    <xf numFmtId="0" fontId="13" fillId="5" borderId="34" xfId="2" applyNumberFormat="1" applyFont="1" applyFill="1" applyBorder="1" applyAlignment="1">
      <alignment horizontal="left" vertical="top"/>
    </xf>
    <xf numFmtId="0" fontId="13" fillId="2" borderId="28" xfId="2" applyNumberFormat="1" applyFont="1" applyFill="1" applyBorder="1" applyAlignment="1">
      <alignment horizontal="center"/>
    </xf>
    <xf numFmtId="0" fontId="12" fillId="2" borderId="23" xfId="2" quotePrefix="1" applyNumberFormat="1" applyFont="1" applyFill="1" applyBorder="1" applyAlignment="1">
      <alignment vertical="top"/>
    </xf>
    <xf numFmtId="0" fontId="27" fillId="0" borderId="51" xfId="0" applyFont="1" applyBorder="1"/>
    <xf numFmtId="0" fontId="27" fillId="0" borderId="0" xfId="0" applyFont="1"/>
    <xf numFmtId="0" fontId="27" fillId="0" borderId="52" xfId="0" applyFont="1" applyBorder="1"/>
    <xf numFmtId="0" fontId="28" fillId="0" borderId="52" xfId="0" applyFont="1" applyBorder="1" applyAlignment="1">
      <alignment horizontal="center"/>
    </xf>
    <xf numFmtId="0" fontId="28" fillId="0" borderId="52" xfId="0" applyFont="1" applyBorder="1" applyAlignment="1">
      <alignment horizontal="center" vertical="center" wrapText="1"/>
    </xf>
    <xf numFmtId="0" fontId="27" fillId="0" borderId="0" xfId="0" applyFont="1" applyAlignment="1">
      <alignment vertical="center"/>
    </xf>
    <xf numFmtId="0" fontId="29" fillId="0" borderId="52" xfId="0" applyFont="1" applyBorder="1" applyAlignment="1">
      <alignment horizontal="center"/>
    </xf>
    <xf numFmtId="0" fontId="27" fillId="0" borderId="52" xfId="0" applyFont="1" applyBorder="1" applyAlignment="1">
      <alignment horizontal="center"/>
    </xf>
    <xf numFmtId="0" fontId="27" fillId="0" borderId="32" xfId="0" applyFont="1" applyBorder="1"/>
    <xf numFmtId="0" fontId="29" fillId="0" borderId="0" xfId="0" applyFont="1"/>
    <xf numFmtId="0" fontId="30" fillId="0" borderId="0" xfId="0" applyFont="1"/>
    <xf numFmtId="49" fontId="12" fillId="2" borderId="16" xfId="2" applyNumberFormat="1" applyFont="1" applyFill="1" applyBorder="1" applyAlignment="1">
      <alignment horizontal="center" vertical="justify"/>
    </xf>
    <xf numFmtId="0" fontId="12" fillId="2" borderId="18" xfId="2" applyNumberFormat="1" applyFont="1" applyFill="1" applyBorder="1" applyAlignment="1">
      <alignment vertical="top" wrapText="1"/>
    </xf>
    <xf numFmtId="49" fontId="12" fillId="2" borderId="46" xfId="2" applyNumberFormat="1" applyFont="1" applyFill="1" applyBorder="1" applyAlignment="1">
      <alignment horizontal="center" vertical="justify"/>
    </xf>
    <xf numFmtId="49" fontId="14" fillId="5" borderId="60" xfId="2" applyNumberFormat="1" applyFont="1" applyFill="1" applyBorder="1" applyAlignment="1">
      <alignment horizontal="center" vertical="justify"/>
    </xf>
    <xf numFmtId="0" fontId="13" fillId="5" borderId="61" xfId="2" applyNumberFormat="1" applyFont="1" applyFill="1" applyBorder="1" applyAlignment="1">
      <alignment horizontal="center" vertical="top"/>
    </xf>
    <xf numFmtId="43" fontId="12" fillId="5" borderId="61" xfId="2" applyFont="1" applyFill="1" applyBorder="1" applyAlignment="1">
      <alignment horizontal="center"/>
    </xf>
    <xf numFmtId="43" fontId="12" fillId="5" borderId="61" xfId="1" applyNumberFormat="1" applyFont="1" applyFill="1" applyBorder="1" applyAlignment="1">
      <alignment horizontal="center"/>
    </xf>
    <xf numFmtId="165" fontId="12" fillId="5" borderId="61" xfId="1" applyNumberFormat="1" applyFont="1" applyFill="1" applyBorder="1" applyAlignment="1">
      <alignment horizontal="center"/>
    </xf>
    <xf numFmtId="43" fontId="14" fillId="5" borderId="62" xfId="1" applyNumberFormat="1" applyFont="1" applyFill="1" applyBorder="1"/>
    <xf numFmtId="49" fontId="11" fillId="0" borderId="43" xfId="0" applyNumberFormat="1" applyFont="1" applyBorder="1"/>
    <xf numFmtId="0" fontId="11" fillId="0" borderId="44" xfId="0" applyFont="1" applyBorder="1" applyAlignment="1">
      <alignment wrapText="1"/>
    </xf>
    <xf numFmtId="0" fontId="11" fillId="0" borderId="44" xfId="0" applyFont="1" applyBorder="1" applyAlignment="1">
      <alignment horizontal="center"/>
    </xf>
    <xf numFmtId="43" fontId="11" fillId="0" borderId="44" xfId="1" applyNumberFormat="1" applyFont="1" applyBorder="1"/>
    <xf numFmtId="165" fontId="12" fillId="2" borderId="44" xfId="1" applyNumberFormat="1" applyFont="1" applyFill="1" applyBorder="1" applyAlignment="1">
      <alignment horizontal="center"/>
    </xf>
    <xf numFmtId="43" fontId="11" fillId="0" borderId="44" xfId="1" applyFont="1" applyBorder="1"/>
    <xf numFmtId="43" fontId="11" fillId="0" borderId="45" xfId="1" applyFont="1" applyBorder="1"/>
    <xf numFmtId="49" fontId="11" fillId="0" borderId="63" xfId="0" applyNumberFormat="1" applyFont="1" applyBorder="1"/>
    <xf numFmtId="0" fontId="11" fillId="0" borderId="53" xfId="0" applyFont="1" applyBorder="1" applyAlignment="1">
      <alignment wrapText="1"/>
    </xf>
    <xf numFmtId="49" fontId="12" fillId="2" borderId="53" xfId="2" applyNumberFormat="1" applyFont="1" applyFill="1" applyBorder="1" applyAlignment="1">
      <alignment horizontal="center"/>
    </xf>
    <xf numFmtId="43" fontId="11" fillId="0" borderId="53" xfId="1" applyNumberFormat="1" applyFont="1" applyBorder="1"/>
    <xf numFmtId="165" fontId="12" fillId="2" borderId="53" xfId="1" applyNumberFormat="1" applyFont="1" applyFill="1" applyBorder="1" applyAlignment="1">
      <alignment horizontal="center"/>
    </xf>
    <xf numFmtId="43" fontId="11" fillId="0" borderId="53" xfId="1" applyFont="1" applyBorder="1"/>
    <xf numFmtId="43" fontId="11" fillId="0" borderId="64" xfId="1" applyFont="1" applyBorder="1"/>
    <xf numFmtId="49" fontId="12" fillId="2" borderId="43" xfId="2" applyNumberFormat="1" applyFont="1" applyFill="1" applyBorder="1" applyAlignment="1">
      <alignment horizontal="center" vertical="justify"/>
    </xf>
    <xf numFmtId="43" fontId="11" fillId="0" borderId="57" xfId="1" applyFont="1" applyBorder="1" applyAlignment="1">
      <alignment horizontal="center" vertical="center" wrapText="1"/>
    </xf>
    <xf numFmtId="0" fontId="12" fillId="2" borderId="35" xfId="2" applyNumberFormat="1" applyFont="1" applyFill="1" applyBorder="1" applyAlignment="1">
      <alignment wrapText="1"/>
    </xf>
    <xf numFmtId="49" fontId="14" fillId="2" borderId="49" xfId="2" applyNumberFormat="1" applyFont="1" applyFill="1" applyBorder="1" applyAlignment="1">
      <alignment horizontal="center" vertical="justify"/>
    </xf>
    <xf numFmtId="0" fontId="12" fillId="2" borderId="37" xfId="2" applyNumberFormat="1" applyFont="1" applyFill="1" applyBorder="1" applyAlignment="1"/>
    <xf numFmtId="0" fontId="12" fillId="2" borderId="38" xfId="2" applyNumberFormat="1" applyFont="1" applyFill="1" applyBorder="1" applyAlignment="1"/>
    <xf numFmtId="0" fontId="13" fillId="2" borderId="65" xfId="2" applyNumberFormat="1" applyFont="1" applyFill="1" applyBorder="1"/>
    <xf numFmtId="165" fontId="12" fillId="2" borderId="30" xfId="1" applyNumberFormat="1" applyFont="1" applyFill="1" applyBorder="1" applyAlignment="1">
      <alignment horizontal="center"/>
    </xf>
    <xf numFmtId="49" fontId="12" fillId="2" borderId="39" xfId="2" applyNumberFormat="1" applyFont="1" applyFill="1" applyBorder="1" applyAlignment="1">
      <alignment horizontal="center" vertical="justify"/>
    </xf>
    <xf numFmtId="0" fontId="12" fillId="2" borderId="41" xfId="2" applyNumberFormat="1" applyFont="1" applyFill="1" applyBorder="1" applyAlignment="1"/>
    <xf numFmtId="0" fontId="12" fillId="2" borderId="34" xfId="2" applyNumberFormat="1" applyFont="1" applyFill="1" applyBorder="1" applyAlignment="1">
      <alignment wrapText="1"/>
    </xf>
    <xf numFmtId="0" fontId="12" fillId="7" borderId="17" xfId="1" applyNumberFormat="1" applyFont="1" applyFill="1" applyBorder="1" applyAlignment="1">
      <alignment vertical="center"/>
    </xf>
    <xf numFmtId="0" fontId="12" fillId="7" borderId="18" xfId="1" applyNumberFormat="1" applyFont="1" applyFill="1" applyBorder="1" applyAlignment="1">
      <alignment vertical="center"/>
    </xf>
    <xf numFmtId="0" fontId="12" fillId="2" borderId="58" xfId="3" applyNumberFormat="1" applyFont="1" applyFill="1" applyBorder="1" applyAlignment="1">
      <alignment wrapText="1"/>
    </xf>
    <xf numFmtId="0" fontId="12" fillId="2" borderId="47" xfId="3" applyNumberFormat="1" applyFont="1" applyFill="1" applyBorder="1" applyAlignment="1">
      <alignment wrapText="1"/>
    </xf>
    <xf numFmtId="0" fontId="12" fillId="2" borderId="59" xfId="3" applyNumberFormat="1" applyFont="1" applyFill="1" applyBorder="1" applyAlignment="1">
      <alignment wrapText="1"/>
    </xf>
    <xf numFmtId="0" fontId="12" fillId="2" borderId="48" xfId="3" applyNumberFormat="1" applyFont="1" applyFill="1" applyBorder="1" applyAlignment="1">
      <alignment wrapText="1"/>
    </xf>
    <xf numFmtId="0" fontId="12" fillId="2" borderId="35" xfId="2" applyNumberFormat="1" applyFont="1" applyFill="1" applyBorder="1" applyAlignment="1">
      <alignment vertical="top"/>
    </xf>
    <xf numFmtId="49" fontId="12" fillId="2" borderId="43" xfId="2" applyNumberFormat="1" applyFont="1" applyFill="1" applyBorder="1" applyAlignment="1">
      <alignment horizontal="center" vertical="top"/>
    </xf>
    <xf numFmtId="0" fontId="12" fillId="2" borderId="45" xfId="2" applyNumberFormat="1" applyFont="1" applyFill="1" applyBorder="1" applyAlignment="1">
      <alignment vertical="top"/>
    </xf>
    <xf numFmtId="0" fontId="13" fillId="2" borderId="65" xfId="2" quotePrefix="1" applyNumberFormat="1" applyFont="1" applyFill="1" applyBorder="1" applyAlignment="1">
      <alignment horizontal="center"/>
    </xf>
    <xf numFmtId="0" fontId="13" fillId="2" borderId="56" xfId="2" applyNumberFormat="1" applyFont="1" applyFill="1" applyBorder="1" applyAlignment="1">
      <alignment horizontal="center"/>
    </xf>
    <xf numFmtId="43" fontId="11" fillId="0" borderId="57" xfId="1" applyFont="1" applyBorder="1"/>
    <xf numFmtId="0" fontId="13" fillId="2" borderId="56" xfId="2" applyNumberFormat="1" applyFont="1" applyFill="1" applyBorder="1" applyAlignment="1">
      <alignment horizontal="justify" vertical="top"/>
    </xf>
    <xf numFmtId="49" fontId="14" fillId="2" borderId="39" xfId="2" applyNumberFormat="1" applyFont="1" applyFill="1" applyBorder="1" applyAlignment="1">
      <alignment horizontal="center" vertical="justify"/>
    </xf>
    <xf numFmtId="49" fontId="14" fillId="2" borderId="43" xfId="2" applyNumberFormat="1" applyFont="1" applyFill="1" applyBorder="1" applyAlignment="1">
      <alignment horizontal="center" vertical="justify"/>
    </xf>
    <xf numFmtId="0" fontId="13" fillId="2" borderId="54" xfId="2" applyNumberFormat="1" applyFont="1" applyFill="1" applyBorder="1" applyAlignment="1">
      <alignment horizontal="left"/>
    </xf>
    <xf numFmtId="43" fontId="14" fillId="2" borderId="17" xfId="2" applyFont="1" applyFill="1" applyBorder="1" applyAlignment="1">
      <alignment horizontal="center"/>
    </xf>
    <xf numFmtId="43" fontId="14" fillId="3" borderId="17" xfId="1" applyNumberFormat="1" applyFont="1" applyFill="1" applyBorder="1" applyAlignment="1">
      <alignment horizontal="center"/>
    </xf>
    <xf numFmtId="165" fontId="12" fillId="2" borderId="17" xfId="1" applyNumberFormat="1" applyFont="1" applyFill="1" applyBorder="1" applyAlignment="1">
      <alignment horizontal="center"/>
    </xf>
    <xf numFmtId="43" fontId="11" fillId="0" borderId="18" xfId="1" applyFont="1" applyBorder="1"/>
    <xf numFmtId="43" fontId="11" fillId="0" borderId="55" xfId="1" applyFont="1" applyBorder="1"/>
    <xf numFmtId="0" fontId="14" fillId="2" borderId="65" xfId="2" quotePrefix="1" applyNumberFormat="1" applyFont="1" applyFill="1" applyBorder="1" applyAlignment="1">
      <alignment horizontal="left"/>
    </xf>
    <xf numFmtId="0" fontId="13" fillId="3" borderId="56" xfId="2" quotePrefix="1" applyNumberFormat="1" applyFont="1" applyFill="1" applyBorder="1" applyAlignment="1">
      <alignment horizontal="center"/>
    </xf>
    <xf numFmtId="0" fontId="13" fillId="3" borderId="58" xfId="2" applyNumberFormat="1" applyFont="1" applyFill="1" applyBorder="1" applyAlignment="1">
      <alignment horizontal="center"/>
    </xf>
    <xf numFmtId="43" fontId="14" fillId="3" borderId="47" xfId="2" applyFont="1" applyFill="1" applyBorder="1" applyAlignment="1">
      <alignment horizontal="center"/>
    </xf>
    <xf numFmtId="43" fontId="14" fillId="3" borderId="47" xfId="1" applyNumberFormat="1" applyFont="1" applyFill="1" applyBorder="1" applyAlignment="1">
      <alignment horizontal="center"/>
    </xf>
    <xf numFmtId="165" fontId="12" fillId="3" borderId="47" xfId="1" applyNumberFormat="1" applyFont="1" applyFill="1" applyBorder="1" applyAlignment="1">
      <alignment horizontal="center"/>
    </xf>
    <xf numFmtId="43" fontId="11" fillId="0" borderId="47" xfId="1" applyFont="1" applyBorder="1"/>
    <xf numFmtId="49" fontId="14" fillId="2" borderId="33" xfId="2" applyNumberFormat="1" applyFont="1" applyFill="1" applyBorder="1" applyAlignment="1">
      <alignment horizontal="center"/>
    </xf>
    <xf numFmtId="49" fontId="14" fillId="2" borderId="43" xfId="2" applyNumberFormat="1" applyFont="1" applyFill="1" applyBorder="1" applyAlignment="1">
      <alignment horizontal="center"/>
    </xf>
    <xf numFmtId="49" fontId="25" fillId="6" borderId="33" xfId="0" applyNumberFormat="1" applyFont="1" applyFill="1" applyBorder="1" applyAlignment="1">
      <alignment horizontal="center" vertical="center"/>
    </xf>
    <xf numFmtId="0" fontId="13" fillId="2" borderId="56" xfId="2" quotePrefix="1" applyNumberFormat="1" applyFont="1" applyFill="1" applyBorder="1" applyAlignment="1">
      <alignment horizontal="center"/>
    </xf>
    <xf numFmtId="0" fontId="13" fillId="2" borderId="58" xfId="2" applyNumberFormat="1" applyFont="1" applyFill="1" applyBorder="1" applyAlignment="1">
      <alignment horizontal="left"/>
    </xf>
    <xf numFmtId="43" fontId="12" fillId="2" borderId="47" xfId="2" applyFont="1" applyFill="1" applyBorder="1" applyAlignment="1">
      <alignment horizontal="center"/>
    </xf>
    <xf numFmtId="43" fontId="12" fillId="3" borderId="47" xfId="1" applyNumberFormat="1" applyFont="1" applyFill="1" applyBorder="1" applyAlignment="1">
      <alignment horizontal="center"/>
    </xf>
    <xf numFmtId="165" fontId="12" fillId="2" borderId="47" xfId="1" applyNumberFormat="1" applyFont="1" applyFill="1" applyBorder="1" applyAlignment="1">
      <alignment horizontal="center"/>
    </xf>
    <xf numFmtId="43" fontId="11" fillId="0" borderId="59" xfId="1" applyFont="1" applyBorder="1"/>
    <xf numFmtId="0" fontId="13" fillId="2" borderId="27" xfId="2" quotePrefix="1" applyNumberFormat="1" applyFont="1" applyFill="1" applyBorder="1" applyAlignment="1">
      <alignment horizontal="center"/>
    </xf>
    <xf numFmtId="0" fontId="13" fillId="2" borderId="19" xfId="2" applyNumberFormat="1" applyFont="1" applyFill="1" applyBorder="1" applyAlignment="1">
      <alignment horizontal="center"/>
    </xf>
    <xf numFmtId="0" fontId="13" fillId="2" borderId="19" xfId="2" applyNumberFormat="1" applyFont="1" applyFill="1" applyBorder="1" applyAlignment="1">
      <alignment horizontal="justify" vertical="top"/>
    </xf>
    <xf numFmtId="49" fontId="11" fillId="0" borderId="36" xfId="0" applyNumberFormat="1" applyFont="1" applyBorder="1" applyAlignment="1">
      <alignment vertical="top"/>
    </xf>
    <xf numFmtId="0" fontId="11" fillId="0" borderId="37" xfId="0" applyFont="1" applyBorder="1" applyAlignment="1">
      <alignment wrapText="1"/>
    </xf>
    <xf numFmtId="165" fontId="14" fillId="5" borderId="60" xfId="1" applyNumberFormat="1" applyFont="1" applyFill="1" applyBorder="1" applyAlignment="1">
      <alignment horizontal="left" vertical="justify"/>
    </xf>
    <xf numFmtId="0" fontId="13" fillId="5" borderId="61" xfId="2" applyNumberFormat="1" applyFont="1" applyFill="1" applyBorder="1" applyAlignment="1">
      <alignment horizontal="left"/>
    </xf>
    <xf numFmtId="0" fontId="12" fillId="5" borderId="61" xfId="3" applyFont="1" applyFill="1" applyBorder="1" applyAlignment="1">
      <alignment horizontal="center"/>
    </xf>
    <xf numFmtId="43" fontId="12" fillId="5" borderId="61" xfId="1" applyFont="1" applyFill="1" applyBorder="1" applyAlignment="1">
      <alignment horizontal="center"/>
    </xf>
    <xf numFmtId="43" fontId="11" fillId="5" borderId="61" xfId="1" applyFont="1" applyFill="1" applyBorder="1"/>
    <xf numFmtId="43" fontId="11" fillId="5" borderId="62" xfId="1" applyFont="1" applyFill="1" applyBorder="1"/>
    <xf numFmtId="49" fontId="12" fillId="2" borderId="37" xfId="2" applyNumberFormat="1" applyFont="1" applyFill="1" applyBorder="1" applyAlignment="1">
      <alignment horizontal="center"/>
    </xf>
    <xf numFmtId="49" fontId="11" fillId="3" borderId="36" xfId="0" applyNumberFormat="1" applyFont="1" applyFill="1" applyBorder="1"/>
    <xf numFmtId="0" fontId="11" fillId="3" borderId="37" xfId="0" applyFont="1" applyFill="1" applyBorder="1" applyAlignment="1">
      <alignment wrapText="1"/>
    </xf>
    <xf numFmtId="0" fontId="11" fillId="3" borderId="37" xfId="0" applyFont="1" applyFill="1" applyBorder="1" applyAlignment="1">
      <alignment horizontal="center"/>
    </xf>
    <xf numFmtId="43" fontId="11" fillId="3" borderId="37" xfId="1" applyNumberFormat="1" applyFont="1" applyFill="1" applyBorder="1"/>
    <xf numFmtId="43" fontId="14" fillId="3" borderId="53" xfId="1" applyFont="1" applyFill="1" applyBorder="1" applyAlignment="1">
      <alignment horizontal="left"/>
    </xf>
    <xf numFmtId="165" fontId="14" fillId="2" borderId="53" xfId="1" applyNumberFormat="1" applyFont="1" applyFill="1" applyBorder="1" applyAlignment="1">
      <alignment horizontal="center"/>
    </xf>
    <xf numFmtId="43" fontId="17" fillId="0" borderId="53" xfId="1" applyFont="1" applyBorder="1"/>
    <xf numFmtId="0" fontId="18" fillId="6" borderId="40" xfId="0" applyFont="1" applyFill="1" applyBorder="1"/>
    <xf numFmtId="49" fontId="12" fillId="2" borderId="36" xfId="2" applyNumberFormat="1" applyFont="1" applyFill="1" applyBorder="1" applyAlignment="1">
      <alignment horizontal="center" vertical="top"/>
    </xf>
    <xf numFmtId="0" fontId="12" fillId="0" borderId="37" xfId="3" applyFont="1" applyFill="1" applyBorder="1" applyAlignment="1">
      <alignment horizontal="center"/>
    </xf>
    <xf numFmtId="43" fontId="11" fillId="0" borderId="37" xfId="1" applyFont="1" applyBorder="1" applyAlignment="1"/>
    <xf numFmtId="43" fontId="11" fillId="0" borderId="38" xfId="1" applyFont="1" applyBorder="1" applyAlignment="1"/>
    <xf numFmtId="43" fontId="17" fillId="0" borderId="42" xfId="1" applyFont="1" applyBorder="1"/>
    <xf numFmtId="0" fontId="12" fillId="2" borderId="45" xfId="2" applyNumberFormat="1" applyFont="1" applyFill="1" applyBorder="1" applyAlignment="1">
      <alignment vertical="top" wrapText="1"/>
    </xf>
    <xf numFmtId="49" fontId="14" fillId="2" borderId="36" xfId="2" applyNumberFormat="1" applyFont="1" applyFill="1" applyBorder="1" applyAlignment="1">
      <alignment horizontal="center" vertical="justify"/>
    </xf>
    <xf numFmtId="49" fontId="3" fillId="3" borderId="36" xfId="0" applyNumberFormat="1" applyFont="1" applyFill="1" applyBorder="1" applyAlignment="1">
      <alignment horizontal="center" vertical="top"/>
    </xf>
    <xf numFmtId="0" fontId="3" fillId="3" borderId="37" xfId="0" applyFont="1" applyFill="1" applyBorder="1" applyAlignment="1">
      <alignment vertical="justify" wrapText="1"/>
    </xf>
    <xf numFmtId="165" fontId="12" fillId="3" borderId="37" xfId="1" applyNumberFormat="1" applyFont="1" applyFill="1" applyBorder="1" applyAlignment="1">
      <alignment horizontal="center"/>
    </xf>
    <xf numFmtId="0" fontId="12" fillId="2" borderId="34" xfId="2" applyNumberFormat="1" applyFont="1" applyFill="1" applyBorder="1" applyAlignment="1">
      <alignment horizontal="left" wrapText="1"/>
    </xf>
    <xf numFmtId="0" fontId="12" fillId="2" borderId="34" xfId="2" applyNumberFormat="1" applyFont="1" applyFill="1" applyBorder="1" applyAlignment="1">
      <alignment vertical="top" wrapText="1"/>
    </xf>
    <xf numFmtId="0" fontId="27" fillId="0" borderId="52" xfId="0" applyFont="1" applyBorder="1" applyAlignment="1">
      <alignment horizontal="center"/>
    </xf>
    <xf numFmtId="165" fontId="14" fillId="2" borderId="33" xfId="1" applyNumberFormat="1" applyFont="1" applyFill="1" applyBorder="1" applyAlignment="1">
      <alignment horizontal="left" vertical="justify"/>
    </xf>
    <xf numFmtId="0" fontId="14" fillId="0" borderId="34" xfId="3" applyFont="1" applyBorder="1" applyAlignment="1">
      <alignment horizontal="left" wrapText="1"/>
    </xf>
    <xf numFmtId="165" fontId="12" fillId="2" borderId="46" xfId="1" applyNumberFormat="1" applyFont="1" applyFill="1" applyBorder="1" applyAlignment="1">
      <alignment horizontal="left" vertical="justify"/>
    </xf>
    <xf numFmtId="43" fontId="11" fillId="0" borderId="48" xfId="1" applyFont="1" applyBorder="1"/>
    <xf numFmtId="0" fontId="27" fillId="0" borderId="52"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2" fillId="2" borderId="58" xfId="2" applyNumberFormat="1" applyFont="1" applyFill="1" applyBorder="1" applyAlignment="1">
      <alignment horizontal="center" vertical="top" wrapText="1"/>
    </xf>
    <xf numFmtId="0" fontId="12" fillId="2" borderId="47" xfId="2" applyNumberFormat="1" applyFont="1" applyFill="1" applyBorder="1" applyAlignment="1">
      <alignment horizontal="center" vertical="top" wrapText="1"/>
    </xf>
    <xf numFmtId="0" fontId="12" fillId="2" borderId="59" xfId="2" applyNumberFormat="1" applyFont="1" applyFill="1" applyBorder="1" applyAlignment="1">
      <alignment horizontal="center" vertical="top" wrapText="1"/>
    </xf>
    <xf numFmtId="0" fontId="12" fillId="0" borderId="56" xfId="3" applyFont="1" applyBorder="1" applyAlignment="1">
      <alignment horizontal="left" wrapText="1"/>
    </xf>
    <xf numFmtId="0" fontId="12" fillId="0" borderId="0" xfId="3" applyFont="1" applyBorder="1" applyAlignment="1">
      <alignment horizontal="left" wrapText="1"/>
    </xf>
    <xf numFmtId="0" fontId="12" fillId="0" borderId="57" xfId="3" applyFont="1" applyBorder="1" applyAlignment="1">
      <alignment horizontal="left" wrapText="1"/>
    </xf>
    <xf numFmtId="0" fontId="12" fillId="0" borderId="58" xfId="3" applyFont="1" applyBorder="1" applyAlignment="1">
      <alignment horizontal="left" wrapText="1"/>
    </xf>
    <xf numFmtId="0" fontId="12" fillId="0" borderId="47" xfId="3" applyFont="1" applyBorder="1" applyAlignment="1">
      <alignment horizontal="left" wrapText="1"/>
    </xf>
    <xf numFmtId="0" fontId="12" fillId="0" borderId="59" xfId="3" applyFont="1" applyBorder="1" applyAlignment="1">
      <alignment horizontal="left" wrapText="1"/>
    </xf>
    <xf numFmtId="0" fontId="12" fillId="2" borderId="56"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0" fontId="12" fillId="2" borderId="57" xfId="2" applyNumberFormat="1" applyFont="1" applyFill="1" applyBorder="1" applyAlignment="1">
      <alignment horizontal="left" wrapText="1"/>
    </xf>
    <xf numFmtId="0" fontId="14" fillId="2" borderId="66" xfId="2" applyNumberFormat="1" applyFont="1" applyFill="1" applyBorder="1" applyAlignment="1">
      <alignment horizontal="left" wrapText="1"/>
    </xf>
    <xf numFmtId="0" fontId="14" fillId="2" borderId="22" xfId="2" applyNumberFormat="1" applyFont="1" applyFill="1" applyBorder="1" applyAlignment="1">
      <alignment horizontal="left" wrapText="1"/>
    </xf>
    <xf numFmtId="0" fontId="14" fillId="2" borderId="31" xfId="2" applyNumberFormat="1" applyFont="1" applyFill="1" applyBorder="1" applyAlignment="1">
      <alignment horizontal="left" wrapText="1"/>
    </xf>
    <xf numFmtId="0" fontId="12" fillId="2" borderId="33" xfId="2" applyNumberFormat="1" applyFont="1" applyFill="1" applyBorder="1" applyAlignment="1">
      <alignment horizontal="left" wrapText="1"/>
    </xf>
    <xf numFmtId="0" fontId="12" fillId="2" borderId="34" xfId="2" applyNumberFormat="1" applyFont="1" applyFill="1" applyBorder="1" applyAlignment="1">
      <alignment horizontal="left" wrapText="1"/>
    </xf>
    <xf numFmtId="0" fontId="12" fillId="2" borderId="36" xfId="2" applyNumberFormat="1" applyFont="1" applyFill="1" applyBorder="1" applyAlignment="1">
      <alignment horizontal="left" wrapText="1"/>
    </xf>
    <xf numFmtId="0" fontId="12" fillId="2" borderId="37" xfId="2" applyNumberFormat="1" applyFont="1" applyFill="1" applyBorder="1" applyAlignment="1">
      <alignment horizontal="left" wrapText="1"/>
    </xf>
    <xf numFmtId="0" fontId="12" fillId="2" borderId="34" xfId="2" applyNumberFormat="1" applyFont="1" applyFill="1" applyBorder="1" applyAlignment="1">
      <alignment vertical="top" wrapText="1"/>
    </xf>
    <xf numFmtId="0" fontId="12" fillId="2" borderId="44" xfId="2" applyNumberFormat="1" applyFont="1" applyFill="1" applyBorder="1" applyAlignment="1">
      <alignment vertical="top" wrapText="1"/>
    </xf>
    <xf numFmtId="0" fontId="12" fillId="2" borderId="58" xfId="2" applyNumberFormat="1" applyFont="1" applyFill="1" applyBorder="1" applyAlignment="1">
      <alignment horizontal="left" wrapText="1"/>
    </xf>
    <xf numFmtId="0" fontId="12" fillId="2" borderId="47" xfId="2" applyNumberFormat="1" applyFont="1" applyFill="1" applyBorder="1" applyAlignment="1">
      <alignment horizontal="left" wrapText="1"/>
    </xf>
    <xf numFmtId="0" fontId="12" fillId="2" borderId="59" xfId="2" applyNumberFormat="1" applyFont="1" applyFill="1" applyBorder="1" applyAlignment="1">
      <alignment horizontal="left" wrapText="1"/>
    </xf>
    <xf numFmtId="0" fontId="12" fillId="2" borderId="40" xfId="2" applyNumberFormat="1" applyFont="1" applyFill="1" applyBorder="1" applyAlignment="1">
      <alignment horizontal="left" wrapText="1"/>
    </xf>
    <xf numFmtId="0" fontId="12" fillId="2" borderId="44" xfId="2" applyNumberFormat="1" applyFont="1" applyFill="1" applyBorder="1" applyAlignment="1">
      <alignment horizontal="left" wrapText="1"/>
    </xf>
    <xf numFmtId="0" fontId="12" fillId="7" borderId="17" xfId="1" applyNumberFormat="1" applyFont="1" applyFill="1" applyBorder="1" applyAlignment="1">
      <alignment horizontal="left" vertical="center" wrapText="1"/>
    </xf>
    <xf numFmtId="0" fontId="12" fillId="7" borderId="55" xfId="1" applyNumberFormat="1" applyFont="1" applyFill="1" applyBorder="1" applyAlignment="1">
      <alignment horizontal="left" vertical="center" wrapText="1"/>
    </xf>
    <xf numFmtId="0" fontId="12" fillId="0" borderId="56" xfId="0" applyFont="1" applyBorder="1" applyAlignment="1">
      <alignment horizontal="left" vertical="center" wrapText="1"/>
    </xf>
    <xf numFmtId="0" fontId="12" fillId="0" borderId="0" xfId="0" applyFont="1" applyBorder="1" applyAlignment="1">
      <alignment horizontal="left" vertical="center" wrapText="1"/>
    </xf>
    <xf numFmtId="0" fontId="12" fillId="0" borderId="57" xfId="0" applyFont="1" applyBorder="1" applyAlignment="1">
      <alignment horizontal="left" vertical="center" wrapText="1"/>
    </xf>
    <xf numFmtId="0" fontId="12" fillId="2" borderId="56" xfId="3" applyNumberFormat="1" applyFont="1" applyFill="1" applyBorder="1" applyAlignment="1">
      <alignment horizontal="left" wrapText="1"/>
    </xf>
    <xf numFmtId="0" fontId="12" fillId="2" borderId="0" xfId="3" applyNumberFormat="1" applyFont="1" applyFill="1" applyBorder="1" applyAlignment="1">
      <alignment horizontal="left" wrapText="1"/>
    </xf>
    <xf numFmtId="0" fontId="12" fillId="2" borderId="57" xfId="3" applyNumberFormat="1" applyFont="1" applyFill="1" applyBorder="1" applyAlignment="1">
      <alignment horizontal="left" wrapText="1"/>
    </xf>
    <xf numFmtId="0" fontId="12" fillId="2" borderId="34" xfId="2" applyNumberFormat="1" applyFont="1" applyFill="1" applyBorder="1" applyAlignment="1">
      <alignment wrapText="1"/>
    </xf>
    <xf numFmtId="49" fontId="20" fillId="0" borderId="0" xfId="0" applyNumberFormat="1" applyFont="1" applyAlignment="1">
      <alignment horizontal="center"/>
    </xf>
    <xf numFmtId="0" fontId="14" fillId="2" borderId="44" xfId="2" applyNumberFormat="1" applyFont="1" applyFill="1" applyBorder="1" applyAlignment="1">
      <alignment horizontal="left" wrapText="1"/>
    </xf>
    <xf numFmtId="0" fontId="14" fillId="2" borderId="44" xfId="2" applyNumberFormat="1" applyFont="1" applyFill="1" applyBorder="1" applyAlignment="1">
      <alignment horizontal="left"/>
    </xf>
    <xf numFmtId="0" fontId="14" fillId="2" borderId="45" xfId="2" applyNumberFormat="1" applyFont="1" applyFill="1" applyBorder="1" applyAlignment="1">
      <alignment horizontal="left"/>
    </xf>
    <xf numFmtId="0" fontId="12" fillId="2" borderId="54" xfId="2" applyNumberFormat="1" applyFont="1" applyFill="1" applyBorder="1" applyAlignment="1">
      <alignment horizontal="left" vertical="top" wrapText="1"/>
    </xf>
    <xf numFmtId="0" fontId="12" fillId="2" borderId="17" xfId="2" applyNumberFormat="1" applyFont="1" applyFill="1" applyBorder="1" applyAlignment="1">
      <alignment horizontal="left" vertical="top" wrapText="1"/>
    </xf>
    <xf numFmtId="0" fontId="12" fillId="2" borderId="55" xfId="2" applyNumberFormat="1" applyFont="1" applyFill="1" applyBorder="1" applyAlignment="1">
      <alignment horizontal="left" vertical="top" wrapText="1"/>
    </xf>
    <xf numFmtId="0" fontId="12" fillId="2" borderId="56" xfId="2" applyNumberFormat="1" applyFont="1" applyFill="1" applyBorder="1" applyAlignment="1">
      <alignment horizontal="left" vertical="top" wrapText="1"/>
    </xf>
    <xf numFmtId="0" fontId="12" fillId="2" borderId="0" xfId="2" applyNumberFormat="1" applyFont="1" applyFill="1" applyBorder="1" applyAlignment="1">
      <alignment horizontal="left" vertical="top" wrapText="1"/>
    </xf>
    <xf numFmtId="0" fontId="12" fillId="2" borderId="57" xfId="2" applyNumberFormat="1" applyFont="1" applyFill="1" applyBorder="1" applyAlignment="1">
      <alignment horizontal="left" vertical="top" wrapText="1"/>
    </xf>
    <xf numFmtId="0" fontId="12" fillId="2" borderId="0" xfId="2" quotePrefix="1" applyNumberFormat="1" applyFont="1" applyFill="1" applyBorder="1" applyAlignment="1">
      <alignment horizontal="left" vertical="top" wrapText="1"/>
    </xf>
    <xf numFmtId="0" fontId="12" fillId="2" borderId="57" xfId="2" quotePrefix="1" applyNumberFormat="1" applyFont="1" applyFill="1" applyBorder="1" applyAlignment="1">
      <alignment horizontal="left" vertical="top" wrapText="1"/>
    </xf>
    <xf numFmtId="0" fontId="12" fillId="2" borderId="47" xfId="2" quotePrefix="1" applyNumberFormat="1" applyFont="1" applyFill="1" applyBorder="1" applyAlignment="1">
      <alignment horizontal="left" vertical="top" wrapText="1"/>
    </xf>
    <xf numFmtId="0" fontId="12" fillId="2" borderId="59" xfId="2" quotePrefix="1" applyNumberFormat="1" applyFont="1" applyFill="1" applyBorder="1" applyAlignment="1">
      <alignment horizontal="left" vertical="top" wrapText="1"/>
    </xf>
    <xf numFmtId="0" fontId="12" fillId="2" borderId="54" xfId="2" applyNumberFormat="1" applyFont="1" applyFill="1" applyBorder="1" applyAlignment="1">
      <alignment wrapText="1"/>
    </xf>
    <xf numFmtId="0" fontId="12" fillId="2" borderId="17" xfId="2" applyNumberFormat="1" applyFont="1" applyFill="1" applyBorder="1" applyAlignment="1">
      <alignment wrapText="1"/>
    </xf>
    <xf numFmtId="0" fontId="12" fillId="2" borderId="55" xfId="2" applyNumberFormat="1" applyFont="1" applyFill="1" applyBorder="1" applyAlignment="1">
      <alignment wrapText="1"/>
    </xf>
    <xf numFmtId="0" fontId="12" fillId="2" borderId="56" xfId="2" applyNumberFormat="1" applyFont="1" applyFill="1" applyBorder="1" applyAlignment="1">
      <alignment wrapText="1"/>
    </xf>
    <xf numFmtId="0" fontId="12" fillId="2" borderId="0" xfId="2" applyNumberFormat="1" applyFont="1" applyFill="1" applyBorder="1" applyAlignment="1">
      <alignment wrapText="1"/>
    </xf>
    <xf numFmtId="0" fontId="12" fillId="2" borderId="57" xfId="2" applyNumberFormat="1" applyFont="1" applyFill="1" applyBorder="1" applyAlignment="1">
      <alignmen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31</xdr:row>
      <xdr:rowOff>104775</xdr:rowOff>
    </xdr:from>
    <xdr:to>
      <xdr:col>0</xdr:col>
      <xdr:colOff>4238624</xdr:colOff>
      <xdr:row>32</xdr:row>
      <xdr:rowOff>752475</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31</xdr:row>
      <xdr:rowOff>104775</xdr:rowOff>
    </xdr:from>
    <xdr:to>
      <xdr:col>0</xdr:col>
      <xdr:colOff>4238624</xdr:colOff>
      <xdr:row>32</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31</xdr:row>
      <xdr:rowOff>104775</xdr:rowOff>
    </xdr:from>
    <xdr:to>
      <xdr:col>0</xdr:col>
      <xdr:colOff>4238624</xdr:colOff>
      <xdr:row>32</xdr:row>
      <xdr:rowOff>752475</xdr:rowOff>
    </xdr:to>
    <xdr:pic>
      <xdr:nvPicPr>
        <xdr:cNvPr id="4"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view="pageBreakPreview" topLeftCell="A10" zoomScaleNormal="100" zoomScaleSheetLayoutView="100" workbookViewId="0">
      <selection activeCell="A9" sqref="A9"/>
    </sheetView>
  </sheetViews>
  <sheetFormatPr defaultRowHeight="14.25" x14ac:dyDescent="0.2"/>
  <cols>
    <col min="1" max="1" width="100.85546875" style="492" customWidth="1"/>
    <col min="2" max="16384" width="9.140625" style="492"/>
  </cols>
  <sheetData>
    <row r="1" spans="1:1" x14ac:dyDescent="0.2">
      <c r="A1" s="491"/>
    </row>
    <row r="2" spans="1:1" x14ac:dyDescent="0.2">
      <c r="A2" s="493"/>
    </row>
    <row r="3" spans="1:1" x14ac:dyDescent="0.2">
      <c r="A3" s="493"/>
    </row>
    <row r="4" spans="1:1" x14ac:dyDescent="0.2">
      <c r="A4" s="493"/>
    </row>
    <row r="5" spans="1:1" x14ac:dyDescent="0.2">
      <c r="A5" s="493"/>
    </row>
    <row r="6" spans="1:1" x14ac:dyDescent="0.2">
      <c r="A6" s="493"/>
    </row>
    <row r="7" spans="1:1" x14ac:dyDescent="0.2">
      <c r="A7" s="493"/>
    </row>
    <row r="8" spans="1:1" ht="27.75" x14ac:dyDescent="0.4">
      <c r="A8" s="494" t="s">
        <v>428</v>
      </c>
    </row>
    <row r="9" spans="1:1" x14ac:dyDescent="0.2">
      <c r="A9" s="605" t="s">
        <v>520</v>
      </c>
    </row>
    <row r="10" spans="1:1" x14ac:dyDescent="0.2">
      <c r="A10" s="493"/>
    </row>
    <row r="11" spans="1:1" x14ac:dyDescent="0.2">
      <c r="A11" s="493"/>
    </row>
    <row r="12" spans="1:1" x14ac:dyDescent="0.2">
      <c r="A12" s="493"/>
    </row>
    <row r="13" spans="1:1" x14ac:dyDescent="0.2">
      <c r="A13" s="493"/>
    </row>
    <row r="14" spans="1:1" s="496" customFormat="1" ht="58.5" customHeight="1" x14ac:dyDescent="0.25">
      <c r="A14" s="495" t="s">
        <v>427</v>
      </c>
    </row>
    <row r="15" spans="1:1" x14ac:dyDescent="0.2">
      <c r="A15" s="493"/>
    </row>
    <row r="16" spans="1:1" x14ac:dyDescent="0.2">
      <c r="A16" s="493"/>
    </row>
    <row r="17" spans="1:1" x14ac:dyDescent="0.2">
      <c r="A17" s="493"/>
    </row>
    <row r="18" spans="1:1" x14ac:dyDescent="0.2">
      <c r="A18" s="493"/>
    </row>
    <row r="19" spans="1:1" x14ac:dyDescent="0.2">
      <c r="A19" s="493"/>
    </row>
    <row r="20" spans="1:1" x14ac:dyDescent="0.2">
      <c r="A20" s="493"/>
    </row>
    <row r="21" spans="1:1" ht="15" x14ac:dyDescent="0.25">
      <c r="A21" s="497" t="s">
        <v>423</v>
      </c>
    </row>
    <row r="22" spans="1:1" ht="28.5" customHeight="1" x14ac:dyDescent="0.2">
      <c r="A22" s="498" t="s">
        <v>424</v>
      </c>
    </row>
    <row r="23" spans="1:1" ht="24.75" customHeight="1" x14ac:dyDescent="0.2">
      <c r="A23" s="498" t="s">
        <v>425</v>
      </c>
    </row>
    <row r="24" spans="1:1" ht="24.75" customHeight="1" x14ac:dyDescent="0.2">
      <c r="A24" s="498"/>
    </row>
    <row r="25" spans="1:1" ht="24.75" customHeight="1" x14ac:dyDescent="0.2">
      <c r="A25" s="498"/>
    </row>
    <row r="26" spans="1:1" x14ac:dyDescent="0.2">
      <c r="A26" s="493"/>
    </row>
    <row r="27" spans="1:1" x14ac:dyDescent="0.2">
      <c r="A27" s="493"/>
    </row>
    <row r="28" spans="1:1" x14ac:dyDescent="0.2">
      <c r="A28" s="493"/>
    </row>
    <row r="29" spans="1:1" x14ac:dyDescent="0.2">
      <c r="A29" s="493"/>
    </row>
    <row r="30" spans="1:1" x14ac:dyDescent="0.2">
      <c r="A30" s="493"/>
    </row>
    <row r="31" spans="1:1" ht="15" x14ac:dyDescent="0.25">
      <c r="A31" s="497" t="s">
        <v>173</v>
      </c>
    </row>
    <row r="32" spans="1:1" ht="15" customHeight="1" x14ac:dyDescent="0.2">
      <c r="A32" s="610"/>
    </row>
    <row r="33" spans="1:1" ht="55.5" customHeight="1" x14ac:dyDescent="0.2">
      <c r="A33" s="610"/>
    </row>
    <row r="34" spans="1:1" x14ac:dyDescent="0.2">
      <c r="A34" s="493"/>
    </row>
    <row r="35" spans="1:1" ht="15" thickBot="1" x14ac:dyDescent="0.25">
      <c r="A35" s="499"/>
    </row>
    <row r="37" spans="1:1" ht="15" x14ac:dyDescent="0.25">
      <c r="A37" s="500"/>
    </row>
    <row r="38" spans="1:1" ht="15" x14ac:dyDescent="0.25">
      <c r="A38" s="501"/>
    </row>
  </sheetData>
  <mergeCells count="1">
    <mergeCell ref="A32:A33"/>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7" workbookViewId="0">
      <selection activeCell="A2" sqref="A2:C2"/>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611" t="s">
        <v>429</v>
      </c>
      <c r="B1" s="611"/>
      <c r="C1" s="611"/>
    </row>
    <row r="2" spans="1:6" ht="15.75" x14ac:dyDescent="0.25">
      <c r="A2" s="612" t="s">
        <v>521</v>
      </c>
      <c r="B2" s="612"/>
      <c r="C2" s="612"/>
    </row>
    <row r="3" spans="1:6" ht="15.75" thickBot="1" x14ac:dyDescent="0.3">
      <c r="A3" s="1"/>
      <c r="B3" s="2"/>
      <c r="C3" s="3"/>
    </row>
    <row r="4" spans="1:6" ht="20.100000000000001" customHeight="1" thickTop="1" thickBot="1" x14ac:dyDescent="0.35">
      <c r="A4" s="4" t="s">
        <v>72</v>
      </c>
      <c r="B4" s="5" t="s">
        <v>73</v>
      </c>
      <c r="C4" s="6" t="s">
        <v>74</v>
      </c>
    </row>
    <row r="5" spans="1:6" ht="24.95" customHeight="1" thickTop="1" x14ac:dyDescent="0.25">
      <c r="A5" s="7" t="s">
        <v>75</v>
      </c>
      <c r="B5" s="8" t="s">
        <v>18</v>
      </c>
      <c r="C5" s="9">
        <f>Boq!G52</f>
        <v>0</v>
      </c>
    </row>
    <row r="6" spans="1:6" ht="24.95" customHeight="1" x14ac:dyDescent="0.25">
      <c r="A6" s="10" t="s">
        <v>76</v>
      </c>
      <c r="B6" s="11" t="s">
        <v>77</v>
      </c>
      <c r="C6" s="12">
        <f>Boq!G91</f>
        <v>0</v>
      </c>
    </row>
    <row r="7" spans="1:6" ht="24.95" customHeight="1" x14ac:dyDescent="0.25">
      <c r="A7" s="10" t="s">
        <v>78</v>
      </c>
      <c r="B7" s="11" t="s">
        <v>79</v>
      </c>
      <c r="C7" s="12">
        <f>Boq!G516</f>
        <v>0</v>
      </c>
    </row>
    <row r="8" spans="1:6" ht="24.95" customHeight="1" x14ac:dyDescent="0.25">
      <c r="A8" s="10" t="s">
        <v>80</v>
      </c>
      <c r="B8" s="11" t="s">
        <v>81</v>
      </c>
      <c r="C8" s="12">
        <f>Boq!G609</f>
        <v>0</v>
      </c>
    </row>
    <row r="9" spans="1:6" ht="24.95" customHeight="1" x14ac:dyDescent="0.25">
      <c r="A9" s="10" t="s">
        <v>82</v>
      </c>
      <c r="B9" s="11" t="s">
        <v>83</v>
      </c>
      <c r="C9" s="12">
        <f>Boq!G749</f>
        <v>0</v>
      </c>
    </row>
    <row r="10" spans="1:6" ht="24.95" customHeight="1" x14ac:dyDescent="0.25">
      <c r="A10" s="10" t="s">
        <v>84</v>
      </c>
      <c r="B10" s="11" t="s">
        <v>86</v>
      </c>
      <c r="C10" s="12">
        <f>Boq!G822</f>
        <v>0</v>
      </c>
    </row>
    <row r="11" spans="1:6" ht="24.95" customHeight="1" x14ac:dyDescent="0.25">
      <c r="A11" s="10" t="s">
        <v>85</v>
      </c>
      <c r="B11" s="11" t="s">
        <v>88</v>
      </c>
      <c r="C11" s="12">
        <f>Boq!G872</f>
        <v>0</v>
      </c>
    </row>
    <row r="12" spans="1:6" ht="24.95" customHeight="1" x14ac:dyDescent="0.25">
      <c r="A12" s="10" t="s">
        <v>87</v>
      </c>
      <c r="B12" s="11" t="s">
        <v>90</v>
      </c>
      <c r="C12" s="12">
        <f>Boq!G917</f>
        <v>0</v>
      </c>
    </row>
    <row r="13" spans="1:6" ht="24.95" customHeight="1" x14ac:dyDescent="0.25">
      <c r="A13" s="10" t="s">
        <v>89</v>
      </c>
      <c r="B13" s="11" t="s">
        <v>92</v>
      </c>
      <c r="C13" s="12">
        <f>Boq!G1005</f>
        <v>0</v>
      </c>
    </row>
    <row r="14" spans="1:6" ht="24.95" customHeight="1" x14ac:dyDescent="0.25">
      <c r="A14" s="10" t="s">
        <v>91</v>
      </c>
      <c r="B14" s="11" t="s">
        <v>94</v>
      </c>
      <c r="C14" s="12">
        <f>Boq!G1091</f>
        <v>0</v>
      </c>
    </row>
    <row r="15" spans="1:6" ht="24.95" customHeight="1" x14ac:dyDescent="0.25">
      <c r="A15" s="10" t="s">
        <v>93</v>
      </c>
      <c r="B15" s="11" t="s">
        <v>95</v>
      </c>
      <c r="C15" s="12">
        <f>Boq!G1247</f>
        <v>0</v>
      </c>
    </row>
    <row r="16" spans="1:6" ht="24.95" customHeight="1" x14ac:dyDescent="0.25">
      <c r="A16" s="10" t="s">
        <v>360</v>
      </c>
      <c r="B16" s="11" t="s">
        <v>361</v>
      </c>
      <c r="C16" s="12"/>
      <c r="F16" s="50"/>
    </row>
    <row r="17" spans="1:6" ht="24.95" customHeight="1" x14ac:dyDescent="0.25">
      <c r="A17" s="10" t="s">
        <v>391</v>
      </c>
      <c r="B17" s="11" t="s">
        <v>393</v>
      </c>
      <c r="C17" s="12"/>
      <c r="F17" s="50">
        <f>C21/F19</f>
        <v>0</v>
      </c>
    </row>
    <row r="18" spans="1:6" ht="24.95" customHeight="1" x14ac:dyDescent="0.25">
      <c r="A18" s="10" t="s">
        <v>392</v>
      </c>
      <c r="B18" s="11" t="s">
        <v>394</v>
      </c>
      <c r="C18" s="12">
        <f>-Boq!G1414</f>
        <v>0</v>
      </c>
    </row>
    <row r="19" spans="1:6" ht="24.95" customHeight="1" x14ac:dyDescent="0.25">
      <c r="A19" s="13"/>
      <c r="B19" s="14"/>
      <c r="C19" s="15"/>
      <c r="F19">
        <f>107*2*10.764</f>
        <v>2303.4959999999996</v>
      </c>
    </row>
    <row r="20" spans="1:6" ht="24.95" customHeight="1" thickBot="1" x14ac:dyDescent="0.3">
      <c r="A20" s="16"/>
      <c r="B20" s="17"/>
      <c r="C20" s="18"/>
      <c r="F20" s="50">
        <f>C21*3%</f>
        <v>0</v>
      </c>
    </row>
    <row r="21" spans="1:6" ht="24.95" customHeight="1" thickTop="1" thickBot="1" x14ac:dyDescent="0.3">
      <c r="A21" s="19"/>
      <c r="B21" s="20" t="s">
        <v>357</v>
      </c>
      <c r="C21" s="21">
        <f>SUM(C5:C18)</f>
        <v>0</v>
      </c>
      <c r="F21" s="50">
        <f>C21*0.05</f>
        <v>0</v>
      </c>
    </row>
    <row r="22" spans="1:6" ht="24.95" customHeight="1" thickTop="1" thickBot="1" x14ac:dyDescent="0.3">
      <c r="A22" s="19"/>
      <c r="B22" s="20" t="s">
        <v>358</v>
      </c>
      <c r="C22" s="21">
        <f>C21*6%</f>
        <v>0</v>
      </c>
    </row>
    <row r="23" spans="1:6" ht="31.5" customHeight="1" thickTop="1" thickBot="1" x14ac:dyDescent="0.3">
      <c r="A23" s="19"/>
      <c r="B23" s="20" t="s">
        <v>359</v>
      </c>
      <c r="C23" s="21">
        <f>C21+C22</f>
        <v>0</v>
      </c>
    </row>
    <row r="24" spans="1:6" ht="15.75" thickTop="1" x14ac:dyDescent="0.25"/>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14"/>
  <sheetViews>
    <sheetView tabSelected="1" view="pageBreakPreview" topLeftCell="A1297" zoomScaleNormal="100" zoomScaleSheetLayoutView="100" workbookViewId="0">
      <selection activeCell="B1351" sqref="B1351"/>
    </sheetView>
  </sheetViews>
  <sheetFormatPr defaultRowHeight="12" x14ac:dyDescent="0.2"/>
  <cols>
    <col min="1" max="1" width="5.140625" style="36" customWidth="1"/>
    <col min="2" max="2" width="39.140625" style="22" customWidth="1"/>
    <col min="3" max="3" width="4.7109375" style="23" customWidth="1"/>
    <col min="4" max="4" width="8.140625" style="24" customWidth="1"/>
    <col min="5" max="5" width="11.85546875" style="37" customWidth="1"/>
    <col min="6" max="6" width="11.5703125" style="25" customWidth="1"/>
    <col min="7" max="7" width="12.42578125" style="25" customWidth="1"/>
    <col min="8" max="8" width="4.5703125" style="22" customWidth="1"/>
    <col min="9" max="9" width="13.5703125" style="22" customWidth="1"/>
    <col min="10" max="10" width="9.140625" style="22" customWidth="1"/>
    <col min="11" max="11" width="9" style="22" customWidth="1"/>
    <col min="12" max="12" width="9.42578125" style="22" customWidth="1"/>
    <col min="13" max="13" width="11.28515625" style="22" customWidth="1"/>
    <col min="14" max="14" width="12.85546875" style="22" customWidth="1"/>
    <col min="15" max="15" width="7.7109375" style="22" customWidth="1"/>
    <col min="16" max="16384" width="9.140625" style="22"/>
  </cols>
  <sheetData>
    <row r="1" spans="1:10" s="32" customFormat="1" ht="18.75" customHeight="1" x14ac:dyDescent="0.25">
      <c r="A1" s="648" t="s">
        <v>426</v>
      </c>
      <c r="B1" s="648"/>
      <c r="C1" s="648"/>
      <c r="D1" s="648"/>
      <c r="E1" s="648"/>
      <c r="F1" s="648"/>
      <c r="G1" s="648"/>
    </row>
    <row r="2" spans="1:10" ht="12.75" thickBot="1" x14ac:dyDescent="0.25"/>
    <row r="3" spans="1:10" s="26" customFormat="1" ht="24.75" thickBot="1" x14ac:dyDescent="0.3">
      <c r="A3" s="111" t="s">
        <v>0</v>
      </c>
      <c r="B3" s="112" t="s">
        <v>1</v>
      </c>
      <c r="C3" s="112" t="s">
        <v>2</v>
      </c>
      <c r="D3" s="113" t="s">
        <v>3</v>
      </c>
      <c r="E3" s="114" t="s">
        <v>4</v>
      </c>
      <c r="F3" s="115" t="s">
        <v>5</v>
      </c>
      <c r="G3" s="116" t="s">
        <v>6</v>
      </c>
    </row>
    <row r="4" spans="1:10" s="26" customFormat="1" x14ac:dyDescent="0.2">
      <c r="A4" s="268"/>
      <c r="B4" s="423" t="s">
        <v>17</v>
      </c>
      <c r="C4" s="300"/>
      <c r="D4" s="301"/>
      <c r="E4" s="272"/>
      <c r="F4" s="432"/>
      <c r="G4" s="65"/>
      <c r="I4" s="43"/>
      <c r="J4" s="42"/>
    </row>
    <row r="5" spans="1:10" s="26" customFormat="1" x14ac:dyDescent="0.2">
      <c r="A5" s="140"/>
      <c r="B5" s="424" t="s">
        <v>18</v>
      </c>
      <c r="C5" s="298"/>
      <c r="D5" s="299"/>
      <c r="E5" s="144"/>
      <c r="F5" s="433"/>
      <c r="G5" s="65"/>
    </row>
    <row r="6" spans="1:10" s="26" customFormat="1" x14ac:dyDescent="0.2">
      <c r="A6" s="140"/>
      <c r="B6" s="434"/>
      <c r="C6" s="298"/>
      <c r="D6" s="299"/>
      <c r="E6" s="144"/>
      <c r="F6" s="433"/>
      <c r="G6" s="65"/>
    </row>
    <row r="7" spans="1:10" s="26" customFormat="1" x14ac:dyDescent="0.2">
      <c r="A7" s="140">
        <v>1.1000000000000001</v>
      </c>
      <c r="B7" s="435" t="s">
        <v>19</v>
      </c>
      <c r="C7" s="298"/>
      <c r="D7" s="299"/>
      <c r="E7" s="144"/>
      <c r="F7" s="433"/>
      <c r="G7" s="65"/>
    </row>
    <row r="8" spans="1:10" s="26" customFormat="1" x14ac:dyDescent="0.2">
      <c r="A8" s="436" t="s">
        <v>7</v>
      </c>
      <c r="B8" s="437" t="s">
        <v>20</v>
      </c>
      <c r="C8" s="298"/>
      <c r="D8" s="299"/>
      <c r="E8" s="144"/>
      <c r="F8" s="433"/>
      <c r="G8" s="65"/>
    </row>
    <row r="9" spans="1:10" s="26" customFormat="1" x14ac:dyDescent="0.2">
      <c r="A9" s="140"/>
      <c r="B9" s="438" t="s">
        <v>21</v>
      </c>
      <c r="C9" s="298"/>
      <c r="D9" s="299"/>
      <c r="E9" s="144"/>
      <c r="F9" s="433"/>
      <c r="G9" s="65"/>
    </row>
    <row r="10" spans="1:10" s="26" customFormat="1" x14ac:dyDescent="0.2">
      <c r="A10" s="140"/>
      <c r="B10" s="438" t="s">
        <v>22</v>
      </c>
      <c r="C10" s="298"/>
      <c r="D10" s="299"/>
      <c r="E10" s="144"/>
      <c r="F10" s="433"/>
      <c r="G10" s="65"/>
    </row>
    <row r="11" spans="1:10" s="26" customFormat="1" x14ac:dyDescent="0.2">
      <c r="A11" s="140"/>
      <c r="B11" s="438" t="s">
        <v>23</v>
      </c>
      <c r="C11" s="298"/>
      <c r="D11" s="299"/>
      <c r="E11" s="144"/>
      <c r="F11" s="433"/>
      <c r="G11" s="65"/>
    </row>
    <row r="12" spans="1:10" s="26" customFormat="1" x14ac:dyDescent="0.2">
      <c r="A12" s="140"/>
      <c r="B12" s="438" t="s">
        <v>24</v>
      </c>
      <c r="C12" s="298"/>
      <c r="D12" s="299"/>
      <c r="E12" s="144"/>
      <c r="F12" s="433"/>
      <c r="G12" s="65"/>
    </row>
    <row r="13" spans="1:10" s="26" customFormat="1" x14ac:dyDescent="0.2">
      <c r="A13" s="140"/>
      <c r="B13" s="438" t="s">
        <v>21</v>
      </c>
      <c r="C13" s="298"/>
      <c r="D13" s="299"/>
      <c r="E13" s="144"/>
      <c r="F13" s="433"/>
      <c r="G13" s="65"/>
    </row>
    <row r="14" spans="1:10" s="26" customFormat="1" x14ac:dyDescent="0.2">
      <c r="A14" s="140"/>
      <c r="B14" s="438" t="s">
        <v>25</v>
      </c>
      <c r="C14" s="298"/>
      <c r="D14" s="299"/>
      <c r="E14" s="144"/>
      <c r="F14" s="433"/>
      <c r="G14" s="65"/>
    </row>
    <row r="15" spans="1:10" s="26" customFormat="1" x14ac:dyDescent="0.2">
      <c r="A15" s="140"/>
      <c r="B15" s="438" t="s">
        <v>26</v>
      </c>
      <c r="C15" s="298"/>
      <c r="D15" s="299"/>
      <c r="E15" s="144"/>
      <c r="F15" s="433"/>
      <c r="G15" s="65"/>
    </row>
    <row r="16" spans="1:10" s="26" customFormat="1" x14ac:dyDescent="0.2">
      <c r="A16" s="140"/>
      <c r="B16" s="438" t="s">
        <v>27</v>
      </c>
      <c r="C16" s="298"/>
      <c r="D16" s="299"/>
      <c r="E16" s="144"/>
      <c r="F16" s="433"/>
      <c r="G16" s="65"/>
    </row>
    <row r="17" spans="1:7" s="26" customFormat="1" x14ac:dyDescent="0.2">
      <c r="A17" s="140"/>
      <c r="B17" s="438" t="s">
        <v>28</v>
      </c>
      <c r="C17" s="298"/>
      <c r="D17" s="299"/>
      <c r="E17" s="144"/>
      <c r="F17" s="433"/>
      <c r="G17" s="65"/>
    </row>
    <row r="18" spans="1:7" s="26" customFormat="1" x14ac:dyDescent="0.2">
      <c r="A18" s="140"/>
      <c r="B18" s="438" t="s">
        <v>29</v>
      </c>
      <c r="C18" s="298"/>
      <c r="D18" s="299"/>
      <c r="E18" s="144"/>
      <c r="F18" s="433"/>
      <c r="G18" s="65"/>
    </row>
    <row r="19" spans="1:7" s="26" customFormat="1" x14ac:dyDescent="0.2">
      <c r="A19" s="140"/>
      <c r="B19" s="438" t="s">
        <v>30</v>
      </c>
      <c r="C19" s="298"/>
      <c r="D19" s="299"/>
      <c r="E19" s="144"/>
      <c r="F19" s="433"/>
      <c r="G19" s="65"/>
    </row>
    <row r="20" spans="1:7" s="26" customFormat="1" x14ac:dyDescent="0.2">
      <c r="A20" s="140"/>
      <c r="B20" s="438"/>
      <c r="C20" s="298"/>
      <c r="D20" s="299"/>
      <c r="E20" s="144"/>
      <c r="F20" s="433"/>
      <c r="G20" s="65"/>
    </row>
    <row r="21" spans="1:7" s="26" customFormat="1" x14ac:dyDescent="0.2">
      <c r="A21" s="436">
        <v>1.2</v>
      </c>
      <c r="B21" s="439" t="s">
        <v>31</v>
      </c>
      <c r="C21" s="267"/>
      <c r="D21" s="143"/>
      <c r="E21" s="144"/>
      <c r="F21" s="433"/>
      <c r="G21" s="65"/>
    </row>
    <row r="22" spans="1:7" s="26" customFormat="1" ht="48.75" customHeight="1" x14ac:dyDescent="0.2">
      <c r="A22" s="140" t="s">
        <v>7</v>
      </c>
      <c r="B22" s="440" t="s">
        <v>236</v>
      </c>
      <c r="C22" s="267" t="s">
        <v>0</v>
      </c>
      <c r="D22" s="143">
        <v>1</v>
      </c>
      <c r="E22" s="144"/>
      <c r="F22" s="145"/>
      <c r="G22" s="67">
        <f t="shared" ref="G22:G35" si="0">(D22*E22)+(D22*F22)</f>
        <v>0</v>
      </c>
    </row>
    <row r="23" spans="1:7" s="26" customFormat="1" x14ac:dyDescent="0.2">
      <c r="A23" s="436"/>
      <c r="B23" s="440"/>
      <c r="C23" s="267"/>
      <c r="D23" s="143"/>
      <c r="E23" s="144"/>
      <c r="F23" s="145"/>
      <c r="G23" s="67">
        <f t="shared" si="0"/>
        <v>0</v>
      </c>
    </row>
    <row r="24" spans="1:7" s="26" customFormat="1" x14ac:dyDescent="0.2">
      <c r="A24" s="140">
        <v>1.3</v>
      </c>
      <c r="B24" s="439" t="s">
        <v>32</v>
      </c>
      <c r="C24" s="267"/>
      <c r="D24" s="143"/>
      <c r="E24" s="144"/>
      <c r="F24" s="145"/>
      <c r="G24" s="67">
        <f t="shared" si="0"/>
        <v>0</v>
      </c>
    </row>
    <row r="25" spans="1:7" s="26" customFormat="1" x14ac:dyDescent="0.2">
      <c r="A25" s="140" t="s">
        <v>7</v>
      </c>
      <c r="B25" s="441" t="s">
        <v>33</v>
      </c>
      <c r="C25" s="267" t="s">
        <v>34</v>
      </c>
      <c r="D25" s="143">
        <v>1</v>
      </c>
      <c r="E25" s="144"/>
      <c r="F25" s="145"/>
      <c r="G25" s="67">
        <f t="shared" si="0"/>
        <v>0</v>
      </c>
    </row>
    <row r="26" spans="1:7" s="26" customFormat="1" x14ac:dyDescent="0.2">
      <c r="A26" s="140"/>
      <c r="B26" s="441"/>
      <c r="C26" s="267"/>
      <c r="D26" s="143"/>
      <c r="E26" s="144"/>
      <c r="F26" s="145"/>
      <c r="G26" s="67">
        <f t="shared" si="0"/>
        <v>0</v>
      </c>
    </row>
    <row r="27" spans="1:7" s="26" customFormat="1" x14ac:dyDescent="0.2">
      <c r="A27" s="140" t="s">
        <v>168</v>
      </c>
      <c r="B27" s="442" t="s">
        <v>169</v>
      </c>
      <c r="C27" s="267"/>
      <c r="D27" s="143"/>
      <c r="E27" s="144"/>
      <c r="F27" s="145"/>
      <c r="G27" s="67">
        <f t="shared" si="0"/>
        <v>0</v>
      </c>
    </row>
    <row r="28" spans="1:7" s="26" customFormat="1" ht="39.75" customHeight="1" x14ac:dyDescent="0.2">
      <c r="A28" s="140" t="s">
        <v>7</v>
      </c>
      <c r="B28" s="219" t="s">
        <v>508</v>
      </c>
      <c r="C28" s="267" t="s">
        <v>0</v>
      </c>
      <c r="D28" s="143">
        <v>1</v>
      </c>
      <c r="E28" s="144"/>
      <c r="F28" s="145"/>
      <c r="G28" s="67">
        <f t="shared" si="0"/>
        <v>0</v>
      </c>
    </row>
    <row r="29" spans="1:7" s="26" customFormat="1" x14ac:dyDescent="0.2">
      <c r="A29" s="140"/>
      <c r="B29" s="441"/>
      <c r="C29" s="267"/>
      <c r="D29" s="143"/>
      <c r="E29" s="144"/>
      <c r="F29" s="145"/>
      <c r="G29" s="67"/>
    </row>
    <row r="30" spans="1:7" s="26" customFormat="1" x14ac:dyDescent="0.2">
      <c r="A30" s="140" t="s">
        <v>182</v>
      </c>
      <c r="B30" s="442" t="s">
        <v>509</v>
      </c>
      <c r="C30" s="267"/>
      <c r="D30" s="143"/>
      <c r="E30" s="144"/>
      <c r="F30" s="145"/>
      <c r="G30" s="67">
        <f t="shared" ref="G30:G31" si="1">(D30*E30)+(D30*F30)</f>
        <v>0</v>
      </c>
    </row>
    <row r="31" spans="1:7" s="26" customFormat="1" ht="24" x14ac:dyDescent="0.2">
      <c r="A31" s="140" t="s">
        <v>7</v>
      </c>
      <c r="B31" s="535" t="s">
        <v>511</v>
      </c>
      <c r="C31" s="267" t="s">
        <v>0</v>
      </c>
      <c r="D31" s="143">
        <v>1</v>
      </c>
      <c r="E31" s="144"/>
      <c r="F31" s="145"/>
      <c r="G31" s="67">
        <f t="shared" si="1"/>
        <v>0</v>
      </c>
    </row>
    <row r="32" spans="1:7" s="26" customFormat="1" x14ac:dyDescent="0.2">
      <c r="A32" s="140"/>
      <c r="B32" s="441"/>
      <c r="C32" s="267"/>
      <c r="D32" s="143"/>
      <c r="E32" s="144"/>
      <c r="F32" s="145"/>
      <c r="G32" s="67"/>
    </row>
    <row r="33" spans="1:7" s="26" customFormat="1" x14ac:dyDescent="0.2">
      <c r="A33" s="288" t="s">
        <v>510</v>
      </c>
      <c r="B33" s="443" t="s">
        <v>512</v>
      </c>
      <c r="C33" s="444"/>
      <c r="D33" s="445"/>
      <c r="E33" s="144"/>
      <c r="F33" s="145"/>
      <c r="G33" s="67">
        <f t="shared" si="0"/>
        <v>0</v>
      </c>
    </row>
    <row r="34" spans="1:7" s="26" customFormat="1" ht="27.75" customHeight="1" x14ac:dyDescent="0.2">
      <c r="A34" s="140" t="s">
        <v>7</v>
      </c>
      <c r="B34" s="446" t="s">
        <v>35</v>
      </c>
      <c r="C34" s="267" t="s">
        <v>0</v>
      </c>
      <c r="D34" s="143">
        <v>1</v>
      </c>
      <c r="E34" s="144"/>
      <c r="F34" s="145"/>
      <c r="G34" s="67">
        <f t="shared" si="0"/>
        <v>0</v>
      </c>
    </row>
    <row r="35" spans="1:7" s="26" customFormat="1" x14ac:dyDescent="0.2">
      <c r="A35" s="436"/>
      <c r="B35" s="446"/>
      <c r="C35" s="267"/>
      <c r="D35" s="143"/>
      <c r="E35" s="144"/>
      <c r="F35" s="433"/>
      <c r="G35" s="67">
        <f t="shared" si="0"/>
        <v>0</v>
      </c>
    </row>
    <row r="36" spans="1:7" s="26" customFormat="1" x14ac:dyDescent="0.2">
      <c r="A36" s="436"/>
      <c r="B36" s="446"/>
      <c r="C36" s="267"/>
      <c r="D36" s="143"/>
      <c r="E36" s="144"/>
      <c r="F36" s="433"/>
      <c r="G36" s="65"/>
    </row>
    <row r="37" spans="1:7" s="26" customFormat="1" x14ac:dyDescent="0.2">
      <c r="A37" s="436"/>
      <c r="B37" s="446"/>
      <c r="C37" s="267"/>
      <c r="D37" s="143"/>
      <c r="E37" s="144"/>
      <c r="F37" s="433"/>
      <c r="G37" s="65"/>
    </row>
    <row r="38" spans="1:7" s="26" customFormat="1" x14ac:dyDescent="0.2">
      <c r="A38" s="436"/>
      <c r="B38" s="446"/>
      <c r="C38" s="267"/>
      <c r="D38" s="143"/>
      <c r="E38" s="144"/>
      <c r="F38" s="433"/>
      <c r="G38" s="65"/>
    </row>
    <row r="39" spans="1:7" s="26" customFormat="1" x14ac:dyDescent="0.2">
      <c r="A39" s="436"/>
      <c r="B39" s="446"/>
      <c r="C39" s="267"/>
      <c r="D39" s="143"/>
      <c r="E39" s="144"/>
      <c r="F39" s="433"/>
      <c r="G39" s="65"/>
    </row>
    <row r="40" spans="1:7" s="26" customFormat="1" x14ac:dyDescent="0.2">
      <c r="A40" s="436"/>
      <c r="B40" s="446"/>
      <c r="C40" s="267"/>
      <c r="D40" s="143"/>
      <c r="E40" s="144"/>
      <c r="F40" s="433"/>
      <c r="G40" s="65"/>
    </row>
    <row r="41" spans="1:7" s="26" customFormat="1" x14ac:dyDescent="0.2">
      <c r="A41" s="436"/>
      <c r="B41" s="446"/>
      <c r="C41" s="267"/>
      <c r="D41" s="143"/>
      <c r="E41" s="144"/>
      <c r="F41" s="433"/>
      <c r="G41" s="65"/>
    </row>
    <row r="42" spans="1:7" s="26" customFormat="1" x14ac:dyDescent="0.2">
      <c r="A42" s="436"/>
      <c r="B42" s="446"/>
      <c r="C42" s="267"/>
      <c r="D42" s="143"/>
      <c r="E42" s="144"/>
      <c r="F42" s="433"/>
      <c r="G42" s="65"/>
    </row>
    <row r="43" spans="1:7" s="26" customFormat="1" x14ac:dyDescent="0.2">
      <c r="A43" s="436"/>
      <c r="B43" s="604"/>
      <c r="C43" s="267"/>
      <c r="D43" s="143"/>
      <c r="E43" s="144"/>
      <c r="F43" s="433"/>
      <c r="G43" s="65"/>
    </row>
    <row r="44" spans="1:7" s="26" customFormat="1" x14ac:dyDescent="0.2">
      <c r="A44" s="436"/>
      <c r="B44" s="446"/>
      <c r="C44" s="267"/>
      <c r="D44" s="143"/>
      <c r="E44" s="144"/>
      <c r="F44" s="433"/>
      <c r="G44" s="65"/>
    </row>
    <row r="45" spans="1:7" s="26" customFormat="1" x14ac:dyDescent="0.2">
      <c r="A45" s="436"/>
      <c r="B45" s="446"/>
      <c r="C45" s="267"/>
      <c r="D45" s="143"/>
      <c r="E45" s="144"/>
      <c r="F45" s="433"/>
      <c r="G45" s="65"/>
    </row>
    <row r="46" spans="1:7" s="26" customFormat="1" x14ac:dyDescent="0.2">
      <c r="A46" s="436"/>
      <c r="B46" s="446"/>
      <c r="C46" s="267"/>
      <c r="D46" s="143"/>
      <c r="E46" s="144"/>
      <c r="F46" s="433"/>
      <c r="G46" s="65"/>
    </row>
    <row r="47" spans="1:7" s="26" customFormat="1" x14ac:dyDescent="0.2">
      <c r="A47" s="436"/>
      <c r="B47" s="446"/>
      <c r="C47" s="267"/>
      <c r="D47" s="143"/>
      <c r="E47" s="144"/>
      <c r="F47" s="433"/>
      <c r="G47" s="65"/>
    </row>
    <row r="48" spans="1:7" s="26" customFormat="1" x14ac:dyDescent="0.2">
      <c r="A48" s="436"/>
      <c r="B48" s="446"/>
      <c r="C48" s="267"/>
      <c r="D48" s="143"/>
      <c r="E48" s="144"/>
      <c r="F48" s="433"/>
      <c r="G48" s="65"/>
    </row>
    <row r="49" spans="1:9" s="26" customFormat="1" x14ac:dyDescent="0.2">
      <c r="A49" s="436"/>
      <c r="B49" s="446"/>
      <c r="C49" s="267"/>
      <c r="D49" s="143"/>
      <c r="E49" s="144"/>
      <c r="F49" s="433"/>
      <c r="G49" s="65"/>
    </row>
    <row r="50" spans="1:9" s="26" customFormat="1" ht="12.75" thickBot="1" x14ac:dyDescent="0.25">
      <c r="A50" s="436"/>
      <c r="B50" s="446"/>
      <c r="C50" s="267"/>
      <c r="D50" s="143"/>
      <c r="E50" s="144"/>
      <c r="F50" s="433"/>
      <c r="G50" s="65"/>
    </row>
    <row r="51" spans="1:9" s="26" customFormat="1" x14ac:dyDescent="0.2">
      <c r="A51" s="117"/>
      <c r="B51" s="118" t="s">
        <v>36</v>
      </c>
      <c r="C51" s="119"/>
      <c r="D51" s="120"/>
      <c r="E51" s="121"/>
      <c r="F51" s="128"/>
      <c r="G51" s="122"/>
    </row>
    <row r="52" spans="1:9" s="26" customFormat="1" ht="12.75" thickBot="1" x14ac:dyDescent="0.25">
      <c r="A52" s="123"/>
      <c r="B52" s="106" t="s">
        <v>37</v>
      </c>
      <c r="C52" s="124"/>
      <c r="D52" s="125"/>
      <c r="E52" s="126"/>
      <c r="F52" s="129"/>
      <c r="G52" s="127">
        <f>SUM(G22:G51)</f>
        <v>0</v>
      </c>
    </row>
    <row r="53" spans="1:9" s="26" customFormat="1" x14ac:dyDescent="0.2">
      <c r="A53" s="268"/>
      <c r="B53" s="269"/>
      <c r="C53" s="358"/>
      <c r="D53" s="271"/>
      <c r="E53" s="272"/>
      <c r="F53" s="432"/>
      <c r="G53" s="448"/>
    </row>
    <row r="54" spans="1:9" s="26" customFormat="1" x14ac:dyDescent="0.2">
      <c r="A54" s="140"/>
      <c r="B54" s="424" t="s">
        <v>38</v>
      </c>
      <c r="C54" s="298"/>
      <c r="D54" s="299"/>
      <c r="E54" s="144"/>
      <c r="F54" s="433"/>
      <c r="G54" s="449"/>
    </row>
    <row r="55" spans="1:9" s="26" customFormat="1" x14ac:dyDescent="0.2">
      <c r="A55" s="140"/>
      <c r="B55" s="424" t="s">
        <v>39</v>
      </c>
      <c r="C55" s="298"/>
      <c r="D55" s="299"/>
      <c r="E55" s="144"/>
      <c r="F55" s="433"/>
      <c r="G55" s="449"/>
    </row>
    <row r="56" spans="1:9" s="26" customFormat="1" x14ac:dyDescent="0.2">
      <c r="A56" s="140">
        <v>2.1</v>
      </c>
      <c r="B56" s="435" t="s">
        <v>40</v>
      </c>
      <c r="C56" s="298"/>
      <c r="D56" s="299"/>
      <c r="E56" s="144"/>
      <c r="F56" s="433"/>
      <c r="G56" s="449"/>
    </row>
    <row r="57" spans="1:9" s="26" customFormat="1" ht="54.75" customHeight="1" x14ac:dyDescent="0.2">
      <c r="A57" s="140"/>
      <c r="B57" s="450" t="s">
        <v>237</v>
      </c>
      <c r="C57" s="451"/>
      <c r="D57" s="451"/>
      <c r="E57" s="451"/>
      <c r="F57" s="451"/>
      <c r="G57" s="452"/>
    </row>
    <row r="58" spans="1:9" s="26" customFormat="1" x14ac:dyDescent="0.25">
      <c r="A58" s="453"/>
      <c r="B58" s="454"/>
      <c r="C58" s="454"/>
      <c r="D58" s="455"/>
      <c r="E58" s="456"/>
      <c r="F58" s="454"/>
      <c r="G58" s="457"/>
    </row>
    <row r="59" spans="1:9" s="26" customFormat="1" x14ac:dyDescent="0.2">
      <c r="A59" s="140" t="s">
        <v>10</v>
      </c>
      <c r="B59" s="458" t="s">
        <v>58</v>
      </c>
      <c r="C59" s="267"/>
      <c r="D59" s="150"/>
      <c r="E59" s="185"/>
      <c r="F59" s="145"/>
      <c r="G59" s="146">
        <f t="shared" ref="G59:G69" si="2">(D59*E59)+(D59*F59)</f>
        <v>0</v>
      </c>
    </row>
    <row r="60" spans="1:9" s="26" customFormat="1" ht="48.75" customHeight="1" x14ac:dyDescent="0.2">
      <c r="A60" s="140"/>
      <c r="B60" s="440" t="s">
        <v>59</v>
      </c>
      <c r="C60" s="267" t="s">
        <v>42</v>
      </c>
      <c r="D60" s="459">
        <v>337</v>
      </c>
      <c r="E60" s="144"/>
      <c r="F60" s="145"/>
      <c r="G60" s="146">
        <f t="shared" si="2"/>
        <v>0</v>
      </c>
      <c r="I60" s="26">
        <f>20.4*16.5</f>
        <v>336.59999999999997</v>
      </c>
    </row>
    <row r="61" spans="1:9" s="26" customFormat="1" x14ac:dyDescent="0.2">
      <c r="A61" s="140"/>
      <c r="B61" s="440"/>
      <c r="C61" s="267"/>
      <c r="D61" s="459"/>
      <c r="E61" s="144"/>
      <c r="F61" s="145"/>
      <c r="G61" s="146">
        <f t="shared" si="2"/>
        <v>0</v>
      </c>
    </row>
    <row r="62" spans="1:9" s="26" customFormat="1" x14ac:dyDescent="0.2">
      <c r="A62" s="140" t="s">
        <v>16</v>
      </c>
      <c r="B62" s="460" t="s">
        <v>41</v>
      </c>
      <c r="C62" s="267"/>
      <c r="D62" s="461"/>
      <c r="E62" s="144"/>
      <c r="F62" s="145"/>
      <c r="G62" s="146">
        <f t="shared" si="2"/>
        <v>0</v>
      </c>
    </row>
    <row r="63" spans="1:9" s="26" customFormat="1" ht="39.75" customHeight="1" x14ac:dyDescent="0.2">
      <c r="A63" s="140"/>
      <c r="B63" s="462" t="s">
        <v>430</v>
      </c>
      <c r="C63" s="267" t="s">
        <v>42</v>
      </c>
      <c r="D63" s="461">
        <v>8.3000000000000007</v>
      </c>
      <c r="E63" s="144"/>
      <c r="F63" s="145"/>
      <c r="G63" s="146">
        <f t="shared" si="2"/>
        <v>0</v>
      </c>
      <c r="I63" s="26">
        <f>12.65*0.65</f>
        <v>8.2225000000000001</v>
      </c>
    </row>
    <row r="64" spans="1:9" s="26" customFormat="1" x14ac:dyDescent="0.2">
      <c r="A64" s="140"/>
      <c r="B64" s="463"/>
      <c r="C64" s="267"/>
      <c r="D64" s="143"/>
      <c r="E64" s="144"/>
      <c r="F64" s="145"/>
      <c r="G64" s="146">
        <f t="shared" si="2"/>
        <v>0</v>
      </c>
    </row>
    <row r="65" spans="1:18" s="26" customFormat="1" x14ac:dyDescent="0.2">
      <c r="A65" s="140" t="s">
        <v>46</v>
      </c>
      <c r="B65" s="464" t="s">
        <v>43</v>
      </c>
      <c r="C65" s="267"/>
      <c r="D65" s="143"/>
      <c r="E65" s="144"/>
      <c r="F65" s="145"/>
      <c r="G65" s="146">
        <f t="shared" si="2"/>
        <v>0</v>
      </c>
    </row>
    <row r="66" spans="1:18" s="26" customFormat="1" ht="51.75" customHeight="1" x14ac:dyDescent="0.2">
      <c r="A66" s="453"/>
      <c r="B66" s="465" t="s">
        <v>44</v>
      </c>
      <c r="C66" s="465"/>
      <c r="D66" s="465"/>
      <c r="E66" s="465"/>
      <c r="F66" s="145"/>
      <c r="G66" s="146">
        <f t="shared" si="2"/>
        <v>0</v>
      </c>
      <c r="I66" s="26">
        <f>1.8*1.8*4</f>
        <v>12.96</v>
      </c>
      <c r="J66" s="26">
        <f>2*2</f>
        <v>4</v>
      </c>
      <c r="K66" s="26">
        <f>2.2*2.2*2</f>
        <v>9.6800000000000015</v>
      </c>
      <c r="L66" s="26">
        <f>2.5*2.5*2</f>
        <v>12.5</v>
      </c>
      <c r="M66" s="26">
        <f>2.7*2.7*2</f>
        <v>14.580000000000002</v>
      </c>
      <c r="N66" s="26">
        <f>3.1*3.1*2</f>
        <v>19.220000000000002</v>
      </c>
      <c r="O66" s="26">
        <f>2.7*1.5</f>
        <v>4.0500000000000007</v>
      </c>
      <c r="P66" s="26">
        <f>4.55*2.8*2</f>
        <v>25.479999999999997</v>
      </c>
      <c r="Q66" s="26">
        <f>SUM(I66:P66)</f>
        <v>102.47</v>
      </c>
      <c r="R66" s="54">
        <f>Q66*1.55</f>
        <v>158.82849999999999</v>
      </c>
    </row>
    <row r="67" spans="1:18" s="26" customFormat="1" ht="12.75" customHeight="1" x14ac:dyDescent="0.25">
      <c r="A67" s="140" t="s">
        <v>48</v>
      </c>
      <c r="B67" s="466" t="s">
        <v>43</v>
      </c>
      <c r="C67" s="267"/>
      <c r="D67" s="143"/>
      <c r="E67" s="144"/>
      <c r="F67" s="145"/>
      <c r="G67" s="146">
        <f t="shared" si="2"/>
        <v>0</v>
      </c>
      <c r="I67" s="26">
        <f>3.6+4+4.1+1.545+1.43+0.55+2.55+1.2*3+4.2*2+2.155+1.52*3+1.755*2+4.55+1.35+1.515+1.265+2.815+3.9+3.85</f>
        <v>59.244999999999997</v>
      </c>
      <c r="J67" s="51">
        <f>I67*0.5*1.2</f>
        <v>35.546999999999997</v>
      </c>
      <c r="K67" s="23"/>
      <c r="L67" s="60">
        <f>R66+J67</f>
        <v>194.37549999999999</v>
      </c>
      <c r="M67" s="60"/>
      <c r="N67" s="54"/>
      <c r="P67" s="54"/>
    </row>
    <row r="68" spans="1:18" s="23" customFormat="1" ht="15" x14ac:dyDescent="0.25">
      <c r="A68" s="467" t="s">
        <v>7</v>
      </c>
      <c r="B68" s="468" t="s">
        <v>227</v>
      </c>
      <c r="C68" s="267" t="s">
        <v>45</v>
      </c>
      <c r="D68" s="143">
        <v>194.4</v>
      </c>
      <c r="E68" s="144"/>
      <c r="F68" s="291"/>
      <c r="G68" s="292">
        <f t="shared" si="2"/>
        <v>0</v>
      </c>
      <c r="J68" s="51"/>
    </row>
    <row r="69" spans="1:18" s="26" customFormat="1" x14ac:dyDescent="0.2">
      <c r="A69" s="140"/>
      <c r="B69" s="141"/>
      <c r="C69" s="267"/>
      <c r="D69" s="143"/>
      <c r="E69" s="144"/>
      <c r="F69" s="433"/>
      <c r="G69" s="146">
        <f t="shared" si="2"/>
        <v>0</v>
      </c>
    </row>
    <row r="70" spans="1:18" s="26" customFormat="1" x14ac:dyDescent="0.2">
      <c r="A70" s="140" t="s">
        <v>46</v>
      </c>
      <c r="B70" s="469" t="s">
        <v>47</v>
      </c>
      <c r="C70" s="267"/>
      <c r="D70" s="143"/>
      <c r="E70" s="144"/>
      <c r="F70" s="433"/>
      <c r="G70" s="449"/>
    </row>
    <row r="71" spans="1:18" s="26" customFormat="1" ht="25.5" customHeight="1" x14ac:dyDescent="0.25">
      <c r="A71" s="140"/>
      <c r="B71" s="470" t="s">
        <v>260</v>
      </c>
      <c r="C71" s="471"/>
      <c r="D71" s="471"/>
      <c r="E71" s="471"/>
      <c r="F71" s="433"/>
      <c r="G71" s="449"/>
    </row>
    <row r="72" spans="1:18" s="26" customFormat="1" ht="25.5" customHeight="1" x14ac:dyDescent="0.25">
      <c r="A72" s="140"/>
      <c r="B72" s="446" t="s">
        <v>261</v>
      </c>
      <c r="C72" s="472"/>
      <c r="D72" s="472"/>
      <c r="E72" s="472"/>
      <c r="F72" s="433"/>
      <c r="G72" s="449"/>
    </row>
    <row r="73" spans="1:18" s="26" customFormat="1" ht="24" x14ac:dyDescent="0.2">
      <c r="A73" s="140" t="s">
        <v>171</v>
      </c>
      <c r="B73" s="473" t="s">
        <v>293</v>
      </c>
      <c r="C73" s="267" t="s">
        <v>42</v>
      </c>
      <c r="D73" s="459">
        <v>250.2</v>
      </c>
      <c r="E73" s="144"/>
      <c r="F73" s="145"/>
      <c r="G73" s="146">
        <f t="shared" ref="G73:G78" si="3">(D73*E73)+(D73*F73)</f>
        <v>0</v>
      </c>
      <c r="I73" s="26">
        <f>19.2*10.75</f>
        <v>206.4</v>
      </c>
    </row>
    <row r="74" spans="1:18" s="26" customFormat="1" ht="38.25" customHeight="1" x14ac:dyDescent="0.2">
      <c r="A74" s="140" t="s">
        <v>172</v>
      </c>
      <c r="B74" s="473" t="s">
        <v>294</v>
      </c>
      <c r="C74" s="267" t="s">
        <v>42</v>
      </c>
      <c r="D74" s="459">
        <f>D73</f>
        <v>250.2</v>
      </c>
      <c r="E74" s="144"/>
      <c r="F74" s="145"/>
      <c r="G74" s="146">
        <f t="shared" si="3"/>
        <v>0</v>
      </c>
    </row>
    <row r="75" spans="1:18" s="26" customFormat="1" x14ac:dyDescent="0.2">
      <c r="A75" s="140">
        <v>2.5</v>
      </c>
      <c r="B75" s="464" t="s">
        <v>49</v>
      </c>
      <c r="C75" s="267"/>
      <c r="D75" s="143"/>
      <c r="E75" s="144"/>
      <c r="F75" s="145"/>
      <c r="G75" s="146">
        <f t="shared" si="3"/>
        <v>0</v>
      </c>
    </row>
    <row r="76" spans="1:18" s="26" customFormat="1" ht="27" customHeight="1" x14ac:dyDescent="0.2">
      <c r="A76" s="140"/>
      <c r="B76" s="474" t="s">
        <v>50</v>
      </c>
      <c r="C76" s="267"/>
      <c r="D76" s="143"/>
      <c r="E76" s="144"/>
      <c r="F76" s="145"/>
      <c r="G76" s="146">
        <f t="shared" si="3"/>
        <v>0</v>
      </c>
    </row>
    <row r="77" spans="1:18" s="26" customFormat="1" ht="24" x14ac:dyDescent="0.2">
      <c r="A77" s="140" t="s">
        <v>171</v>
      </c>
      <c r="B77" s="474" t="s">
        <v>51</v>
      </c>
      <c r="C77" s="267" t="s">
        <v>42</v>
      </c>
      <c r="D77" s="143">
        <f>D99+285.75</f>
        <v>417.85</v>
      </c>
      <c r="E77" s="144"/>
      <c r="F77" s="145"/>
      <c r="G77" s="146">
        <f t="shared" si="3"/>
        <v>0</v>
      </c>
      <c r="I77" s="28"/>
      <c r="J77" s="28"/>
    </row>
    <row r="78" spans="1:18" s="26" customFormat="1" x14ac:dyDescent="0.2">
      <c r="A78" s="140"/>
      <c r="B78" s="474"/>
      <c r="C78" s="267"/>
      <c r="D78" s="143"/>
      <c r="E78" s="144"/>
      <c r="F78" s="433"/>
      <c r="G78" s="146">
        <f t="shared" si="3"/>
        <v>0</v>
      </c>
      <c r="I78" s="28"/>
    </row>
    <row r="79" spans="1:18" s="26" customFormat="1" x14ac:dyDescent="0.2">
      <c r="A79" s="140"/>
      <c r="B79" s="474"/>
      <c r="C79" s="267"/>
      <c r="D79" s="143"/>
      <c r="E79" s="144"/>
      <c r="F79" s="433"/>
      <c r="G79" s="449"/>
    </row>
    <row r="80" spans="1:18" s="26" customFormat="1" x14ac:dyDescent="0.2">
      <c r="A80" s="140"/>
      <c r="B80" s="474"/>
      <c r="C80" s="267"/>
      <c r="D80" s="143"/>
      <c r="E80" s="144"/>
      <c r="F80" s="433"/>
      <c r="G80" s="449"/>
    </row>
    <row r="81" spans="1:7" s="26" customFormat="1" x14ac:dyDescent="0.2">
      <c r="A81" s="140"/>
      <c r="B81" s="474"/>
      <c r="C81" s="267"/>
      <c r="D81" s="143"/>
      <c r="E81" s="144"/>
      <c r="F81" s="433"/>
      <c r="G81" s="449"/>
    </row>
    <row r="82" spans="1:7" s="26" customFormat="1" x14ac:dyDescent="0.2">
      <c r="A82" s="140"/>
      <c r="B82" s="474"/>
      <c r="C82" s="267"/>
      <c r="D82" s="143"/>
      <c r="E82" s="144"/>
      <c r="F82" s="433"/>
      <c r="G82" s="449"/>
    </row>
    <row r="83" spans="1:7" s="26" customFormat="1" x14ac:dyDescent="0.2">
      <c r="A83" s="140"/>
      <c r="B83" s="474"/>
      <c r="C83" s="267"/>
      <c r="D83" s="143"/>
      <c r="E83" s="144"/>
      <c r="F83" s="433"/>
      <c r="G83" s="449"/>
    </row>
    <row r="84" spans="1:7" s="26" customFormat="1" x14ac:dyDescent="0.2">
      <c r="A84" s="140"/>
      <c r="B84" s="474"/>
      <c r="C84" s="267"/>
      <c r="D84" s="143"/>
      <c r="E84" s="144"/>
      <c r="F84" s="433"/>
      <c r="G84" s="449"/>
    </row>
    <row r="85" spans="1:7" s="26" customFormat="1" x14ac:dyDescent="0.2">
      <c r="A85" s="140"/>
      <c r="B85" s="474"/>
      <c r="C85" s="267"/>
      <c r="D85" s="143"/>
      <c r="E85" s="144"/>
      <c r="F85" s="433"/>
      <c r="G85" s="449"/>
    </row>
    <row r="86" spans="1:7" s="26" customFormat="1" x14ac:dyDescent="0.2">
      <c r="A86" s="140"/>
      <c r="B86" s="474"/>
      <c r="C86" s="267"/>
      <c r="D86" s="143"/>
      <c r="E86" s="144"/>
      <c r="F86" s="433"/>
      <c r="G86" s="449"/>
    </row>
    <row r="87" spans="1:7" s="26" customFormat="1" x14ac:dyDescent="0.2">
      <c r="A87" s="140"/>
      <c r="B87" s="474"/>
      <c r="C87" s="267"/>
      <c r="D87" s="143"/>
      <c r="E87" s="144"/>
      <c r="F87" s="433"/>
      <c r="G87" s="449"/>
    </row>
    <row r="88" spans="1:7" s="26" customFormat="1" x14ac:dyDescent="0.2">
      <c r="A88" s="140"/>
      <c r="B88" s="474"/>
      <c r="C88" s="267"/>
      <c r="D88" s="143"/>
      <c r="E88" s="144"/>
      <c r="F88" s="433"/>
      <c r="G88" s="449"/>
    </row>
    <row r="89" spans="1:7" s="26" customFormat="1" ht="12.75" thickBot="1" x14ac:dyDescent="0.25">
      <c r="A89" s="274"/>
      <c r="B89" s="475"/>
      <c r="C89" s="275"/>
      <c r="D89" s="276"/>
      <c r="E89" s="160"/>
      <c r="F89" s="447"/>
      <c r="G89" s="476"/>
    </row>
    <row r="90" spans="1:7" s="26" customFormat="1" x14ac:dyDescent="0.2">
      <c r="A90" s="117"/>
      <c r="B90" s="118" t="s">
        <v>52</v>
      </c>
      <c r="C90" s="130"/>
      <c r="D90" s="120"/>
      <c r="E90" s="121"/>
      <c r="F90" s="128"/>
      <c r="G90" s="122"/>
    </row>
    <row r="91" spans="1:7" s="26" customFormat="1" ht="12.75" thickBot="1" x14ac:dyDescent="0.25">
      <c r="A91" s="123"/>
      <c r="B91" s="106" t="s">
        <v>53</v>
      </c>
      <c r="C91" s="131"/>
      <c r="D91" s="125"/>
      <c r="E91" s="126"/>
      <c r="F91" s="129"/>
      <c r="G91" s="127">
        <f>SUM(G60:G90)</f>
        <v>0</v>
      </c>
    </row>
    <row r="92" spans="1:7" s="26" customFormat="1" x14ac:dyDescent="0.2">
      <c r="A92" s="268"/>
      <c r="B92" s="489" t="s">
        <v>54</v>
      </c>
      <c r="C92" s="130"/>
      <c r="D92" s="120"/>
      <c r="E92" s="121"/>
      <c r="F92" s="128"/>
      <c r="G92" s="122"/>
    </row>
    <row r="93" spans="1:7" s="26" customFormat="1" x14ac:dyDescent="0.2">
      <c r="A93" s="140" t="s">
        <v>55</v>
      </c>
      <c r="B93" s="72" t="s">
        <v>56</v>
      </c>
      <c r="C93" s="66"/>
      <c r="D93" s="57"/>
      <c r="E93" s="64"/>
      <c r="F93" s="526"/>
      <c r="G93" s="65"/>
    </row>
    <row r="94" spans="1:7" s="26" customFormat="1" ht="28.5" customHeight="1" x14ac:dyDescent="0.25">
      <c r="A94" s="140"/>
      <c r="B94" s="658" t="s">
        <v>238</v>
      </c>
      <c r="C94" s="658"/>
      <c r="D94" s="658"/>
      <c r="E94" s="658"/>
      <c r="F94" s="659"/>
      <c r="G94" s="73"/>
    </row>
    <row r="95" spans="1:7" s="26" customFormat="1" ht="15.75" customHeight="1" x14ac:dyDescent="0.25">
      <c r="A95" s="140"/>
      <c r="B95" s="658" t="s">
        <v>468</v>
      </c>
      <c r="C95" s="658"/>
      <c r="D95" s="658"/>
      <c r="E95" s="658"/>
      <c r="F95" s="659"/>
      <c r="G95" s="73"/>
    </row>
    <row r="96" spans="1:7" s="26" customFormat="1" ht="27" customHeight="1" thickBot="1" x14ac:dyDescent="0.3">
      <c r="A96" s="525"/>
      <c r="B96" s="660" t="s">
        <v>469</v>
      </c>
      <c r="C96" s="660"/>
      <c r="D96" s="660"/>
      <c r="E96" s="660"/>
      <c r="F96" s="661"/>
      <c r="G96" s="490"/>
    </row>
    <row r="97" spans="1:18" s="26" customFormat="1" ht="15" customHeight="1" x14ac:dyDescent="0.2">
      <c r="A97" s="213" t="s">
        <v>162</v>
      </c>
      <c r="B97" s="330" t="s">
        <v>60</v>
      </c>
      <c r="C97" s="482"/>
      <c r="D97" s="216"/>
      <c r="E97" s="217"/>
      <c r="F97" s="483"/>
      <c r="G97" s="484"/>
      <c r="I97" s="26">
        <f>1.8*1.8*4</f>
        <v>12.96</v>
      </c>
      <c r="J97" s="26">
        <f>2*2</f>
        <v>4</v>
      </c>
      <c r="K97" s="26">
        <f>2.2*2.2*2</f>
        <v>9.6800000000000015</v>
      </c>
      <c r="L97" s="26">
        <f>2.5*2.5*2</f>
        <v>12.5</v>
      </c>
      <c r="M97" s="26">
        <f>2.7*2.7*2</f>
        <v>14.580000000000002</v>
      </c>
      <c r="N97" s="26">
        <f>3.1*3.1*2</f>
        <v>19.220000000000002</v>
      </c>
      <c r="O97" s="26">
        <f>2.7*1.5</f>
        <v>4.0500000000000007</v>
      </c>
      <c r="P97" s="26">
        <f>4.55*2.8*2</f>
        <v>25.479999999999997</v>
      </c>
      <c r="Q97" s="26">
        <f>SUM(I97:P97)</f>
        <v>102.47</v>
      </c>
      <c r="R97" s="54">
        <f>Q97</f>
        <v>102.47</v>
      </c>
    </row>
    <row r="98" spans="1:18" s="53" customFormat="1" ht="14.25" customHeight="1" x14ac:dyDescent="0.25">
      <c r="A98" s="288" t="s">
        <v>194</v>
      </c>
      <c r="B98" s="464" t="s">
        <v>432</v>
      </c>
      <c r="C98" s="444"/>
      <c r="D98" s="445"/>
      <c r="E98" s="485"/>
      <c r="F98" s="486"/>
      <c r="G98" s="487"/>
      <c r="I98" s="26">
        <f>3.6+4+4.1+1.545+1.43+0.55+2.55+1.2*3+4.2*2+2.155+1.52*3+1.755*2+4.55+1.35+1.515+1.265+2.815+3.9+3.85</f>
        <v>59.244999999999997</v>
      </c>
      <c r="J98" s="51">
        <f>I98*0.5</f>
        <v>29.622499999999999</v>
      </c>
      <c r="K98" s="23"/>
      <c r="L98" s="60">
        <f>R97+J98</f>
        <v>132.0925</v>
      </c>
      <c r="M98" s="60"/>
      <c r="N98" s="54"/>
      <c r="O98" s="26"/>
      <c r="P98" s="54"/>
      <c r="Q98" s="26"/>
      <c r="R98" s="26"/>
    </row>
    <row r="99" spans="1:18" s="26" customFormat="1" ht="12" customHeight="1" x14ac:dyDescent="0.2">
      <c r="A99" s="140"/>
      <c r="B99" s="141" t="s">
        <v>433</v>
      </c>
      <c r="C99" s="267" t="s">
        <v>42</v>
      </c>
      <c r="D99" s="143">
        <v>132.1</v>
      </c>
      <c r="E99" s="144"/>
      <c r="F99" s="145"/>
      <c r="G99" s="146">
        <f t="shared" ref="G99" si="4">(D99*E99)+(D99*F99)</f>
        <v>0</v>
      </c>
    </row>
    <row r="100" spans="1:18" s="26" customFormat="1" ht="12" customHeight="1" x14ac:dyDescent="0.25">
      <c r="A100" s="140" t="s">
        <v>195</v>
      </c>
      <c r="B100" s="464" t="s">
        <v>431</v>
      </c>
      <c r="C100" s="444"/>
      <c r="D100" s="445"/>
      <c r="E100" s="485"/>
      <c r="F100" s="486"/>
      <c r="G100" s="487"/>
    </row>
    <row r="101" spans="1:18" s="26" customFormat="1" ht="12" customHeight="1" x14ac:dyDescent="0.2">
      <c r="A101" s="140"/>
      <c r="B101" s="141" t="s">
        <v>434</v>
      </c>
      <c r="C101" s="267" t="s">
        <v>42</v>
      </c>
      <c r="D101" s="143">
        <v>11.1</v>
      </c>
      <c r="E101" s="144"/>
      <c r="F101" s="145"/>
      <c r="G101" s="146">
        <f t="shared" ref="G101" si="5">(D101*E101)+(D101*F101)</f>
        <v>0</v>
      </c>
      <c r="I101" s="26">
        <f>7.15+3.515+6.715+2.335+2.385</f>
        <v>22.1</v>
      </c>
      <c r="J101" s="26">
        <f>I101*0.5</f>
        <v>11.05</v>
      </c>
    </row>
    <row r="102" spans="1:18" s="26" customFormat="1" ht="12" customHeight="1" x14ac:dyDescent="0.2">
      <c r="A102" s="140"/>
      <c r="B102" s="141"/>
      <c r="C102" s="267"/>
      <c r="D102" s="143"/>
      <c r="E102" s="144"/>
      <c r="F102" s="145"/>
      <c r="G102" s="146"/>
    </row>
    <row r="103" spans="1:18" s="26" customFormat="1" ht="15" customHeight="1" x14ac:dyDescent="0.2">
      <c r="A103" s="259" t="s">
        <v>65</v>
      </c>
      <c r="B103" s="488" t="s">
        <v>13</v>
      </c>
      <c r="C103" s="215"/>
      <c r="D103" s="216"/>
      <c r="E103" s="217"/>
      <c r="F103" s="483"/>
      <c r="G103" s="484"/>
      <c r="I103" s="22"/>
      <c r="J103" s="22"/>
      <c r="K103" s="22"/>
      <c r="L103" s="22"/>
      <c r="M103" s="22"/>
      <c r="N103" s="22"/>
      <c r="O103" s="22"/>
      <c r="P103" s="22"/>
      <c r="Q103" s="22"/>
      <c r="R103" s="22"/>
    </row>
    <row r="104" spans="1:18" x14ac:dyDescent="0.2">
      <c r="A104" s="133" t="s">
        <v>156</v>
      </c>
      <c r="B104" s="134" t="s">
        <v>61</v>
      </c>
      <c r="C104" s="135"/>
      <c r="D104" s="136"/>
      <c r="E104" s="137"/>
      <c r="F104" s="138"/>
      <c r="G104" s="139"/>
      <c r="I104" s="31"/>
      <c r="J104" s="28"/>
      <c r="K104" s="26"/>
      <c r="L104" s="54"/>
      <c r="M104" s="26"/>
      <c r="N104" s="54"/>
      <c r="Q104" s="31"/>
    </row>
    <row r="105" spans="1:18" x14ac:dyDescent="0.2">
      <c r="A105" s="140"/>
      <c r="B105" s="141" t="s">
        <v>436</v>
      </c>
      <c r="C105" s="267" t="s">
        <v>45</v>
      </c>
      <c r="D105" s="143">
        <v>42.52</v>
      </c>
      <c r="E105" s="144"/>
      <c r="F105" s="145"/>
      <c r="G105" s="146">
        <f t="shared" ref="G105" si="6">(D105*E105)+(D105*F105)</f>
        <v>0</v>
      </c>
      <c r="I105" s="31">
        <f>1.5*1.5*0.35*4</f>
        <v>3.15</v>
      </c>
      <c r="J105" s="28">
        <f>1.7*1.7*0.45*1</f>
        <v>1.3005</v>
      </c>
      <c r="K105" s="26">
        <f>1.9*1.9*0.45*2</f>
        <v>3.2490000000000001</v>
      </c>
      <c r="L105" s="54">
        <f>2.2*2.2*0.45*2</f>
        <v>4.3560000000000008</v>
      </c>
      <c r="M105" s="26">
        <f>2.4*2.4*0.475*2</f>
        <v>5.4719999999999995</v>
      </c>
      <c r="N105" s="54">
        <f>2.8*2.8*0.55*2</f>
        <v>8.6239999999999988</v>
      </c>
      <c r="O105" s="22">
        <f>2.8*1.4*0.45*2</f>
        <v>3.5279999999999996</v>
      </c>
      <c r="P105" s="22">
        <f>2.4*1.2*0.4*1</f>
        <v>1.1519999999999999</v>
      </c>
      <c r="Q105" s="31">
        <f>4.25*2.5*0.55*2</f>
        <v>11.687500000000002</v>
      </c>
      <c r="R105" s="31">
        <f>SUM(I105:Q105)</f>
        <v>42.519000000000005</v>
      </c>
    </row>
    <row r="106" spans="1:18" x14ac:dyDescent="0.2">
      <c r="A106" s="140"/>
      <c r="B106" s="141" t="s">
        <v>435</v>
      </c>
      <c r="C106" s="267" t="s">
        <v>45</v>
      </c>
      <c r="D106" s="143">
        <v>5.83</v>
      </c>
      <c r="E106" s="144"/>
      <c r="F106" s="145"/>
      <c r="G106" s="146">
        <f t="shared" ref="G106" si="7">(D106*E106)+(D106*F106)</f>
        <v>0</v>
      </c>
      <c r="I106" s="22">
        <f>19.4*3+8.3*4+1.8*2+2.815*3+9.8</f>
        <v>113.24499999999999</v>
      </c>
      <c r="J106" s="28">
        <f>I188*0.2*0.3</f>
        <v>6.7946999999999997</v>
      </c>
      <c r="K106" s="28"/>
      <c r="L106" s="54"/>
      <c r="M106" s="26"/>
      <c r="N106" s="54"/>
    </row>
    <row r="107" spans="1:18" x14ac:dyDescent="0.2">
      <c r="A107" s="147"/>
      <c r="B107" s="148"/>
      <c r="C107" s="149"/>
      <c r="D107" s="150"/>
      <c r="E107" s="144"/>
      <c r="F107" s="145"/>
      <c r="G107" s="146"/>
    </row>
    <row r="108" spans="1:18" x14ac:dyDescent="0.2">
      <c r="A108" s="133" t="s">
        <v>157</v>
      </c>
      <c r="B108" s="134" t="s">
        <v>180</v>
      </c>
      <c r="C108" s="135"/>
      <c r="D108" s="136"/>
      <c r="E108" s="137"/>
      <c r="F108" s="138"/>
      <c r="G108" s="139"/>
    </row>
    <row r="109" spans="1:18" ht="13.5" x14ac:dyDescent="0.2">
      <c r="A109" s="147"/>
      <c r="B109" s="148" t="s">
        <v>442</v>
      </c>
      <c r="C109" s="149" t="s">
        <v>146</v>
      </c>
      <c r="D109" s="150">
        <v>0.36</v>
      </c>
      <c r="E109" s="144"/>
      <c r="F109" s="145"/>
      <c r="G109" s="146">
        <f t="shared" ref="G109:G113" si="8">(D109*E109)+(D109*F109)</f>
        <v>0</v>
      </c>
      <c r="I109" s="22">
        <f>0.2*0.2*4.275*29</f>
        <v>4.9590000000000014</v>
      </c>
      <c r="K109" s="22">
        <f>0.3*0.2*0.75*8</f>
        <v>0.36</v>
      </c>
    </row>
    <row r="110" spans="1:18" ht="13.5" x14ac:dyDescent="0.2">
      <c r="A110" s="147"/>
      <c r="B110" s="148" t="s">
        <v>443</v>
      </c>
      <c r="C110" s="149" t="s">
        <v>146</v>
      </c>
      <c r="D110" s="150">
        <v>0.12</v>
      </c>
      <c r="E110" s="144"/>
      <c r="F110" s="145"/>
      <c r="G110" s="146">
        <f t="shared" si="8"/>
        <v>0</v>
      </c>
      <c r="I110" s="22">
        <f>0.3*0.2*4.275*4</f>
        <v>1.026</v>
      </c>
      <c r="K110" s="22">
        <f>0.4*0.2*0.75*2</f>
        <v>0.12000000000000002</v>
      </c>
    </row>
    <row r="111" spans="1:18" ht="13.5" x14ac:dyDescent="0.2">
      <c r="A111" s="147"/>
      <c r="B111" s="148" t="s">
        <v>444</v>
      </c>
      <c r="C111" s="149" t="s">
        <v>146</v>
      </c>
      <c r="D111" s="150">
        <v>0.34</v>
      </c>
      <c r="E111" s="144"/>
      <c r="F111" s="145"/>
      <c r="G111" s="146">
        <f t="shared" si="8"/>
        <v>0</v>
      </c>
      <c r="K111" s="22">
        <f>0.5*0.225*0.75*4</f>
        <v>0.33750000000000002</v>
      </c>
    </row>
    <row r="112" spans="1:18" ht="13.5" x14ac:dyDescent="0.2">
      <c r="A112" s="147"/>
      <c r="B112" s="148" t="s">
        <v>445</v>
      </c>
      <c r="C112" s="149" t="s">
        <v>146</v>
      </c>
      <c r="D112" s="150">
        <v>0.38</v>
      </c>
      <c r="E112" s="144"/>
      <c r="F112" s="145"/>
      <c r="G112" s="146">
        <f t="shared" si="8"/>
        <v>0</v>
      </c>
      <c r="K112" s="22">
        <f>0.325*3.14*0.325*0.75*6</f>
        <v>1.4924812500000004</v>
      </c>
      <c r="L112" s="22">
        <f>K112/4</f>
        <v>0.37312031250000011</v>
      </c>
    </row>
    <row r="113" spans="1:14" ht="13.5" x14ac:dyDescent="0.2">
      <c r="A113" s="147"/>
      <c r="B113" s="148" t="s">
        <v>437</v>
      </c>
      <c r="C113" s="149" t="s">
        <v>146</v>
      </c>
      <c r="D113" s="150">
        <v>0.16</v>
      </c>
      <c r="E113" s="144"/>
      <c r="F113" s="145"/>
      <c r="G113" s="146">
        <f t="shared" si="8"/>
        <v>0</v>
      </c>
      <c r="I113" s="22">
        <f>0.15*0.15*3.825*6</f>
        <v>0.51637500000000003</v>
      </c>
      <c r="K113" s="22">
        <f>0.15*0.15*0.75*9</f>
        <v>0.15187500000000001</v>
      </c>
    </row>
    <row r="114" spans="1:14" x14ac:dyDescent="0.2">
      <c r="A114" s="147"/>
      <c r="B114" s="148"/>
      <c r="C114" s="149"/>
      <c r="D114" s="150"/>
      <c r="E114" s="144"/>
      <c r="F114" s="145"/>
      <c r="G114" s="146"/>
    </row>
    <row r="115" spans="1:14" x14ac:dyDescent="0.2">
      <c r="A115" s="133" t="s">
        <v>157</v>
      </c>
      <c r="B115" s="134" t="s">
        <v>64</v>
      </c>
      <c r="C115" s="135"/>
      <c r="D115" s="136"/>
      <c r="E115" s="137"/>
      <c r="F115" s="138"/>
      <c r="G115" s="139"/>
    </row>
    <row r="116" spans="1:14" x14ac:dyDescent="0.2">
      <c r="A116" s="151" t="s">
        <v>161</v>
      </c>
      <c r="B116" s="152" t="s">
        <v>180</v>
      </c>
      <c r="C116" s="153"/>
      <c r="D116" s="154"/>
      <c r="E116" s="155"/>
      <c r="F116" s="156"/>
      <c r="G116" s="157"/>
    </row>
    <row r="117" spans="1:14" ht="13.5" x14ac:dyDescent="0.2">
      <c r="A117" s="147"/>
      <c r="B117" s="148" t="s">
        <v>441</v>
      </c>
      <c r="C117" s="149" t="s">
        <v>146</v>
      </c>
      <c r="D117" s="150">
        <v>1.8</v>
      </c>
      <c r="E117" s="144"/>
      <c r="F117" s="145"/>
      <c r="G117" s="146">
        <f t="shared" ref="G117:G121" si="9">(D117*E117)+(D117*F117)</f>
        <v>0</v>
      </c>
      <c r="I117" s="22">
        <f>0.3*0.2*3.74*8</f>
        <v>1.7952000000000001</v>
      </c>
    </row>
    <row r="118" spans="1:14" ht="13.5" x14ac:dyDescent="0.2">
      <c r="A118" s="147"/>
      <c r="B118" s="148" t="s">
        <v>440</v>
      </c>
      <c r="C118" s="149" t="s">
        <v>146</v>
      </c>
      <c r="D118" s="150">
        <v>0.6</v>
      </c>
      <c r="E118" s="144"/>
      <c r="F118" s="145"/>
      <c r="G118" s="146">
        <f t="shared" si="9"/>
        <v>0</v>
      </c>
      <c r="I118" s="22">
        <f>0.4*0.2*3.74*2</f>
        <v>0.59840000000000015</v>
      </c>
    </row>
    <row r="119" spans="1:14" ht="13.5" x14ac:dyDescent="0.2">
      <c r="A119" s="147"/>
      <c r="B119" s="148" t="s">
        <v>439</v>
      </c>
      <c r="C119" s="149" t="s">
        <v>146</v>
      </c>
      <c r="D119" s="150">
        <v>1.68</v>
      </c>
      <c r="E119" s="144"/>
      <c r="F119" s="145"/>
      <c r="G119" s="146">
        <f t="shared" ref="G119:G120" si="10">(D119*E119)+(D119*F119)</f>
        <v>0</v>
      </c>
      <c r="I119" s="22">
        <f>0.5*0.225*3.74*4</f>
        <v>1.6830000000000001</v>
      </c>
    </row>
    <row r="120" spans="1:14" ht="13.5" x14ac:dyDescent="0.2">
      <c r="A120" s="147"/>
      <c r="B120" s="148" t="s">
        <v>438</v>
      </c>
      <c r="C120" s="149" t="s">
        <v>146</v>
      </c>
      <c r="D120" s="150">
        <v>1.861</v>
      </c>
      <c r="E120" s="144"/>
      <c r="F120" s="145"/>
      <c r="G120" s="146">
        <f t="shared" si="10"/>
        <v>0</v>
      </c>
      <c r="I120" s="22">
        <f>0.325*0.325*3.14*6*3.74</f>
        <v>7.4425065000000012</v>
      </c>
      <c r="J120" s="22">
        <f>I120/4</f>
        <v>1.8606266250000003</v>
      </c>
    </row>
    <row r="121" spans="1:14" ht="13.5" x14ac:dyDescent="0.2">
      <c r="A121" s="147"/>
      <c r="B121" s="148" t="s">
        <v>450</v>
      </c>
      <c r="C121" s="149" t="s">
        <v>146</v>
      </c>
      <c r="D121" s="150">
        <v>0.67</v>
      </c>
      <c r="E121" s="144"/>
      <c r="F121" s="145"/>
      <c r="G121" s="146">
        <f t="shared" si="9"/>
        <v>0</v>
      </c>
      <c r="I121" s="22">
        <f>0.15*0.15*3.29*9</f>
        <v>0.66622499999999996</v>
      </c>
    </row>
    <row r="122" spans="1:14" x14ac:dyDescent="0.2">
      <c r="A122" s="151" t="s">
        <v>10</v>
      </c>
      <c r="B122" s="152" t="s">
        <v>208</v>
      </c>
      <c r="C122" s="153"/>
      <c r="D122" s="154"/>
      <c r="E122" s="155"/>
      <c r="F122" s="145"/>
      <c r="G122" s="146">
        <f t="shared" ref="G122:G123" si="11">(D122*E122)+(D122*F122)</f>
        <v>0</v>
      </c>
    </row>
    <row r="123" spans="1:14" ht="13.5" x14ac:dyDescent="0.2">
      <c r="A123" s="147"/>
      <c r="B123" s="148" t="s">
        <v>295</v>
      </c>
      <c r="C123" s="149" t="s">
        <v>146</v>
      </c>
      <c r="D123" s="150">
        <v>3.72</v>
      </c>
      <c r="E123" s="144"/>
      <c r="F123" s="145"/>
      <c r="G123" s="146">
        <f t="shared" si="11"/>
        <v>0</v>
      </c>
      <c r="I123" s="22">
        <f>7.1*0.18*1.5</f>
        <v>1.9169999999999998</v>
      </c>
      <c r="J123" s="22">
        <f>0.0252*1.415*20</f>
        <v>0.71316000000000002</v>
      </c>
      <c r="K123" s="22">
        <f>3*1.65*0.15</f>
        <v>0.74249999999999983</v>
      </c>
      <c r="L123" s="22">
        <f>SUM(I123:K123)</f>
        <v>3.3726599999999998</v>
      </c>
      <c r="M123" s="22">
        <f>0.34</f>
        <v>0.34</v>
      </c>
      <c r="N123" s="22">
        <f>SUM(L123:M123)</f>
        <v>3.7126599999999996</v>
      </c>
    </row>
    <row r="124" spans="1:14" x14ac:dyDescent="0.2">
      <c r="A124" s="151" t="s">
        <v>16</v>
      </c>
      <c r="B124" s="152" t="s">
        <v>211</v>
      </c>
      <c r="C124" s="153"/>
      <c r="D124" s="154"/>
      <c r="E124" s="155"/>
      <c r="F124" s="145"/>
      <c r="G124" s="146">
        <f t="shared" ref="G124:G125" si="12">(D124*E124)+(D124*F124)</f>
        <v>0</v>
      </c>
    </row>
    <row r="125" spans="1:14" ht="13.5" x14ac:dyDescent="0.2">
      <c r="A125" s="147"/>
      <c r="B125" s="148" t="s">
        <v>402</v>
      </c>
      <c r="C125" s="149" t="s">
        <v>146</v>
      </c>
      <c r="D125" s="150">
        <v>25.6</v>
      </c>
      <c r="E125" s="144"/>
      <c r="F125" s="145"/>
      <c r="G125" s="146">
        <f t="shared" si="12"/>
        <v>0</v>
      </c>
      <c r="I125" s="22">
        <v>250.2</v>
      </c>
      <c r="J125" s="22">
        <f>I125*0.1</f>
        <v>25.02</v>
      </c>
      <c r="K125" s="22">
        <f>7.8+6.05+1.95+2.05</f>
        <v>17.849999999999998</v>
      </c>
      <c r="L125" s="22">
        <f>K125*0.15*0.1*2</f>
        <v>0.53549999999999998</v>
      </c>
      <c r="M125" s="22">
        <f>L125+J125</f>
        <v>25.555499999999999</v>
      </c>
    </row>
    <row r="126" spans="1:14" x14ac:dyDescent="0.2">
      <c r="A126" s="147"/>
      <c r="B126" s="148"/>
      <c r="C126" s="149"/>
      <c r="D126" s="150"/>
      <c r="E126" s="144"/>
      <c r="F126" s="145"/>
      <c r="G126" s="146"/>
    </row>
    <row r="127" spans="1:14" x14ac:dyDescent="0.2">
      <c r="A127" s="133" t="s">
        <v>55</v>
      </c>
      <c r="B127" s="134" t="s">
        <v>66</v>
      </c>
      <c r="C127" s="135"/>
      <c r="D127" s="136"/>
      <c r="E127" s="137"/>
      <c r="F127" s="138"/>
      <c r="G127" s="139"/>
    </row>
    <row r="128" spans="1:14" x14ac:dyDescent="0.2">
      <c r="A128" s="151" t="s">
        <v>162</v>
      </c>
      <c r="B128" s="152" t="s">
        <v>296</v>
      </c>
      <c r="C128" s="153"/>
      <c r="D128" s="154"/>
      <c r="E128" s="155"/>
      <c r="F128" s="156"/>
      <c r="G128" s="157"/>
    </row>
    <row r="129" spans="1:16" ht="13.5" x14ac:dyDescent="0.2">
      <c r="A129" s="147"/>
      <c r="B129" s="148" t="s">
        <v>451</v>
      </c>
      <c r="C129" s="149" t="s">
        <v>146</v>
      </c>
      <c r="D129" s="150">
        <v>5.66</v>
      </c>
      <c r="E129" s="144"/>
      <c r="F129" s="145"/>
      <c r="G129" s="146">
        <f t="shared" ref="G129:G130" si="13">(D129*E129)+(D129*F129)</f>
        <v>0</v>
      </c>
      <c r="I129" s="22">
        <f>6.1*2+2.95+6.2*9+3.87+3.93+2</f>
        <v>80.750000000000014</v>
      </c>
      <c r="J129" s="22">
        <f>I129*0.2*0.35</f>
        <v>5.6525000000000007</v>
      </c>
    </row>
    <row r="130" spans="1:16" ht="13.5" x14ac:dyDescent="0.2">
      <c r="A130" s="147"/>
      <c r="B130" s="148" t="s">
        <v>452</v>
      </c>
      <c r="C130" s="149" t="s">
        <v>146</v>
      </c>
      <c r="D130" s="150">
        <v>2.41</v>
      </c>
      <c r="E130" s="144"/>
      <c r="F130" s="145"/>
      <c r="G130" s="146">
        <f t="shared" si="13"/>
        <v>0</v>
      </c>
      <c r="I130" s="22">
        <f>3*3+2.975+1.8*3+2.815*3+3.63*2+3.67*2+3.88+3.82</f>
        <v>48.120000000000005</v>
      </c>
      <c r="J130" s="22">
        <f>I130*0.2*0.25</f>
        <v>2.4060000000000006</v>
      </c>
    </row>
    <row r="131" spans="1:16" x14ac:dyDescent="0.2">
      <c r="A131" s="151" t="s">
        <v>65</v>
      </c>
      <c r="B131" s="152" t="s">
        <v>297</v>
      </c>
      <c r="C131" s="153"/>
      <c r="D131" s="154"/>
      <c r="E131" s="155"/>
      <c r="F131" s="145"/>
      <c r="G131" s="146">
        <f t="shared" ref="G131:G132" si="14">(D131*E131)+(D131*F131)</f>
        <v>0</v>
      </c>
    </row>
    <row r="132" spans="1:16" ht="13.5" x14ac:dyDescent="0.2">
      <c r="A132" s="147"/>
      <c r="B132" s="148" t="s">
        <v>453</v>
      </c>
      <c r="C132" s="149" t="s">
        <v>146</v>
      </c>
      <c r="D132" s="150">
        <v>34.549999999999997</v>
      </c>
      <c r="E132" s="144"/>
      <c r="F132" s="145"/>
      <c r="G132" s="146">
        <f t="shared" si="14"/>
        <v>0</v>
      </c>
      <c r="I132" s="22">
        <f>19.4*10.7</f>
        <v>207.57999999999998</v>
      </c>
      <c r="J132" s="22">
        <f>9.8*3</f>
        <v>29.400000000000002</v>
      </c>
      <c r="K132" s="22">
        <f>SUM(I132:J132)</f>
        <v>236.98</v>
      </c>
      <c r="L132" s="22">
        <f>4.15*2.815</f>
        <v>11.682250000000002</v>
      </c>
      <c r="M132" s="22">
        <f>K132-L132</f>
        <v>225.29774999999998</v>
      </c>
      <c r="N132" s="22">
        <f>M132*0.15</f>
        <v>33.794662499999994</v>
      </c>
      <c r="O132" s="22">
        <f>1.95*2*0.19</f>
        <v>0.74099999999999999</v>
      </c>
      <c r="P132" s="22">
        <f>SUM(N132:O132)</f>
        <v>34.535662499999994</v>
      </c>
    </row>
    <row r="133" spans="1:16" x14ac:dyDescent="0.2">
      <c r="A133" s="151" t="s">
        <v>68</v>
      </c>
      <c r="B133" s="152" t="s">
        <v>180</v>
      </c>
      <c r="C133" s="153"/>
      <c r="D133" s="154"/>
      <c r="E133" s="155"/>
      <c r="F133" s="156"/>
      <c r="G133" s="157"/>
    </row>
    <row r="134" spans="1:16" ht="13.5" x14ac:dyDescent="0.2">
      <c r="A134" s="147"/>
      <c r="B134" s="148" t="s">
        <v>446</v>
      </c>
      <c r="C134" s="149" t="s">
        <v>146</v>
      </c>
      <c r="D134" s="150">
        <v>1.62</v>
      </c>
      <c r="E134" s="144"/>
      <c r="F134" s="145"/>
      <c r="G134" s="146">
        <f t="shared" ref="G134:G140" si="15">(D134*E134)+(D134*F134)</f>
        <v>0</v>
      </c>
      <c r="I134" s="22">
        <f>0.3*0.2*3.365*8</f>
        <v>1.6152</v>
      </c>
    </row>
    <row r="135" spans="1:16" ht="13.5" x14ac:dyDescent="0.2">
      <c r="A135" s="147"/>
      <c r="B135" s="148" t="s">
        <v>447</v>
      </c>
      <c r="C135" s="149" t="s">
        <v>146</v>
      </c>
      <c r="D135" s="150">
        <v>0.54</v>
      </c>
      <c r="E135" s="144"/>
      <c r="F135" s="145"/>
      <c r="G135" s="146">
        <f t="shared" si="15"/>
        <v>0</v>
      </c>
      <c r="I135" s="22">
        <f>0.4*0.2*3.365*2</f>
        <v>0.5384000000000001</v>
      </c>
    </row>
    <row r="136" spans="1:16" ht="13.5" x14ac:dyDescent="0.2">
      <c r="A136" s="147"/>
      <c r="B136" s="148" t="s">
        <v>448</v>
      </c>
      <c r="C136" s="149" t="s">
        <v>146</v>
      </c>
      <c r="D136" s="150">
        <v>1.5249999999999999</v>
      </c>
      <c r="E136" s="144"/>
      <c r="F136" s="145"/>
      <c r="G136" s="146">
        <f t="shared" si="15"/>
        <v>0</v>
      </c>
      <c r="I136" s="22">
        <f>0.5*0.225*3.365*4</f>
        <v>1.5142500000000001</v>
      </c>
    </row>
    <row r="137" spans="1:16" ht="13.5" x14ac:dyDescent="0.2">
      <c r="A137" s="147"/>
      <c r="B137" s="148" t="s">
        <v>449</v>
      </c>
      <c r="C137" s="149" t="s">
        <v>146</v>
      </c>
      <c r="D137" s="150">
        <v>1.675</v>
      </c>
      <c r="E137" s="144"/>
      <c r="F137" s="145"/>
      <c r="G137" s="146">
        <f t="shared" si="15"/>
        <v>0</v>
      </c>
      <c r="I137" s="22">
        <f>0.325*0.325*3.14*6*3.365</f>
        <v>6.6962658750000017</v>
      </c>
      <c r="J137" s="22">
        <f>I137/4</f>
        <v>1.6740664687500004</v>
      </c>
    </row>
    <row r="138" spans="1:16" ht="13.5" x14ac:dyDescent="0.2">
      <c r="A138" s="147"/>
      <c r="B138" s="148" t="s">
        <v>465</v>
      </c>
      <c r="C138" s="149" t="s">
        <v>146</v>
      </c>
      <c r="D138" s="150">
        <v>0.6</v>
      </c>
      <c r="E138" s="144"/>
      <c r="F138" s="145"/>
      <c r="G138" s="146">
        <f t="shared" si="15"/>
        <v>0</v>
      </c>
      <c r="I138" s="22">
        <f>0.15*0.15*2.915*9</f>
        <v>0.59028749999999997</v>
      </c>
    </row>
    <row r="139" spans="1:16" x14ac:dyDescent="0.2">
      <c r="A139" s="151" t="s">
        <v>96</v>
      </c>
      <c r="B139" s="152" t="s">
        <v>208</v>
      </c>
      <c r="C139" s="153"/>
      <c r="D139" s="154"/>
      <c r="E139" s="155"/>
      <c r="F139" s="145"/>
      <c r="G139" s="146">
        <f t="shared" si="15"/>
        <v>0</v>
      </c>
    </row>
    <row r="140" spans="1:16" ht="13.5" x14ac:dyDescent="0.2">
      <c r="A140" s="147"/>
      <c r="B140" s="148" t="s">
        <v>295</v>
      </c>
      <c r="C140" s="149" t="s">
        <v>146</v>
      </c>
      <c r="D140" s="150">
        <v>3.4</v>
      </c>
      <c r="E140" s="144"/>
      <c r="F140" s="145"/>
      <c r="G140" s="146">
        <f t="shared" si="15"/>
        <v>0</v>
      </c>
      <c r="I140" s="22">
        <f>7.1*0.18*1.5</f>
        <v>1.9169999999999998</v>
      </c>
      <c r="J140" s="22">
        <f>0.0252*1.415*20</f>
        <v>0.71316000000000002</v>
      </c>
      <c r="K140" s="22">
        <f>3*1.65*0.15</f>
        <v>0.74249999999999983</v>
      </c>
      <c r="L140" s="22">
        <f>SUM(I140:K140)</f>
        <v>3.3726599999999998</v>
      </c>
    </row>
    <row r="141" spans="1:16" x14ac:dyDescent="0.2">
      <c r="A141" s="147"/>
      <c r="B141" s="148"/>
      <c r="C141" s="149"/>
      <c r="D141" s="150"/>
      <c r="E141" s="144"/>
      <c r="F141" s="145"/>
      <c r="G141" s="146"/>
    </row>
    <row r="142" spans="1:16" x14ac:dyDescent="0.2">
      <c r="A142" s="147"/>
      <c r="B142" s="148"/>
      <c r="C142" s="149"/>
      <c r="D142" s="150"/>
      <c r="E142" s="144"/>
      <c r="F142" s="145"/>
      <c r="G142" s="146"/>
    </row>
    <row r="143" spans="1:16" x14ac:dyDescent="0.2">
      <c r="A143" s="147"/>
      <c r="B143" s="148"/>
      <c r="C143" s="149"/>
      <c r="D143" s="150"/>
      <c r="E143" s="144"/>
      <c r="F143" s="145"/>
      <c r="G143" s="146"/>
    </row>
    <row r="144" spans="1:16" ht="12.75" thickBot="1" x14ac:dyDescent="0.25">
      <c r="A144" s="158"/>
      <c r="B144" s="577"/>
      <c r="C144" s="209"/>
      <c r="D144" s="159"/>
      <c r="E144" s="160"/>
      <c r="F144" s="161"/>
      <c r="G144" s="162"/>
    </row>
    <row r="145" spans="1:16" x14ac:dyDescent="0.2">
      <c r="A145" s="147"/>
      <c r="B145" s="148"/>
      <c r="C145" s="149"/>
      <c r="D145" s="150"/>
      <c r="E145" s="144"/>
      <c r="F145" s="145"/>
      <c r="G145" s="146"/>
    </row>
    <row r="146" spans="1:16" x14ac:dyDescent="0.2">
      <c r="A146" s="133" t="s">
        <v>158</v>
      </c>
      <c r="B146" s="134" t="s">
        <v>454</v>
      </c>
      <c r="C146" s="135"/>
      <c r="D146" s="136"/>
      <c r="E146" s="137"/>
      <c r="F146" s="138"/>
      <c r="G146" s="139"/>
    </row>
    <row r="147" spans="1:16" x14ac:dyDescent="0.2">
      <c r="A147" s="151" t="s">
        <v>99</v>
      </c>
      <c r="B147" s="152" t="s">
        <v>296</v>
      </c>
      <c r="C147" s="153"/>
      <c r="D147" s="154"/>
      <c r="E147" s="155"/>
      <c r="F147" s="156"/>
      <c r="G147" s="157"/>
    </row>
    <row r="148" spans="1:16" ht="13.5" x14ac:dyDescent="0.2">
      <c r="A148" s="147"/>
      <c r="B148" s="148" t="s">
        <v>451</v>
      </c>
      <c r="C148" s="149" t="s">
        <v>146</v>
      </c>
      <c r="D148" s="150">
        <v>5.66</v>
      </c>
      <c r="E148" s="144"/>
      <c r="F148" s="145"/>
      <c r="G148" s="146">
        <f t="shared" ref="G148:G151" si="16">(D148*E148)+(D148*F148)</f>
        <v>0</v>
      </c>
      <c r="I148" s="22">
        <f>6.1*2+2.95+6.2*9+3.87+3.93+2</f>
        <v>80.750000000000014</v>
      </c>
      <c r="J148" s="22">
        <f>I148*0.2*0.35</f>
        <v>5.6525000000000007</v>
      </c>
    </row>
    <row r="149" spans="1:16" ht="13.5" x14ac:dyDescent="0.2">
      <c r="A149" s="147"/>
      <c r="B149" s="148" t="s">
        <v>452</v>
      </c>
      <c r="C149" s="149" t="s">
        <v>146</v>
      </c>
      <c r="D149" s="150">
        <v>2.41</v>
      </c>
      <c r="E149" s="144"/>
      <c r="F149" s="145"/>
      <c r="G149" s="146">
        <f t="shared" si="16"/>
        <v>0</v>
      </c>
      <c r="I149" s="22">
        <f>3*3+2.975+1.8*3+2.815*3+3.63*2+3.67*2+3.88+3.82</f>
        <v>48.120000000000005</v>
      </c>
      <c r="J149" s="22">
        <f>I149*0.2*0.25</f>
        <v>2.4060000000000006</v>
      </c>
    </row>
    <row r="150" spans="1:16" x14ac:dyDescent="0.2">
      <c r="A150" s="151" t="s">
        <v>139</v>
      </c>
      <c r="B150" s="152" t="s">
        <v>297</v>
      </c>
      <c r="C150" s="153"/>
      <c r="D150" s="154"/>
      <c r="E150" s="155"/>
      <c r="F150" s="145"/>
      <c r="G150" s="146">
        <f t="shared" si="16"/>
        <v>0</v>
      </c>
    </row>
    <row r="151" spans="1:16" ht="13.5" x14ac:dyDescent="0.2">
      <c r="A151" s="147"/>
      <c r="B151" s="148" t="s">
        <v>453</v>
      </c>
      <c r="C151" s="149" t="s">
        <v>146</v>
      </c>
      <c r="D151" s="150">
        <v>34.549999999999997</v>
      </c>
      <c r="E151" s="144"/>
      <c r="F151" s="145"/>
      <c r="G151" s="146">
        <f t="shared" si="16"/>
        <v>0</v>
      </c>
      <c r="I151" s="22">
        <f>19.4*10.7</f>
        <v>207.57999999999998</v>
      </c>
      <c r="J151" s="22">
        <f>9.8*3</f>
        <v>29.400000000000002</v>
      </c>
      <c r="K151" s="22">
        <f>SUM(I151:J151)</f>
        <v>236.98</v>
      </c>
      <c r="L151" s="22">
        <f>4.15*2.815</f>
        <v>11.682250000000002</v>
      </c>
      <c r="M151" s="22">
        <f>K151-L151</f>
        <v>225.29774999999998</v>
      </c>
      <c r="N151" s="22">
        <f>M151*0.15</f>
        <v>33.794662499999994</v>
      </c>
      <c r="O151" s="22">
        <f>1.95*2*0.19</f>
        <v>0.74099999999999999</v>
      </c>
      <c r="P151" s="22">
        <f>SUM(N151:O151)</f>
        <v>34.535662499999994</v>
      </c>
    </row>
    <row r="152" spans="1:16" x14ac:dyDescent="0.2">
      <c r="A152" s="151" t="s">
        <v>140</v>
      </c>
      <c r="B152" s="152" t="s">
        <v>180</v>
      </c>
      <c r="C152" s="153"/>
      <c r="D152" s="154"/>
      <c r="E152" s="155"/>
      <c r="F152" s="156"/>
      <c r="G152" s="157"/>
    </row>
    <row r="153" spans="1:16" ht="13.5" x14ac:dyDescent="0.2">
      <c r="A153" s="147"/>
      <c r="B153" s="148" t="s">
        <v>446</v>
      </c>
      <c r="C153" s="149" t="s">
        <v>146</v>
      </c>
      <c r="D153" s="150">
        <v>1.62</v>
      </c>
      <c r="E153" s="144"/>
      <c r="F153" s="145"/>
      <c r="G153" s="146">
        <f t="shared" ref="G153:G159" si="17">(D153*E153)+(D153*F153)</f>
        <v>0</v>
      </c>
      <c r="I153" s="22">
        <f>0.3*0.2*3.365*8</f>
        <v>1.6152</v>
      </c>
    </row>
    <row r="154" spans="1:16" ht="13.5" x14ac:dyDescent="0.2">
      <c r="A154" s="147"/>
      <c r="B154" s="148" t="s">
        <v>447</v>
      </c>
      <c r="C154" s="149" t="s">
        <v>146</v>
      </c>
      <c r="D154" s="150">
        <v>0.54</v>
      </c>
      <c r="E154" s="144"/>
      <c r="F154" s="145"/>
      <c r="G154" s="146">
        <f t="shared" si="17"/>
        <v>0</v>
      </c>
      <c r="I154" s="22">
        <f>0.4*0.2*3.365*2</f>
        <v>0.5384000000000001</v>
      </c>
    </row>
    <row r="155" spans="1:16" ht="13.5" x14ac:dyDescent="0.2">
      <c r="A155" s="147"/>
      <c r="B155" s="148" t="s">
        <v>448</v>
      </c>
      <c r="C155" s="149" t="s">
        <v>146</v>
      </c>
      <c r="D155" s="150">
        <v>1.5249999999999999</v>
      </c>
      <c r="E155" s="144"/>
      <c r="F155" s="145"/>
      <c r="G155" s="146">
        <f t="shared" si="17"/>
        <v>0</v>
      </c>
      <c r="I155" s="22">
        <f>0.5*0.225*3.365*4</f>
        <v>1.5142500000000001</v>
      </c>
    </row>
    <row r="156" spans="1:16" ht="13.5" x14ac:dyDescent="0.2">
      <c r="A156" s="147"/>
      <c r="B156" s="148" t="s">
        <v>449</v>
      </c>
      <c r="C156" s="149" t="s">
        <v>146</v>
      </c>
      <c r="D156" s="150">
        <v>1.675</v>
      </c>
      <c r="E156" s="144"/>
      <c r="F156" s="145"/>
      <c r="G156" s="146">
        <f t="shared" si="17"/>
        <v>0</v>
      </c>
      <c r="I156" s="22">
        <f>0.325*0.325*3.14*6*3.365</f>
        <v>6.6962658750000017</v>
      </c>
      <c r="J156" s="22">
        <f>I156/4</f>
        <v>1.6740664687500004</v>
      </c>
    </row>
    <row r="157" spans="1:16" ht="13.5" x14ac:dyDescent="0.2">
      <c r="A157" s="147"/>
      <c r="B157" s="148" t="s">
        <v>465</v>
      </c>
      <c r="C157" s="149" t="s">
        <v>146</v>
      </c>
      <c r="D157" s="150">
        <v>0.6</v>
      </c>
      <c r="E157" s="144"/>
      <c r="F157" s="145"/>
      <c r="G157" s="146">
        <f t="shared" si="17"/>
        <v>0</v>
      </c>
      <c r="I157" s="22">
        <f>0.15*0.15*2.915*9</f>
        <v>0.59028749999999997</v>
      </c>
    </row>
    <row r="158" spans="1:16" x14ac:dyDescent="0.2">
      <c r="A158" s="151" t="s">
        <v>455</v>
      </c>
      <c r="B158" s="152" t="s">
        <v>208</v>
      </c>
      <c r="C158" s="153"/>
      <c r="D158" s="154"/>
      <c r="E158" s="155"/>
      <c r="F158" s="145"/>
      <c r="G158" s="146">
        <f t="shared" si="17"/>
        <v>0</v>
      </c>
    </row>
    <row r="159" spans="1:16" ht="13.5" x14ac:dyDescent="0.2">
      <c r="A159" s="147"/>
      <c r="B159" s="148" t="s">
        <v>295</v>
      </c>
      <c r="C159" s="149" t="s">
        <v>146</v>
      </c>
      <c r="D159" s="150">
        <v>3.4</v>
      </c>
      <c r="E159" s="144"/>
      <c r="F159" s="145"/>
      <c r="G159" s="146">
        <f t="shared" si="17"/>
        <v>0</v>
      </c>
      <c r="I159" s="22">
        <f>7.1*0.18*1.5</f>
        <v>1.9169999999999998</v>
      </c>
      <c r="J159" s="22">
        <f>0.0252*1.415*20</f>
        <v>0.71316000000000002</v>
      </c>
      <c r="K159" s="22">
        <f>3*1.65*0.15</f>
        <v>0.74249999999999983</v>
      </c>
      <c r="L159" s="22">
        <f>SUM(I159:K159)</f>
        <v>3.3726599999999998</v>
      </c>
    </row>
    <row r="160" spans="1:16" x14ac:dyDescent="0.2">
      <c r="A160" s="133" t="s">
        <v>159</v>
      </c>
      <c r="B160" s="134" t="s">
        <v>456</v>
      </c>
      <c r="C160" s="135"/>
      <c r="D160" s="136"/>
      <c r="E160" s="137"/>
      <c r="F160" s="138"/>
      <c r="G160" s="139"/>
    </row>
    <row r="161" spans="1:16" x14ac:dyDescent="0.2">
      <c r="A161" s="151" t="s">
        <v>105</v>
      </c>
      <c r="B161" s="152" t="s">
        <v>296</v>
      </c>
      <c r="C161" s="153"/>
      <c r="D161" s="154"/>
      <c r="E161" s="155"/>
      <c r="F161" s="156"/>
      <c r="G161" s="157"/>
    </row>
    <row r="162" spans="1:16" ht="13.5" x14ac:dyDescent="0.2">
      <c r="A162" s="147"/>
      <c r="B162" s="148" t="s">
        <v>451</v>
      </c>
      <c r="C162" s="149" t="s">
        <v>146</v>
      </c>
      <c r="D162" s="150">
        <v>5.66</v>
      </c>
      <c r="E162" s="144"/>
      <c r="F162" s="145"/>
      <c r="G162" s="146">
        <f t="shared" ref="G162:G165" si="18">(D162*E162)+(D162*F162)</f>
        <v>0</v>
      </c>
      <c r="I162" s="22">
        <f>6.1*2+2.95+6.2*9+3.87+3.93+2</f>
        <v>80.750000000000014</v>
      </c>
      <c r="J162" s="22">
        <f>I162*0.2*0.35</f>
        <v>5.6525000000000007</v>
      </c>
    </row>
    <row r="163" spans="1:16" ht="13.5" x14ac:dyDescent="0.2">
      <c r="A163" s="147"/>
      <c r="B163" s="148" t="s">
        <v>452</v>
      </c>
      <c r="C163" s="149" t="s">
        <v>146</v>
      </c>
      <c r="D163" s="150">
        <v>2.41</v>
      </c>
      <c r="E163" s="144"/>
      <c r="F163" s="145"/>
      <c r="G163" s="146">
        <f t="shared" si="18"/>
        <v>0</v>
      </c>
      <c r="I163" s="22">
        <f>3*3+2.975+1.8*3+2.815*3+3.63*2+3.67*2+3.88+3.82</f>
        <v>48.120000000000005</v>
      </c>
      <c r="J163" s="22">
        <f>I163*0.2*0.25</f>
        <v>2.4060000000000006</v>
      </c>
    </row>
    <row r="164" spans="1:16" x14ac:dyDescent="0.2">
      <c r="A164" s="151" t="s">
        <v>149</v>
      </c>
      <c r="B164" s="152" t="s">
        <v>297</v>
      </c>
      <c r="C164" s="153"/>
      <c r="D164" s="154"/>
      <c r="E164" s="155"/>
      <c r="F164" s="145"/>
      <c r="G164" s="146">
        <f t="shared" si="18"/>
        <v>0</v>
      </c>
    </row>
    <row r="165" spans="1:16" ht="13.5" x14ac:dyDescent="0.2">
      <c r="A165" s="147"/>
      <c r="B165" s="148" t="s">
        <v>453</v>
      </c>
      <c r="C165" s="149" t="s">
        <v>146</v>
      </c>
      <c r="D165" s="150">
        <v>34.549999999999997</v>
      </c>
      <c r="E165" s="144"/>
      <c r="F165" s="145"/>
      <c r="G165" s="146">
        <f t="shared" si="18"/>
        <v>0</v>
      </c>
      <c r="I165" s="22">
        <f>19.4*10.7</f>
        <v>207.57999999999998</v>
      </c>
      <c r="J165" s="22">
        <f>9.8*3</f>
        <v>29.400000000000002</v>
      </c>
      <c r="K165" s="22">
        <f>SUM(I165:J165)</f>
        <v>236.98</v>
      </c>
      <c r="L165" s="22">
        <f>4.15*2.815</f>
        <v>11.682250000000002</v>
      </c>
      <c r="M165" s="22">
        <f>K165-L165</f>
        <v>225.29774999999998</v>
      </c>
      <c r="N165" s="22">
        <f>M165*0.15</f>
        <v>33.794662499999994</v>
      </c>
      <c r="O165" s="22">
        <f>1.95*2*0.19</f>
        <v>0.74099999999999999</v>
      </c>
      <c r="P165" s="22">
        <f>SUM(N165:O165)</f>
        <v>34.535662499999994</v>
      </c>
    </row>
    <row r="166" spans="1:16" x14ac:dyDescent="0.2">
      <c r="A166" s="151" t="s">
        <v>150</v>
      </c>
      <c r="B166" s="152" t="s">
        <v>180</v>
      </c>
      <c r="C166" s="153"/>
      <c r="D166" s="154"/>
      <c r="E166" s="155"/>
      <c r="F166" s="156"/>
      <c r="G166" s="157"/>
    </row>
    <row r="167" spans="1:16" ht="13.5" x14ac:dyDescent="0.2">
      <c r="A167" s="147"/>
      <c r="B167" s="148" t="s">
        <v>446</v>
      </c>
      <c r="C167" s="149" t="s">
        <v>146</v>
      </c>
      <c r="D167" s="150">
        <v>1.62</v>
      </c>
      <c r="E167" s="144"/>
      <c r="F167" s="145"/>
      <c r="G167" s="146">
        <f t="shared" ref="G167:G171" si="19">(D167*E167)+(D167*F167)</f>
        <v>0</v>
      </c>
      <c r="I167" s="22">
        <f>0.3*0.2*3.365*8</f>
        <v>1.6152</v>
      </c>
    </row>
    <row r="168" spans="1:16" ht="13.5" x14ac:dyDescent="0.2">
      <c r="A168" s="147"/>
      <c r="B168" s="148" t="s">
        <v>447</v>
      </c>
      <c r="C168" s="149" t="s">
        <v>146</v>
      </c>
      <c r="D168" s="150">
        <v>0.54</v>
      </c>
      <c r="E168" s="144"/>
      <c r="F168" s="145"/>
      <c r="G168" s="146">
        <f t="shared" si="19"/>
        <v>0</v>
      </c>
      <c r="I168" s="22">
        <f>0.4*0.2*3.365*2</f>
        <v>0.5384000000000001</v>
      </c>
    </row>
    <row r="169" spans="1:16" ht="13.5" x14ac:dyDescent="0.2">
      <c r="A169" s="147"/>
      <c r="B169" s="148" t="s">
        <v>448</v>
      </c>
      <c r="C169" s="149" t="s">
        <v>146</v>
      </c>
      <c r="D169" s="150">
        <v>1.5249999999999999</v>
      </c>
      <c r="E169" s="144"/>
      <c r="F169" s="145"/>
      <c r="G169" s="146">
        <f t="shared" si="19"/>
        <v>0</v>
      </c>
      <c r="I169" s="22">
        <f>0.5*0.225*3.365*4</f>
        <v>1.5142500000000001</v>
      </c>
    </row>
    <row r="170" spans="1:16" ht="13.5" x14ac:dyDescent="0.2">
      <c r="A170" s="147"/>
      <c r="B170" s="148" t="s">
        <v>449</v>
      </c>
      <c r="C170" s="149" t="s">
        <v>146</v>
      </c>
      <c r="D170" s="150">
        <v>1.675</v>
      </c>
      <c r="E170" s="144"/>
      <c r="F170" s="145"/>
      <c r="G170" s="146">
        <f t="shared" si="19"/>
        <v>0</v>
      </c>
      <c r="I170" s="22">
        <f>0.325*0.325*3.14*6*3.365</f>
        <v>6.6962658750000017</v>
      </c>
      <c r="J170" s="22">
        <f>I170/4</f>
        <v>1.6740664687500004</v>
      </c>
    </row>
    <row r="171" spans="1:16" ht="13.5" x14ac:dyDescent="0.2">
      <c r="A171" s="147"/>
      <c r="B171" s="148" t="s">
        <v>465</v>
      </c>
      <c r="C171" s="149" t="s">
        <v>146</v>
      </c>
      <c r="D171" s="150">
        <v>0.6</v>
      </c>
      <c r="E171" s="144"/>
      <c r="F171" s="145"/>
      <c r="G171" s="146">
        <f t="shared" si="19"/>
        <v>0</v>
      </c>
      <c r="I171" s="22">
        <f>0.15*0.15*2.915*9</f>
        <v>0.59028749999999997</v>
      </c>
    </row>
    <row r="172" spans="1:16" x14ac:dyDescent="0.2">
      <c r="A172" s="133" t="s">
        <v>160</v>
      </c>
      <c r="B172" s="134" t="s">
        <v>281</v>
      </c>
      <c r="C172" s="135"/>
      <c r="D172" s="136"/>
      <c r="E172" s="137"/>
      <c r="F172" s="138"/>
      <c r="G172" s="139"/>
    </row>
    <row r="173" spans="1:16" x14ac:dyDescent="0.2">
      <c r="A173" s="151" t="s">
        <v>177</v>
      </c>
      <c r="B173" s="152" t="s">
        <v>291</v>
      </c>
      <c r="C173" s="153"/>
      <c r="D173" s="154"/>
      <c r="E173" s="155"/>
      <c r="F173" s="156"/>
      <c r="G173" s="157"/>
    </row>
    <row r="174" spans="1:16" ht="13.5" x14ac:dyDescent="0.2">
      <c r="A174" s="147"/>
      <c r="B174" s="148" t="s">
        <v>457</v>
      </c>
      <c r="C174" s="149" t="s">
        <v>146</v>
      </c>
      <c r="D174" s="150">
        <v>3.33</v>
      </c>
      <c r="E174" s="144"/>
      <c r="F174" s="145"/>
      <c r="G174" s="146">
        <f t="shared" ref="G174:G179" si="20">(D174*E174)+(D174*F174)</f>
        <v>0</v>
      </c>
      <c r="I174" s="22">
        <f>6.1*2+2.815</f>
        <v>15.014999999999999</v>
      </c>
      <c r="J174" s="22">
        <f>I174*0.2*0.37</f>
        <v>1.11111</v>
      </c>
      <c r="K174" s="22">
        <f>3+3.87+3.93+2+4.02+4.08+1.8</f>
        <v>22.7</v>
      </c>
      <c r="L174" s="22">
        <f>K174*0.2*0.35</f>
        <v>1.589</v>
      </c>
      <c r="M174" s="22">
        <f>6.2*0.5*0.2</f>
        <v>0.62000000000000011</v>
      </c>
      <c r="N174" s="22">
        <f>M174+L174+J174</f>
        <v>3.3201100000000001</v>
      </c>
    </row>
    <row r="175" spans="1:16" ht="13.5" x14ac:dyDescent="0.2">
      <c r="A175" s="147"/>
      <c r="B175" s="148" t="s">
        <v>458</v>
      </c>
      <c r="C175" s="149" t="s">
        <v>146</v>
      </c>
      <c r="D175" s="150">
        <v>0.31</v>
      </c>
      <c r="E175" s="144"/>
      <c r="F175" s="145"/>
      <c r="G175" s="146">
        <f t="shared" si="20"/>
        <v>0</v>
      </c>
      <c r="I175" s="22">
        <f>2.815*2</f>
        <v>5.63</v>
      </c>
      <c r="J175" s="22">
        <f>I175*0.2*0.27</f>
        <v>0.30402000000000007</v>
      </c>
    </row>
    <row r="176" spans="1:16" ht="13.5" x14ac:dyDescent="0.2">
      <c r="A176" s="147"/>
      <c r="B176" s="148" t="s">
        <v>459</v>
      </c>
      <c r="C176" s="149" t="s">
        <v>146</v>
      </c>
      <c r="D176" s="150">
        <v>5.5</v>
      </c>
      <c r="E176" s="144"/>
      <c r="F176" s="145"/>
      <c r="G176" s="146">
        <f t="shared" ref="G176:G177" si="21">(D176*E176)+(D176*F176)</f>
        <v>0</v>
      </c>
      <c r="I176" s="22">
        <f>6.2*5+3.82+3.88+1.8*3+3.67*2+3.63*2+3*2</f>
        <v>64.699999999999989</v>
      </c>
      <c r="J176" s="22">
        <f>I176*0.2*0.4</f>
        <v>5.1759999999999993</v>
      </c>
      <c r="K176" s="22">
        <f>3*0.2*0.27</f>
        <v>0.16200000000000003</v>
      </c>
      <c r="L176" s="22">
        <f>3*0.2*0.25</f>
        <v>0.15000000000000002</v>
      </c>
      <c r="M176" s="22">
        <f>SUM(J176:L176)</f>
        <v>5.4879999999999995</v>
      </c>
    </row>
    <row r="177" spans="1:18" ht="13.5" x14ac:dyDescent="0.2">
      <c r="A177" s="147"/>
      <c r="B177" s="148" t="s">
        <v>476</v>
      </c>
      <c r="C177" s="149" t="s">
        <v>146</v>
      </c>
      <c r="D177" s="150">
        <v>2</v>
      </c>
      <c r="E177" s="144"/>
      <c r="F177" s="145"/>
      <c r="G177" s="146">
        <f t="shared" si="21"/>
        <v>0</v>
      </c>
      <c r="I177" s="22">
        <f>6.2*3</f>
        <v>18.600000000000001</v>
      </c>
      <c r="J177" s="22">
        <f>I177*0.225*0.55</f>
        <v>2.3017500000000006</v>
      </c>
      <c r="K177" s="22">
        <f>3.2*0.225*0.15*3</f>
        <v>0.32400000000000007</v>
      </c>
      <c r="L177" s="22">
        <f>J177-K177</f>
        <v>1.9777500000000006</v>
      </c>
    </row>
    <row r="178" spans="1:18" x14ac:dyDescent="0.2">
      <c r="A178" s="151" t="s">
        <v>466</v>
      </c>
      <c r="B178" s="152" t="s">
        <v>461</v>
      </c>
      <c r="C178" s="153"/>
      <c r="D178" s="154"/>
      <c r="E178" s="155"/>
      <c r="F178" s="145"/>
      <c r="G178" s="146">
        <f t="shared" si="20"/>
        <v>0</v>
      </c>
    </row>
    <row r="179" spans="1:18" ht="13.5" x14ac:dyDescent="0.2">
      <c r="A179" s="147"/>
      <c r="B179" s="148" t="s">
        <v>460</v>
      </c>
      <c r="C179" s="149" t="s">
        <v>146</v>
      </c>
      <c r="D179" s="150">
        <v>10.5</v>
      </c>
      <c r="E179" s="144"/>
      <c r="F179" s="145"/>
      <c r="G179" s="146">
        <f t="shared" si="20"/>
        <v>0</v>
      </c>
      <c r="I179" s="22">
        <f>9.8*3.415*0.13</f>
        <v>4.3507100000000012</v>
      </c>
      <c r="J179" s="22">
        <f>10.7*3.4*0.15</f>
        <v>5.456999999999999</v>
      </c>
      <c r="K179" s="22">
        <f>1.95*2*0.17</f>
        <v>0.66300000000000003</v>
      </c>
      <c r="L179" s="22">
        <f>SUM(I179:K179)</f>
        <v>10.47071</v>
      </c>
    </row>
    <row r="180" spans="1:18" x14ac:dyDescent="0.2">
      <c r="A180" s="511"/>
      <c r="B180" s="512"/>
      <c r="C180" s="513"/>
      <c r="D180" s="514"/>
      <c r="E180" s="515"/>
      <c r="F180" s="516"/>
      <c r="G180" s="517"/>
    </row>
    <row r="181" spans="1:18" x14ac:dyDescent="0.2">
      <c r="A181" s="505" t="s">
        <v>68</v>
      </c>
      <c r="B181" s="506" t="s">
        <v>12</v>
      </c>
      <c r="C181" s="507"/>
      <c r="D181" s="508"/>
      <c r="E181" s="509"/>
      <c r="F181" s="508"/>
      <c r="G181" s="510"/>
      <c r="M181" s="22" t="e">
        <f>#REF!-#REF!</f>
        <v>#REF!</v>
      </c>
    </row>
    <row r="182" spans="1:18" ht="15.75" customHeight="1" x14ac:dyDescent="0.2">
      <c r="A182" s="502"/>
      <c r="B182" s="652" t="s">
        <v>137</v>
      </c>
      <c r="C182" s="653"/>
      <c r="D182" s="653"/>
      <c r="E182" s="653"/>
      <c r="F182" s="654"/>
      <c r="G182" s="503"/>
    </row>
    <row r="183" spans="1:18" ht="36.75" customHeight="1" x14ac:dyDescent="0.2">
      <c r="A183" s="61"/>
      <c r="B183" s="655" t="s">
        <v>69</v>
      </c>
      <c r="C183" s="656"/>
      <c r="D183" s="656"/>
      <c r="E183" s="656"/>
      <c r="F183" s="657"/>
      <c r="G183" s="76"/>
    </row>
    <row r="184" spans="1:18" ht="25.5" customHeight="1" x14ac:dyDescent="0.2">
      <c r="A184" s="61"/>
      <c r="B184" s="655" t="s">
        <v>70</v>
      </c>
      <c r="C184" s="656"/>
      <c r="D184" s="656"/>
      <c r="E184" s="656"/>
      <c r="F184" s="657"/>
      <c r="G184" s="76"/>
    </row>
    <row r="185" spans="1:18" ht="28.5" customHeight="1" x14ac:dyDescent="0.2">
      <c r="A185" s="504"/>
      <c r="B185" s="634" t="s">
        <v>71</v>
      </c>
      <c r="C185" s="635"/>
      <c r="D185" s="635"/>
      <c r="E185" s="635"/>
      <c r="F185" s="636"/>
      <c r="G185" s="251"/>
    </row>
    <row r="186" spans="1:18" x14ac:dyDescent="0.2">
      <c r="A186" s="163" t="s">
        <v>463</v>
      </c>
      <c r="B186" s="164" t="s">
        <v>61</v>
      </c>
      <c r="C186" s="165"/>
      <c r="D186" s="166"/>
      <c r="E186" s="167"/>
      <c r="F186" s="168"/>
      <c r="G186" s="169"/>
      <c r="I186" s="31"/>
      <c r="J186" s="28"/>
      <c r="K186" s="26"/>
      <c r="L186" s="54"/>
      <c r="M186" s="26"/>
      <c r="N186" s="54"/>
      <c r="Q186" s="31"/>
    </row>
    <row r="187" spans="1:18" ht="13.5" x14ac:dyDescent="0.2">
      <c r="A187" s="140"/>
      <c r="B187" s="141" t="s">
        <v>462</v>
      </c>
      <c r="C187" s="142" t="s">
        <v>148</v>
      </c>
      <c r="D187" s="143">
        <v>72.95</v>
      </c>
      <c r="E187" s="144"/>
      <c r="F187" s="145"/>
      <c r="G187" s="146">
        <f t="shared" ref="G187:G194" si="22">(D187*E187)+(D187*F187)</f>
        <v>0</v>
      </c>
      <c r="I187" s="31">
        <f>1.5*4*0.35*4</f>
        <v>8.3999999999999986</v>
      </c>
      <c r="J187" s="28">
        <f>1.7*4*0.45*1</f>
        <v>3.06</v>
      </c>
      <c r="K187" s="26">
        <f>1.9*4*0.45*2</f>
        <v>6.84</v>
      </c>
      <c r="L187" s="54">
        <f>2.2*4*0.45*2</f>
        <v>7.9200000000000008</v>
      </c>
      <c r="M187" s="26">
        <f>2.4*4*0.475*2</f>
        <v>9.1199999999999992</v>
      </c>
      <c r="N187" s="54">
        <f>2.8*4*0.55*2</f>
        <v>12.32</v>
      </c>
      <c r="O187" s="22">
        <f>(2.8+1.4)*2*0.45*2</f>
        <v>7.5599999999999987</v>
      </c>
      <c r="P187" s="22">
        <f>(2.4+1.2)*2*0.4*1</f>
        <v>2.88</v>
      </c>
      <c r="Q187" s="31">
        <f>(4.25+2.5)*2*0.55*2</f>
        <v>14.850000000000001</v>
      </c>
      <c r="R187" s="31">
        <f>SUM(I187:Q187)</f>
        <v>72.95</v>
      </c>
    </row>
    <row r="188" spans="1:18" ht="13.5" x14ac:dyDescent="0.2">
      <c r="A188" s="140"/>
      <c r="B188" s="141" t="s">
        <v>435</v>
      </c>
      <c r="C188" s="142" t="s">
        <v>148</v>
      </c>
      <c r="D188" s="143">
        <v>62.1</v>
      </c>
      <c r="E188" s="144"/>
      <c r="F188" s="145"/>
      <c r="G188" s="146">
        <f t="shared" si="22"/>
        <v>0</v>
      </c>
      <c r="I188" s="22">
        <f>19.4*3+8.3*4+1.8*2+2.815*3+9.8</f>
        <v>113.24499999999999</v>
      </c>
      <c r="J188" s="28">
        <f>I312*0.3*2</f>
        <v>249.5232</v>
      </c>
      <c r="K188" s="28"/>
      <c r="L188" s="54"/>
      <c r="M188" s="26"/>
      <c r="N188" s="54"/>
    </row>
    <row r="189" spans="1:18" x14ac:dyDescent="0.2">
      <c r="A189" s="133" t="s">
        <v>464</v>
      </c>
      <c r="B189" s="134" t="s">
        <v>180</v>
      </c>
      <c r="C189" s="149"/>
      <c r="D189" s="150"/>
      <c r="E189" s="144"/>
      <c r="F189" s="145"/>
      <c r="G189" s="146">
        <f t="shared" si="22"/>
        <v>0</v>
      </c>
    </row>
    <row r="190" spans="1:18" ht="13.5" x14ac:dyDescent="0.2">
      <c r="A190" s="147"/>
      <c r="B190" s="148" t="s">
        <v>442</v>
      </c>
      <c r="C190" s="142" t="s">
        <v>148</v>
      </c>
      <c r="D190" s="150">
        <v>6</v>
      </c>
      <c r="E190" s="144"/>
      <c r="F190" s="145"/>
      <c r="G190" s="146">
        <f t="shared" si="22"/>
        <v>0</v>
      </c>
      <c r="I190" s="22">
        <f>0.5*2*0.75*8</f>
        <v>6</v>
      </c>
    </row>
    <row r="191" spans="1:18" ht="13.5" x14ac:dyDescent="0.2">
      <c r="A191" s="147"/>
      <c r="B191" s="148" t="s">
        <v>443</v>
      </c>
      <c r="C191" s="142" t="s">
        <v>148</v>
      </c>
      <c r="D191" s="150">
        <v>1.8</v>
      </c>
      <c r="E191" s="144"/>
      <c r="F191" s="145"/>
      <c r="G191" s="146">
        <f t="shared" si="22"/>
        <v>0</v>
      </c>
      <c r="I191" s="22">
        <f>0.6*2*0.75*2</f>
        <v>1.7999999999999998</v>
      </c>
    </row>
    <row r="192" spans="1:18" ht="13.5" x14ac:dyDescent="0.2">
      <c r="A192" s="147"/>
      <c r="B192" s="148" t="s">
        <v>444</v>
      </c>
      <c r="C192" s="142" t="s">
        <v>148</v>
      </c>
      <c r="D192" s="150">
        <v>4.3499999999999996</v>
      </c>
      <c r="E192" s="144"/>
      <c r="F192" s="145"/>
      <c r="G192" s="146">
        <f t="shared" si="22"/>
        <v>0</v>
      </c>
      <c r="I192" s="22">
        <f>0.725*2*0.75*4</f>
        <v>4.3499999999999996</v>
      </c>
    </row>
    <row r="193" spans="1:14" ht="13.5" x14ac:dyDescent="0.2">
      <c r="A193" s="147"/>
      <c r="B193" s="148" t="s">
        <v>445</v>
      </c>
      <c r="C193" s="142" t="s">
        <v>148</v>
      </c>
      <c r="D193" s="150">
        <v>4.5999999999999996</v>
      </c>
      <c r="E193" s="144"/>
      <c r="F193" s="145"/>
      <c r="G193" s="146">
        <f t="shared" si="22"/>
        <v>0</v>
      </c>
      <c r="I193" s="22">
        <f>3.14*0.325*0.75*6</f>
        <v>4.5922500000000008</v>
      </c>
    </row>
    <row r="194" spans="1:14" ht="14.25" thickBot="1" x14ac:dyDescent="0.25">
      <c r="A194" s="158"/>
      <c r="B194" s="577" t="s">
        <v>437</v>
      </c>
      <c r="C194" s="584" t="s">
        <v>148</v>
      </c>
      <c r="D194" s="159">
        <v>4.05</v>
      </c>
      <c r="E194" s="160"/>
      <c r="F194" s="161"/>
      <c r="G194" s="162">
        <f t="shared" si="22"/>
        <v>0</v>
      </c>
      <c r="I194" s="22">
        <f>0.15*4*0.75*9</f>
        <v>4.05</v>
      </c>
    </row>
    <row r="195" spans="1:14" x14ac:dyDescent="0.2">
      <c r="A195" s="147"/>
      <c r="B195" s="148"/>
      <c r="C195" s="149"/>
      <c r="D195" s="150"/>
      <c r="E195" s="144"/>
      <c r="F195" s="145"/>
      <c r="G195" s="146"/>
    </row>
    <row r="196" spans="1:14" x14ac:dyDescent="0.2">
      <c r="A196" s="133" t="s">
        <v>157</v>
      </c>
      <c r="B196" s="134" t="s">
        <v>64</v>
      </c>
      <c r="C196" s="135"/>
      <c r="D196" s="136"/>
      <c r="E196" s="137"/>
      <c r="F196" s="138"/>
      <c r="G196" s="139"/>
    </row>
    <row r="197" spans="1:14" x14ac:dyDescent="0.2">
      <c r="A197" s="151" t="s">
        <v>161</v>
      </c>
      <c r="B197" s="152" t="s">
        <v>180</v>
      </c>
      <c r="C197" s="153"/>
      <c r="D197" s="154"/>
      <c r="E197" s="155"/>
      <c r="F197" s="156"/>
      <c r="G197" s="157"/>
    </row>
    <row r="198" spans="1:14" ht="13.5" x14ac:dyDescent="0.2">
      <c r="A198" s="147"/>
      <c r="B198" s="148" t="s">
        <v>441</v>
      </c>
      <c r="C198" s="142" t="s">
        <v>148</v>
      </c>
      <c r="D198" s="150">
        <v>29.92</v>
      </c>
      <c r="E198" s="144"/>
      <c r="F198" s="145"/>
      <c r="G198" s="146">
        <f t="shared" ref="G198:G206" si="23">(D198*E198)+(D198*F198)</f>
        <v>0</v>
      </c>
      <c r="I198" s="22">
        <f>0.5*2*3.74*8</f>
        <v>29.92</v>
      </c>
    </row>
    <row r="199" spans="1:14" ht="13.5" x14ac:dyDescent="0.2">
      <c r="A199" s="147"/>
      <c r="B199" s="148" t="s">
        <v>440</v>
      </c>
      <c r="C199" s="142" t="s">
        <v>148</v>
      </c>
      <c r="D199" s="150">
        <v>8.98</v>
      </c>
      <c r="E199" s="144"/>
      <c r="F199" s="145"/>
      <c r="G199" s="146">
        <f t="shared" si="23"/>
        <v>0</v>
      </c>
      <c r="I199" s="22">
        <f>0.6*2*3.74*2</f>
        <v>8.9760000000000009</v>
      </c>
    </row>
    <row r="200" spans="1:14" ht="13.5" x14ac:dyDescent="0.2">
      <c r="A200" s="147"/>
      <c r="B200" s="148" t="s">
        <v>439</v>
      </c>
      <c r="C200" s="142" t="s">
        <v>148</v>
      </c>
      <c r="D200" s="150">
        <v>21.7</v>
      </c>
      <c r="E200" s="144"/>
      <c r="F200" s="145"/>
      <c r="G200" s="146">
        <f t="shared" si="23"/>
        <v>0</v>
      </c>
      <c r="I200" s="22">
        <f>0.725*2*3.74*4</f>
        <v>21.692</v>
      </c>
    </row>
    <row r="201" spans="1:14" ht="13.5" x14ac:dyDescent="0.2">
      <c r="A201" s="147"/>
      <c r="B201" s="148" t="s">
        <v>438</v>
      </c>
      <c r="C201" s="142" t="s">
        <v>148</v>
      </c>
      <c r="D201" s="150">
        <v>22.9</v>
      </c>
      <c r="E201" s="144"/>
      <c r="F201" s="145"/>
      <c r="G201" s="146">
        <f t="shared" si="23"/>
        <v>0</v>
      </c>
      <c r="I201" s="22">
        <f>3.14*0.325*3.74*6</f>
        <v>22.900020000000005</v>
      </c>
    </row>
    <row r="202" spans="1:14" ht="13.5" x14ac:dyDescent="0.2">
      <c r="A202" s="147"/>
      <c r="B202" s="148" t="s">
        <v>450</v>
      </c>
      <c r="C202" s="142" t="s">
        <v>148</v>
      </c>
      <c r="D202" s="150">
        <v>17.77</v>
      </c>
      <c r="E202" s="144"/>
      <c r="F202" s="145"/>
      <c r="G202" s="146">
        <f t="shared" si="23"/>
        <v>0</v>
      </c>
      <c r="I202" s="22">
        <f>0.15*4*3.29*9</f>
        <v>17.765999999999998</v>
      </c>
    </row>
    <row r="203" spans="1:14" x14ac:dyDescent="0.2">
      <c r="A203" s="151" t="s">
        <v>10</v>
      </c>
      <c r="B203" s="152" t="s">
        <v>208</v>
      </c>
      <c r="C203" s="153"/>
      <c r="D203" s="154"/>
      <c r="E203" s="155"/>
      <c r="F203" s="145"/>
      <c r="G203" s="146">
        <f t="shared" si="23"/>
        <v>0</v>
      </c>
    </row>
    <row r="204" spans="1:14" ht="13.5" x14ac:dyDescent="0.2">
      <c r="A204" s="147"/>
      <c r="B204" s="148" t="s">
        <v>295</v>
      </c>
      <c r="C204" s="142" t="s">
        <v>148</v>
      </c>
      <c r="D204" s="150">
        <v>26.5</v>
      </c>
      <c r="E204" s="144"/>
      <c r="F204" s="145"/>
      <c r="G204" s="146">
        <f t="shared" si="23"/>
        <v>0</v>
      </c>
      <c r="I204" s="22">
        <f>7.1*1.86</f>
        <v>13.206</v>
      </c>
      <c r="J204" s="22">
        <f>0.169*1.5*20</f>
        <v>5.07</v>
      </c>
      <c r="K204" s="22">
        <f>3.15*1.8</f>
        <v>5.67</v>
      </c>
      <c r="L204" s="22">
        <f>SUM(I204:K204)</f>
        <v>23.945999999999998</v>
      </c>
      <c r="M204" s="22">
        <f>1.65*2*0.75</f>
        <v>2.4749999999999996</v>
      </c>
      <c r="N204" s="22">
        <f>SUM(L204:M204)</f>
        <v>26.420999999999999</v>
      </c>
    </row>
    <row r="205" spans="1:14" x14ac:dyDescent="0.2">
      <c r="A205" s="151" t="s">
        <v>16</v>
      </c>
      <c r="B205" s="152" t="s">
        <v>211</v>
      </c>
      <c r="C205" s="153"/>
      <c r="D205" s="154"/>
      <c r="E205" s="155"/>
      <c r="F205" s="145"/>
      <c r="G205" s="146">
        <f t="shared" si="23"/>
        <v>0</v>
      </c>
    </row>
    <row r="206" spans="1:14" ht="13.5" x14ac:dyDescent="0.2">
      <c r="A206" s="147"/>
      <c r="B206" s="148" t="s">
        <v>402</v>
      </c>
      <c r="C206" s="149" t="s">
        <v>146</v>
      </c>
      <c r="D206" s="150">
        <v>8</v>
      </c>
      <c r="E206" s="144"/>
      <c r="F206" s="145"/>
      <c r="G206" s="146">
        <f t="shared" si="23"/>
        <v>0</v>
      </c>
      <c r="I206" s="22">
        <f>19.4+10.7+19.4+I101</f>
        <v>71.599999999999994</v>
      </c>
      <c r="J206" s="22">
        <f>I206*0.1</f>
        <v>7.16</v>
      </c>
    </row>
    <row r="207" spans="1:14" x14ac:dyDescent="0.2">
      <c r="A207" s="133" t="s">
        <v>55</v>
      </c>
      <c r="B207" s="134" t="s">
        <v>66</v>
      </c>
      <c r="C207" s="135"/>
      <c r="D207" s="136"/>
      <c r="E207" s="137"/>
      <c r="F207" s="138"/>
      <c r="G207" s="139"/>
    </row>
    <row r="208" spans="1:14" x14ac:dyDescent="0.2">
      <c r="A208" s="151" t="s">
        <v>162</v>
      </c>
      <c r="B208" s="152" t="s">
        <v>296</v>
      </c>
      <c r="C208" s="153"/>
      <c r="D208" s="154"/>
      <c r="E208" s="155"/>
      <c r="F208" s="156"/>
      <c r="G208" s="157"/>
    </row>
    <row r="209" spans="1:16" ht="13.5" x14ac:dyDescent="0.2">
      <c r="A209" s="147"/>
      <c r="B209" s="148" t="s">
        <v>451</v>
      </c>
      <c r="C209" s="142" t="s">
        <v>148</v>
      </c>
      <c r="D209" s="150">
        <v>88</v>
      </c>
      <c r="E209" s="144"/>
      <c r="F209" s="145"/>
      <c r="G209" s="146">
        <f t="shared" ref="G209:G212" si="24">(D209*E209)+(D209*F209)</f>
        <v>0</v>
      </c>
      <c r="I209" s="22">
        <f>6.1*2+2.95+6.2*9+3.87+3.93+2</f>
        <v>80.750000000000014</v>
      </c>
      <c r="J209" s="22">
        <f>I209*1</f>
        <v>80.750000000000014</v>
      </c>
      <c r="K209" s="22">
        <f>19.4+10.7+9.8+4.2*2</f>
        <v>48.3</v>
      </c>
      <c r="L209" s="22">
        <f>K209*0.15</f>
        <v>7.2449999999999992</v>
      </c>
      <c r="M209" s="22">
        <f>L209+J209</f>
        <v>87.995000000000019</v>
      </c>
    </row>
    <row r="210" spans="1:16" ht="13.5" x14ac:dyDescent="0.2">
      <c r="A210" s="147"/>
      <c r="B210" s="148" t="s">
        <v>452</v>
      </c>
      <c r="C210" s="142" t="s">
        <v>148</v>
      </c>
      <c r="D210" s="150">
        <v>42.15</v>
      </c>
      <c r="E210" s="144"/>
      <c r="F210" s="145"/>
      <c r="G210" s="146">
        <f t="shared" si="24"/>
        <v>0</v>
      </c>
      <c r="I210" s="22">
        <f>3*3+2.975+1.8*3+2.815*3+3.63*2+3.67*2+3.88+3.82</f>
        <v>48.120000000000005</v>
      </c>
      <c r="J210" s="22">
        <f>I210*0.8</f>
        <v>38.496000000000009</v>
      </c>
      <c r="K210" s="22">
        <f>10.7+3*2+7.6</f>
        <v>24.299999999999997</v>
      </c>
      <c r="L210" s="22">
        <f>K210*0.15</f>
        <v>3.6449999999999996</v>
      </c>
      <c r="M210" s="22">
        <f>L210+J210</f>
        <v>42.141000000000005</v>
      </c>
    </row>
    <row r="211" spans="1:16" x14ac:dyDescent="0.2">
      <c r="A211" s="151" t="s">
        <v>65</v>
      </c>
      <c r="B211" s="152" t="s">
        <v>297</v>
      </c>
      <c r="C211" s="153"/>
      <c r="D211" s="154"/>
      <c r="E211" s="155"/>
      <c r="F211" s="145"/>
      <c r="G211" s="146">
        <f t="shared" si="24"/>
        <v>0</v>
      </c>
    </row>
    <row r="212" spans="1:16" ht="13.5" x14ac:dyDescent="0.2">
      <c r="A212" s="147"/>
      <c r="B212" s="148" t="s">
        <v>298</v>
      </c>
      <c r="C212" s="142" t="s">
        <v>148</v>
      </c>
      <c r="D212" s="150">
        <v>229.1</v>
      </c>
      <c r="E212" s="144"/>
      <c r="F212" s="145"/>
      <c r="G212" s="146">
        <f t="shared" si="24"/>
        <v>0</v>
      </c>
      <c r="I212" s="22">
        <f>19.4*10.7</f>
        <v>207.57999999999998</v>
      </c>
      <c r="J212" s="22">
        <f>9.8*3</f>
        <v>29.400000000000002</v>
      </c>
      <c r="K212" s="22">
        <f>SUM(I212:J212)</f>
        <v>236.98</v>
      </c>
      <c r="L212" s="22">
        <f>4.15*2.815</f>
        <v>11.682250000000002</v>
      </c>
      <c r="M212" s="22">
        <f>K212-L212</f>
        <v>225.29774999999998</v>
      </c>
      <c r="N212" s="22">
        <f>1.9*2</f>
        <v>3.8</v>
      </c>
      <c r="P212" s="22">
        <f>SUM(M212:N212)</f>
        <v>229.09774999999999</v>
      </c>
    </row>
    <row r="213" spans="1:16" x14ac:dyDescent="0.2">
      <c r="A213" s="151" t="s">
        <v>68</v>
      </c>
      <c r="B213" s="152" t="s">
        <v>180</v>
      </c>
      <c r="C213" s="153"/>
      <c r="D213" s="154"/>
      <c r="E213" s="155"/>
      <c r="F213" s="156"/>
      <c r="G213" s="157"/>
    </row>
    <row r="214" spans="1:16" ht="13.5" x14ac:dyDescent="0.2">
      <c r="A214" s="147"/>
      <c r="B214" s="148" t="s">
        <v>446</v>
      </c>
      <c r="C214" s="142" t="s">
        <v>148</v>
      </c>
      <c r="D214" s="150">
        <v>29.92</v>
      </c>
      <c r="E214" s="144"/>
      <c r="F214" s="145"/>
      <c r="G214" s="146">
        <f t="shared" ref="G214:G218" si="25">(D214*E214)+(D214*F214)</f>
        <v>0</v>
      </c>
      <c r="I214" s="22">
        <f>0.5*2*3.365*8</f>
        <v>26.92</v>
      </c>
    </row>
    <row r="215" spans="1:16" ht="13.5" x14ac:dyDescent="0.2">
      <c r="A215" s="147"/>
      <c r="B215" s="148" t="s">
        <v>447</v>
      </c>
      <c r="C215" s="142" t="s">
        <v>148</v>
      </c>
      <c r="D215" s="150">
        <v>8.98</v>
      </c>
      <c r="E215" s="144"/>
      <c r="F215" s="145"/>
      <c r="G215" s="146">
        <f t="shared" si="25"/>
        <v>0</v>
      </c>
      <c r="I215" s="22">
        <f>0.6*2*3.365*2</f>
        <v>8.0760000000000005</v>
      </c>
    </row>
    <row r="216" spans="1:16" ht="13.5" x14ac:dyDescent="0.2">
      <c r="A216" s="147"/>
      <c r="B216" s="148" t="s">
        <v>448</v>
      </c>
      <c r="C216" s="142" t="s">
        <v>148</v>
      </c>
      <c r="D216" s="150">
        <v>21.7</v>
      </c>
      <c r="E216" s="144"/>
      <c r="F216" s="145"/>
      <c r="G216" s="146">
        <f t="shared" si="25"/>
        <v>0</v>
      </c>
      <c r="I216" s="22">
        <f>0.725*2*3.365*4</f>
        <v>19.516999999999999</v>
      </c>
    </row>
    <row r="217" spans="1:16" ht="13.5" x14ac:dyDescent="0.2">
      <c r="A217" s="147"/>
      <c r="B217" s="148" t="s">
        <v>449</v>
      </c>
      <c r="C217" s="142" t="s">
        <v>148</v>
      </c>
      <c r="D217" s="150">
        <v>22.9</v>
      </c>
      <c r="E217" s="144"/>
      <c r="F217" s="145"/>
      <c r="G217" s="146">
        <f t="shared" si="25"/>
        <v>0</v>
      </c>
      <c r="I217" s="22">
        <f>3.14*0.325*3.74*6</f>
        <v>22.900020000000005</v>
      </c>
    </row>
    <row r="218" spans="1:16" ht="13.5" x14ac:dyDescent="0.2">
      <c r="A218" s="147"/>
      <c r="B218" s="148" t="s">
        <v>465</v>
      </c>
      <c r="C218" s="142" t="s">
        <v>148</v>
      </c>
      <c r="D218" s="150">
        <v>15.74</v>
      </c>
      <c r="E218" s="144"/>
      <c r="F218" s="145"/>
      <c r="G218" s="146">
        <f t="shared" si="25"/>
        <v>0</v>
      </c>
      <c r="I218" s="22">
        <f>0.15*4*2.915*9</f>
        <v>15.741</v>
      </c>
    </row>
    <row r="219" spans="1:16" x14ac:dyDescent="0.2">
      <c r="A219" s="151" t="s">
        <v>96</v>
      </c>
      <c r="B219" s="152" t="s">
        <v>208</v>
      </c>
      <c r="C219" s="153"/>
      <c r="D219" s="154"/>
      <c r="E219" s="155"/>
      <c r="F219" s="145"/>
      <c r="G219" s="146">
        <f t="shared" ref="G219:G220" si="26">(D219*E219)+(D219*F219)</f>
        <v>0</v>
      </c>
    </row>
    <row r="220" spans="1:16" ht="13.5" x14ac:dyDescent="0.2">
      <c r="A220" s="147"/>
      <c r="B220" s="148" t="s">
        <v>295</v>
      </c>
      <c r="C220" s="142" t="s">
        <v>148</v>
      </c>
      <c r="D220" s="150">
        <v>23.95</v>
      </c>
      <c r="E220" s="144"/>
      <c r="F220" s="145"/>
      <c r="G220" s="146">
        <f t="shared" si="26"/>
        <v>0</v>
      </c>
      <c r="I220" s="22">
        <f>7.1*1.86</f>
        <v>13.206</v>
      </c>
      <c r="J220" s="22">
        <f>0.169*1.5*20</f>
        <v>5.07</v>
      </c>
      <c r="K220" s="22">
        <f>3.15*1.8</f>
        <v>5.67</v>
      </c>
      <c r="L220" s="22">
        <f>SUM(I220:K220)</f>
        <v>23.945999999999998</v>
      </c>
    </row>
    <row r="221" spans="1:16" x14ac:dyDescent="0.2">
      <c r="A221" s="133" t="s">
        <v>158</v>
      </c>
      <c r="B221" s="134" t="s">
        <v>454</v>
      </c>
      <c r="C221" s="135"/>
      <c r="D221" s="136"/>
      <c r="E221" s="137"/>
      <c r="F221" s="138"/>
      <c r="G221" s="139"/>
    </row>
    <row r="222" spans="1:16" x14ac:dyDescent="0.2">
      <c r="A222" s="151" t="s">
        <v>99</v>
      </c>
      <c r="B222" s="152" t="s">
        <v>296</v>
      </c>
      <c r="C222" s="153"/>
      <c r="D222" s="154"/>
      <c r="E222" s="155"/>
      <c r="F222" s="156"/>
      <c r="G222" s="157"/>
    </row>
    <row r="223" spans="1:16" ht="13.5" x14ac:dyDescent="0.2">
      <c r="A223" s="147"/>
      <c r="B223" s="148" t="s">
        <v>451</v>
      </c>
      <c r="C223" s="142" t="s">
        <v>148</v>
      </c>
      <c r="D223" s="150">
        <v>88</v>
      </c>
      <c r="E223" s="144"/>
      <c r="F223" s="145"/>
      <c r="G223" s="146">
        <f t="shared" ref="G223:G226" si="27">(D223*E223)+(D223*F223)</f>
        <v>0</v>
      </c>
      <c r="I223" s="22">
        <f>6.1*2+2.95+6.2*9+3.87+3.93+2</f>
        <v>80.750000000000014</v>
      </c>
      <c r="J223" s="22">
        <f>I223*1</f>
        <v>80.750000000000014</v>
      </c>
      <c r="K223" s="22">
        <f>19.4+10.7+9.8+4.2*2</f>
        <v>48.3</v>
      </c>
      <c r="L223" s="22">
        <f>K223*0.15</f>
        <v>7.2449999999999992</v>
      </c>
      <c r="M223" s="22">
        <f>L223+J223</f>
        <v>87.995000000000019</v>
      </c>
    </row>
    <row r="224" spans="1:16" ht="13.5" x14ac:dyDescent="0.2">
      <c r="A224" s="147"/>
      <c r="B224" s="148" t="s">
        <v>452</v>
      </c>
      <c r="C224" s="142" t="s">
        <v>148</v>
      </c>
      <c r="D224" s="150">
        <v>42.15</v>
      </c>
      <c r="E224" s="144"/>
      <c r="F224" s="145"/>
      <c r="G224" s="146">
        <f t="shared" si="27"/>
        <v>0</v>
      </c>
      <c r="I224" s="22">
        <f>3*3+2.975+1.8*3+2.815*3+3.63*2+3.67*2+3.88+3.82</f>
        <v>48.120000000000005</v>
      </c>
      <c r="J224" s="22">
        <f>I224*0.8</f>
        <v>38.496000000000009</v>
      </c>
      <c r="K224" s="22">
        <f>10.7+3*2+7.6</f>
        <v>24.299999999999997</v>
      </c>
      <c r="L224" s="22">
        <f>K224*0.15</f>
        <v>3.6449999999999996</v>
      </c>
      <c r="M224" s="22">
        <f>L224+J224</f>
        <v>42.141000000000005</v>
      </c>
    </row>
    <row r="225" spans="1:16" x14ac:dyDescent="0.2">
      <c r="A225" s="151" t="s">
        <v>139</v>
      </c>
      <c r="B225" s="152" t="s">
        <v>297</v>
      </c>
      <c r="C225" s="153"/>
      <c r="D225" s="154"/>
      <c r="E225" s="155"/>
      <c r="F225" s="145"/>
      <c r="G225" s="146">
        <f t="shared" si="27"/>
        <v>0</v>
      </c>
    </row>
    <row r="226" spans="1:16" ht="13.5" x14ac:dyDescent="0.2">
      <c r="A226" s="147"/>
      <c r="B226" s="148" t="s">
        <v>298</v>
      </c>
      <c r="C226" s="142" t="s">
        <v>148</v>
      </c>
      <c r="D226" s="150">
        <v>229.1</v>
      </c>
      <c r="E226" s="144"/>
      <c r="F226" s="145"/>
      <c r="G226" s="146">
        <f t="shared" si="27"/>
        <v>0</v>
      </c>
      <c r="I226" s="22">
        <f>19.4*10.7</f>
        <v>207.57999999999998</v>
      </c>
      <c r="J226" s="22">
        <f>9.8*3</f>
        <v>29.400000000000002</v>
      </c>
      <c r="K226" s="22">
        <f>SUM(I226:J226)</f>
        <v>236.98</v>
      </c>
      <c r="L226" s="22">
        <f>4.15*2.815</f>
        <v>11.682250000000002</v>
      </c>
      <c r="M226" s="22">
        <f>K226-L226</f>
        <v>225.29774999999998</v>
      </c>
      <c r="N226" s="22">
        <f>1.9*2</f>
        <v>3.8</v>
      </c>
      <c r="P226" s="22">
        <f>SUM(M226:N226)</f>
        <v>229.09774999999999</v>
      </c>
    </row>
    <row r="227" spans="1:16" x14ac:dyDescent="0.2">
      <c r="A227" s="151" t="s">
        <v>140</v>
      </c>
      <c r="B227" s="152" t="s">
        <v>180</v>
      </c>
      <c r="C227" s="153"/>
      <c r="D227" s="154"/>
      <c r="E227" s="155"/>
      <c r="F227" s="156"/>
      <c r="G227" s="157"/>
    </row>
    <row r="228" spans="1:16" ht="13.5" x14ac:dyDescent="0.2">
      <c r="A228" s="147"/>
      <c r="B228" s="148" t="s">
        <v>446</v>
      </c>
      <c r="C228" s="142" t="s">
        <v>148</v>
      </c>
      <c r="D228" s="150">
        <v>29.92</v>
      </c>
      <c r="E228" s="144"/>
      <c r="F228" s="145"/>
      <c r="G228" s="146">
        <f t="shared" ref="G228:G234" si="28">(D228*E228)+(D228*F228)</f>
        <v>0</v>
      </c>
      <c r="I228" s="22">
        <f>0.5*2*3.365*8</f>
        <v>26.92</v>
      </c>
    </row>
    <row r="229" spans="1:16" ht="13.5" x14ac:dyDescent="0.2">
      <c r="A229" s="147"/>
      <c r="B229" s="148" t="s">
        <v>447</v>
      </c>
      <c r="C229" s="142" t="s">
        <v>148</v>
      </c>
      <c r="D229" s="150">
        <v>8.98</v>
      </c>
      <c r="E229" s="144"/>
      <c r="F229" s="145"/>
      <c r="G229" s="146">
        <f t="shared" si="28"/>
        <v>0</v>
      </c>
      <c r="I229" s="22">
        <f>0.6*2*3.365*2</f>
        <v>8.0760000000000005</v>
      </c>
    </row>
    <row r="230" spans="1:16" ht="13.5" x14ac:dyDescent="0.2">
      <c r="A230" s="147"/>
      <c r="B230" s="148" t="s">
        <v>448</v>
      </c>
      <c r="C230" s="142" t="s">
        <v>148</v>
      </c>
      <c r="D230" s="150">
        <v>21.7</v>
      </c>
      <c r="E230" s="144"/>
      <c r="F230" s="145"/>
      <c r="G230" s="146">
        <f t="shared" si="28"/>
        <v>0</v>
      </c>
      <c r="I230" s="22">
        <f>0.725*2*3.365*4</f>
        <v>19.516999999999999</v>
      </c>
    </row>
    <row r="231" spans="1:16" ht="13.5" x14ac:dyDescent="0.2">
      <c r="A231" s="147"/>
      <c r="B231" s="148" t="s">
        <v>449</v>
      </c>
      <c r="C231" s="142" t="s">
        <v>148</v>
      </c>
      <c r="D231" s="150">
        <v>22.9</v>
      </c>
      <c r="E231" s="144"/>
      <c r="F231" s="145"/>
      <c r="G231" s="146">
        <f t="shared" si="28"/>
        <v>0</v>
      </c>
      <c r="I231" s="22">
        <f>3.14*0.325*3.74*6</f>
        <v>22.900020000000005</v>
      </c>
    </row>
    <row r="232" spans="1:16" ht="13.5" x14ac:dyDescent="0.2">
      <c r="A232" s="147"/>
      <c r="B232" s="148" t="s">
        <v>465</v>
      </c>
      <c r="C232" s="142" t="s">
        <v>148</v>
      </c>
      <c r="D232" s="150">
        <v>15.74</v>
      </c>
      <c r="E232" s="144"/>
      <c r="F232" s="145"/>
      <c r="G232" s="146">
        <f t="shared" si="28"/>
        <v>0</v>
      </c>
      <c r="I232" s="22">
        <f>0.15*4*2.915*9</f>
        <v>15.741</v>
      </c>
    </row>
    <row r="233" spans="1:16" x14ac:dyDescent="0.2">
      <c r="A233" s="151" t="s">
        <v>455</v>
      </c>
      <c r="B233" s="152" t="s">
        <v>208</v>
      </c>
      <c r="C233" s="153"/>
      <c r="D233" s="154"/>
      <c r="E233" s="155"/>
      <c r="F233" s="145"/>
      <c r="G233" s="146">
        <f t="shared" si="28"/>
        <v>0</v>
      </c>
    </row>
    <row r="234" spans="1:16" ht="13.5" x14ac:dyDescent="0.2">
      <c r="A234" s="147"/>
      <c r="B234" s="148" t="s">
        <v>295</v>
      </c>
      <c r="C234" s="142" t="s">
        <v>148</v>
      </c>
      <c r="D234" s="150">
        <v>23.95</v>
      </c>
      <c r="E234" s="144"/>
      <c r="F234" s="145"/>
      <c r="G234" s="146">
        <f t="shared" si="28"/>
        <v>0</v>
      </c>
      <c r="I234" s="22">
        <f>7.1*1.86</f>
        <v>13.206</v>
      </c>
      <c r="J234" s="22">
        <f>0.169*1.5*20</f>
        <v>5.07</v>
      </c>
      <c r="K234" s="22">
        <f>3.15*1.8</f>
        <v>5.67</v>
      </c>
      <c r="L234" s="22">
        <f>SUM(I234:K234)</f>
        <v>23.945999999999998</v>
      </c>
    </row>
    <row r="235" spans="1:16" x14ac:dyDescent="0.2">
      <c r="A235" s="133" t="s">
        <v>159</v>
      </c>
      <c r="B235" s="134" t="s">
        <v>456</v>
      </c>
      <c r="C235" s="135"/>
      <c r="D235" s="136"/>
      <c r="E235" s="137"/>
      <c r="F235" s="138"/>
      <c r="G235" s="139"/>
    </row>
    <row r="236" spans="1:16" x14ac:dyDescent="0.2">
      <c r="A236" s="151" t="s">
        <v>105</v>
      </c>
      <c r="B236" s="152" t="s">
        <v>296</v>
      </c>
      <c r="C236" s="153"/>
      <c r="D236" s="154"/>
      <c r="E236" s="155"/>
      <c r="F236" s="156"/>
      <c r="G236" s="157"/>
    </row>
    <row r="237" spans="1:16" ht="13.5" x14ac:dyDescent="0.2">
      <c r="A237" s="147"/>
      <c r="B237" s="148" t="s">
        <v>451</v>
      </c>
      <c r="C237" s="142" t="s">
        <v>148</v>
      </c>
      <c r="D237" s="150">
        <v>88</v>
      </c>
      <c r="E237" s="144"/>
      <c r="F237" s="145"/>
      <c r="G237" s="146">
        <f t="shared" ref="G237:G240" si="29">(D237*E237)+(D237*F237)</f>
        <v>0</v>
      </c>
      <c r="I237" s="22">
        <f>6.1*2+2.95+6.2*9+3.87+3.93+2</f>
        <v>80.750000000000014</v>
      </c>
      <c r="J237" s="22">
        <f>I237*1</f>
        <v>80.750000000000014</v>
      </c>
      <c r="K237" s="22">
        <f>19.4+10.7+9.8+4.2*2</f>
        <v>48.3</v>
      </c>
      <c r="L237" s="22">
        <f>K237*0.15</f>
        <v>7.2449999999999992</v>
      </c>
      <c r="M237" s="22">
        <f>L237+J237</f>
        <v>87.995000000000019</v>
      </c>
    </row>
    <row r="238" spans="1:16" ht="13.5" x14ac:dyDescent="0.2">
      <c r="A238" s="147"/>
      <c r="B238" s="148" t="s">
        <v>452</v>
      </c>
      <c r="C238" s="142" t="s">
        <v>148</v>
      </c>
      <c r="D238" s="150">
        <v>42.15</v>
      </c>
      <c r="E238" s="144"/>
      <c r="F238" s="145"/>
      <c r="G238" s="146">
        <f t="shared" si="29"/>
        <v>0</v>
      </c>
      <c r="I238" s="22">
        <f>3*3+2.975+1.8*3+2.815*3+3.63*2+3.67*2+3.88+3.82</f>
        <v>48.120000000000005</v>
      </c>
      <c r="J238" s="22">
        <f>I238*0.8</f>
        <v>38.496000000000009</v>
      </c>
      <c r="K238" s="22">
        <f>10.7+3*2+7.6</f>
        <v>24.299999999999997</v>
      </c>
      <c r="L238" s="22">
        <f>K238*0.15</f>
        <v>3.6449999999999996</v>
      </c>
      <c r="M238" s="22">
        <f>L238+J238</f>
        <v>42.141000000000005</v>
      </c>
    </row>
    <row r="239" spans="1:16" x14ac:dyDescent="0.2">
      <c r="A239" s="151" t="s">
        <v>149</v>
      </c>
      <c r="B239" s="152" t="s">
        <v>297</v>
      </c>
      <c r="C239" s="153"/>
      <c r="D239" s="154"/>
      <c r="E239" s="155"/>
      <c r="F239" s="145"/>
      <c r="G239" s="146">
        <f t="shared" si="29"/>
        <v>0</v>
      </c>
    </row>
    <row r="240" spans="1:16" ht="13.5" x14ac:dyDescent="0.2">
      <c r="A240" s="147"/>
      <c r="B240" s="148" t="s">
        <v>298</v>
      </c>
      <c r="C240" s="142" t="s">
        <v>148</v>
      </c>
      <c r="D240" s="150">
        <v>229.1</v>
      </c>
      <c r="E240" s="144"/>
      <c r="F240" s="145"/>
      <c r="G240" s="146">
        <f t="shared" si="29"/>
        <v>0</v>
      </c>
      <c r="I240" s="22">
        <f>19.4*10.7</f>
        <v>207.57999999999998</v>
      </c>
      <c r="J240" s="22">
        <f>9.8*3</f>
        <v>29.400000000000002</v>
      </c>
      <c r="K240" s="22">
        <f>SUM(I240:J240)</f>
        <v>236.98</v>
      </c>
      <c r="L240" s="22">
        <f>4.15*2.815</f>
        <v>11.682250000000002</v>
      </c>
      <c r="M240" s="22">
        <f>K240-L240</f>
        <v>225.29774999999998</v>
      </c>
      <c r="N240" s="22">
        <f>1.9*2</f>
        <v>3.8</v>
      </c>
      <c r="P240" s="22">
        <f>SUM(M240:N240)</f>
        <v>229.09774999999999</v>
      </c>
    </row>
    <row r="241" spans="1:14" x14ac:dyDescent="0.2">
      <c r="A241" s="151" t="s">
        <v>150</v>
      </c>
      <c r="B241" s="152" t="s">
        <v>180</v>
      </c>
      <c r="C241" s="153"/>
      <c r="D241" s="154"/>
      <c r="E241" s="155"/>
      <c r="F241" s="156"/>
      <c r="G241" s="157"/>
    </row>
    <row r="242" spans="1:14" ht="13.5" x14ac:dyDescent="0.2">
      <c r="A242" s="147"/>
      <c r="B242" s="148" t="s">
        <v>446</v>
      </c>
      <c r="C242" s="142" t="s">
        <v>148</v>
      </c>
      <c r="D242" s="150">
        <v>29.92</v>
      </c>
      <c r="E242" s="144"/>
      <c r="F242" s="145"/>
      <c r="G242" s="146">
        <f t="shared" ref="G242:G246" si="30">(D242*E242)+(D242*F242)</f>
        <v>0</v>
      </c>
      <c r="I242" s="22">
        <f>0.5*2*3.365*8</f>
        <v>26.92</v>
      </c>
    </row>
    <row r="243" spans="1:14" ht="13.5" x14ac:dyDescent="0.2">
      <c r="A243" s="147"/>
      <c r="B243" s="148" t="s">
        <v>447</v>
      </c>
      <c r="C243" s="142" t="s">
        <v>148</v>
      </c>
      <c r="D243" s="150">
        <v>8.98</v>
      </c>
      <c r="E243" s="144"/>
      <c r="F243" s="145"/>
      <c r="G243" s="146">
        <f t="shared" si="30"/>
        <v>0</v>
      </c>
      <c r="I243" s="22">
        <f>0.6*2*3.365*2</f>
        <v>8.0760000000000005</v>
      </c>
    </row>
    <row r="244" spans="1:14" ht="13.5" x14ac:dyDescent="0.2">
      <c r="A244" s="147"/>
      <c r="B244" s="148" t="s">
        <v>448</v>
      </c>
      <c r="C244" s="142" t="s">
        <v>148</v>
      </c>
      <c r="D244" s="150">
        <v>21.7</v>
      </c>
      <c r="E244" s="144"/>
      <c r="F244" s="145"/>
      <c r="G244" s="146">
        <f t="shared" si="30"/>
        <v>0</v>
      </c>
      <c r="I244" s="22">
        <f>0.725*2*3.365*4</f>
        <v>19.516999999999999</v>
      </c>
    </row>
    <row r="245" spans="1:14" ht="13.5" x14ac:dyDescent="0.2">
      <c r="A245" s="147"/>
      <c r="B245" s="148" t="s">
        <v>449</v>
      </c>
      <c r="C245" s="142" t="s">
        <v>148</v>
      </c>
      <c r="D245" s="150">
        <v>22.9</v>
      </c>
      <c r="E245" s="144"/>
      <c r="F245" s="145"/>
      <c r="G245" s="146">
        <f t="shared" si="30"/>
        <v>0</v>
      </c>
      <c r="I245" s="22">
        <f>3.14*0.325*3.74*6</f>
        <v>22.900020000000005</v>
      </c>
    </row>
    <row r="246" spans="1:14" ht="13.5" x14ac:dyDescent="0.2">
      <c r="A246" s="147"/>
      <c r="B246" s="148" t="s">
        <v>465</v>
      </c>
      <c r="C246" s="142" t="s">
        <v>148</v>
      </c>
      <c r="D246" s="150">
        <v>15.74</v>
      </c>
      <c r="E246" s="144"/>
      <c r="F246" s="145"/>
      <c r="G246" s="146">
        <f t="shared" si="30"/>
        <v>0</v>
      </c>
      <c r="I246" s="22">
        <f>0.15*4*2.915*9</f>
        <v>15.741</v>
      </c>
    </row>
    <row r="247" spans="1:14" x14ac:dyDescent="0.2">
      <c r="A247" s="147"/>
      <c r="B247" s="148"/>
      <c r="C247" s="142"/>
      <c r="D247" s="150"/>
      <c r="E247" s="144"/>
      <c r="F247" s="145"/>
      <c r="G247" s="146"/>
    </row>
    <row r="248" spans="1:14" x14ac:dyDescent="0.2">
      <c r="A248" s="147"/>
      <c r="B248" s="148"/>
      <c r="C248" s="142"/>
      <c r="D248" s="150"/>
      <c r="E248" s="144"/>
      <c r="F248" s="145"/>
      <c r="G248" s="146"/>
    </row>
    <row r="249" spans="1:14" ht="12.75" thickBot="1" x14ac:dyDescent="0.25">
      <c r="A249" s="158"/>
      <c r="B249" s="577"/>
      <c r="C249" s="584"/>
      <c r="D249" s="159"/>
      <c r="E249" s="160"/>
      <c r="F249" s="161"/>
      <c r="G249" s="162"/>
    </row>
    <row r="250" spans="1:14" x14ac:dyDescent="0.2">
      <c r="A250" s="147"/>
      <c r="B250" s="148"/>
      <c r="C250" s="142"/>
      <c r="D250" s="150"/>
      <c r="E250" s="144"/>
      <c r="F250" s="145"/>
      <c r="G250" s="146"/>
    </row>
    <row r="251" spans="1:14" x14ac:dyDescent="0.2">
      <c r="A251" s="133" t="s">
        <v>160</v>
      </c>
      <c r="B251" s="134" t="s">
        <v>281</v>
      </c>
      <c r="C251" s="135"/>
      <c r="D251" s="136"/>
      <c r="E251" s="137"/>
      <c r="F251" s="138"/>
      <c r="G251" s="139"/>
    </row>
    <row r="252" spans="1:14" x14ac:dyDescent="0.2">
      <c r="A252" s="151" t="s">
        <v>177</v>
      </c>
      <c r="B252" s="152" t="s">
        <v>291</v>
      </c>
      <c r="C252" s="153"/>
      <c r="D252" s="154"/>
      <c r="E252" s="155"/>
      <c r="F252" s="156"/>
      <c r="G252" s="157"/>
    </row>
    <row r="253" spans="1:14" ht="13.5" x14ac:dyDescent="0.2">
      <c r="A253" s="147"/>
      <c r="B253" s="148" t="s">
        <v>457</v>
      </c>
      <c r="C253" s="142" t="s">
        <v>148</v>
      </c>
      <c r="D253" s="150">
        <v>51.75</v>
      </c>
      <c r="E253" s="144"/>
      <c r="F253" s="145"/>
      <c r="G253" s="146">
        <f t="shared" ref="G253:G258" si="31">(D253*E253)+(D253*F253)</f>
        <v>0</v>
      </c>
      <c r="I253" s="22">
        <f>6.1*2+2.815</f>
        <v>15.014999999999999</v>
      </c>
      <c r="J253" s="22">
        <f>I253*1.17</f>
        <v>17.567549999999997</v>
      </c>
      <c r="K253" s="22">
        <f>3+3.87+3.93+2+4.02+4.08+1.8</f>
        <v>22.7</v>
      </c>
      <c r="L253" s="22">
        <f>K253*1.15</f>
        <v>26.104999999999997</v>
      </c>
      <c r="M253" s="22">
        <f>6.2*1.3</f>
        <v>8.06</v>
      </c>
      <c r="N253" s="22">
        <f>M253+L253+J253</f>
        <v>51.732549999999996</v>
      </c>
    </row>
    <row r="254" spans="1:14" ht="13.5" x14ac:dyDescent="0.2">
      <c r="A254" s="147"/>
      <c r="B254" s="148" t="s">
        <v>458</v>
      </c>
      <c r="C254" s="142" t="s">
        <v>148</v>
      </c>
      <c r="D254" s="150">
        <v>5.46</v>
      </c>
      <c r="E254" s="144"/>
      <c r="F254" s="145"/>
      <c r="G254" s="146">
        <f t="shared" si="31"/>
        <v>0</v>
      </c>
      <c r="I254" s="22">
        <f>2.815*2</f>
        <v>5.63</v>
      </c>
      <c r="J254" s="22">
        <f>I254*0.97</f>
        <v>5.4611000000000001</v>
      </c>
    </row>
    <row r="255" spans="1:14" ht="13.5" x14ac:dyDescent="0.2">
      <c r="A255" s="147"/>
      <c r="B255" s="148" t="s">
        <v>459</v>
      </c>
      <c r="C255" s="142" t="s">
        <v>148</v>
      </c>
      <c r="D255" s="150">
        <v>77</v>
      </c>
      <c r="E255" s="144"/>
      <c r="F255" s="145"/>
      <c r="G255" s="146">
        <f t="shared" si="31"/>
        <v>0</v>
      </c>
      <c r="I255" s="22">
        <f>6.2*5+3.82+3.88+1.8*3+3.67*2+3.63*2+3*2</f>
        <v>64.699999999999989</v>
      </c>
      <c r="J255" s="22">
        <f>I255*1.1</f>
        <v>71.169999999999987</v>
      </c>
      <c r="K255" s="22">
        <f>3*0.97</f>
        <v>2.91</v>
      </c>
      <c r="L255" s="22">
        <f>3*0.95</f>
        <v>2.8499999999999996</v>
      </c>
      <c r="M255" s="22">
        <f>SUM(J255:L255)</f>
        <v>76.929999999999978</v>
      </c>
    </row>
    <row r="256" spans="1:14" ht="13.5" x14ac:dyDescent="0.2">
      <c r="A256" s="147"/>
      <c r="B256" s="148" t="s">
        <v>476</v>
      </c>
      <c r="C256" s="142" t="s">
        <v>148</v>
      </c>
      <c r="D256" s="150">
        <v>26.3</v>
      </c>
      <c r="E256" s="144"/>
      <c r="F256" s="145"/>
      <c r="G256" s="146">
        <f t="shared" si="31"/>
        <v>0</v>
      </c>
      <c r="I256" s="22">
        <f>6.2*3</f>
        <v>18.600000000000001</v>
      </c>
      <c r="J256" s="22">
        <f>I256*1.425</f>
        <v>26.505000000000003</v>
      </c>
      <c r="K256" s="22">
        <f>3.2*0.2*0.15*3</f>
        <v>0.28800000000000003</v>
      </c>
      <c r="L256" s="22">
        <f>J256-K256</f>
        <v>26.217000000000002</v>
      </c>
    </row>
    <row r="257" spans="1:12" x14ac:dyDescent="0.2">
      <c r="A257" s="151" t="s">
        <v>466</v>
      </c>
      <c r="B257" s="152" t="s">
        <v>461</v>
      </c>
      <c r="C257" s="153"/>
      <c r="D257" s="154"/>
      <c r="E257" s="155"/>
      <c r="F257" s="145"/>
      <c r="G257" s="146">
        <f t="shared" si="31"/>
        <v>0</v>
      </c>
    </row>
    <row r="258" spans="1:12" ht="13.5" x14ac:dyDescent="0.2">
      <c r="A258" s="147"/>
      <c r="B258" s="148" t="s">
        <v>460</v>
      </c>
      <c r="C258" s="142" t="s">
        <v>148</v>
      </c>
      <c r="D258" s="150">
        <v>73.75</v>
      </c>
      <c r="E258" s="144"/>
      <c r="F258" s="145"/>
      <c r="G258" s="146">
        <f t="shared" si="31"/>
        <v>0</v>
      </c>
      <c r="I258" s="22">
        <f>9.8*3.415</f>
        <v>33.467000000000006</v>
      </c>
      <c r="J258" s="22">
        <f>10.7*3.4</f>
        <v>36.379999999999995</v>
      </c>
      <c r="K258" s="22">
        <f>1.95*2</f>
        <v>3.9</v>
      </c>
      <c r="L258" s="22">
        <f>SUM(I258:K258)</f>
        <v>73.747000000000014</v>
      </c>
    </row>
    <row r="259" spans="1:12" x14ac:dyDescent="0.2">
      <c r="A259" s="518"/>
      <c r="B259" s="519"/>
      <c r="C259" s="520"/>
      <c r="D259" s="521"/>
      <c r="E259" s="522"/>
      <c r="F259" s="523"/>
      <c r="G259" s="524"/>
    </row>
    <row r="260" spans="1:12" x14ac:dyDescent="0.2">
      <c r="A260" s="505" t="s">
        <v>96</v>
      </c>
      <c r="B260" s="506" t="s">
        <v>11</v>
      </c>
      <c r="C260" s="507"/>
      <c r="D260" s="508"/>
      <c r="E260" s="509"/>
      <c r="F260" s="508"/>
      <c r="G260" s="510"/>
    </row>
    <row r="261" spans="1:12" ht="32.25" customHeight="1" x14ac:dyDescent="0.2">
      <c r="A261" s="71"/>
      <c r="B261" s="622" t="s">
        <v>97</v>
      </c>
      <c r="C261" s="623"/>
      <c r="D261" s="623"/>
      <c r="E261" s="623"/>
      <c r="F261" s="624"/>
      <c r="G261" s="77"/>
    </row>
    <row r="262" spans="1:12" ht="29.25" customHeight="1" x14ac:dyDescent="0.2">
      <c r="A262" s="68"/>
      <c r="B262" s="622" t="s">
        <v>98</v>
      </c>
      <c r="C262" s="623"/>
      <c r="D262" s="623"/>
      <c r="E262" s="623"/>
      <c r="F262" s="624"/>
      <c r="G262" s="77"/>
    </row>
    <row r="263" spans="1:12" ht="30" customHeight="1" x14ac:dyDescent="0.2">
      <c r="A263" s="71"/>
      <c r="B263" s="634" t="s">
        <v>292</v>
      </c>
      <c r="C263" s="635"/>
      <c r="D263" s="635"/>
      <c r="E263" s="635"/>
      <c r="F263" s="636"/>
      <c r="G263" s="77"/>
    </row>
    <row r="264" spans="1:12" x14ac:dyDescent="0.2">
      <c r="A264" s="163" t="s">
        <v>99</v>
      </c>
      <c r="B264" s="164" t="s">
        <v>239</v>
      </c>
      <c r="C264" s="174"/>
      <c r="D264" s="175"/>
      <c r="E264" s="176"/>
      <c r="F264" s="177"/>
      <c r="G264" s="178"/>
    </row>
    <row r="265" spans="1:12" x14ac:dyDescent="0.2">
      <c r="A265" s="133" t="s">
        <v>171</v>
      </c>
      <c r="B265" s="134" t="s">
        <v>61</v>
      </c>
      <c r="C265" s="179"/>
      <c r="D265" s="180"/>
      <c r="E265" s="181"/>
      <c r="F265" s="182"/>
      <c r="G265" s="183"/>
    </row>
    <row r="266" spans="1:12" x14ac:dyDescent="0.2">
      <c r="A266" s="147"/>
      <c r="B266" s="184" t="s">
        <v>467</v>
      </c>
      <c r="C266" s="149" t="s">
        <v>138</v>
      </c>
      <c r="D266" s="150">
        <f>I270/1000</f>
        <v>5.0238659999999999</v>
      </c>
      <c r="E266" s="185"/>
      <c r="F266" s="145"/>
      <c r="G266" s="146">
        <f t="shared" ref="G266:G270" si="32">(D266*E266)+(D266*F266)</f>
        <v>0</v>
      </c>
    </row>
    <row r="267" spans="1:12" x14ac:dyDescent="0.2">
      <c r="A267" s="147"/>
      <c r="B267" s="148" t="s">
        <v>240</v>
      </c>
      <c r="C267" s="149" t="s">
        <v>8</v>
      </c>
      <c r="D267" s="150">
        <v>476</v>
      </c>
      <c r="E267" s="185"/>
      <c r="F267" s="145"/>
      <c r="G267" s="146">
        <f t="shared" si="32"/>
        <v>0</v>
      </c>
      <c r="I267" s="31">
        <f>D267*1.58*6</f>
        <v>4512.4800000000005</v>
      </c>
      <c r="J267" s="22">
        <f>14+24+20+10+3+10+8+24</f>
        <v>113</v>
      </c>
      <c r="K267" s="31"/>
    </row>
    <row r="268" spans="1:12" x14ac:dyDescent="0.2">
      <c r="A268" s="147"/>
      <c r="B268" s="148" t="s">
        <v>241</v>
      </c>
      <c r="C268" s="149" t="s">
        <v>8</v>
      </c>
      <c r="D268" s="150">
        <v>80</v>
      </c>
      <c r="E268" s="185"/>
      <c r="F268" s="145"/>
      <c r="G268" s="146">
        <f t="shared" si="32"/>
        <v>0</v>
      </c>
      <c r="I268" s="31">
        <f>D268*0.888*6</f>
        <v>426.24</v>
      </c>
      <c r="K268" s="31"/>
    </row>
    <row r="269" spans="1:12" x14ac:dyDescent="0.2">
      <c r="A269" s="147"/>
      <c r="B269" s="148" t="s">
        <v>242</v>
      </c>
      <c r="C269" s="149" t="s">
        <v>8</v>
      </c>
      <c r="D269" s="150">
        <v>23</v>
      </c>
      <c r="E269" s="185"/>
      <c r="F269" s="145"/>
      <c r="G269" s="146">
        <f t="shared" ref="G269" si="33">(D269*E269)+(D269*F269)</f>
        <v>0</v>
      </c>
      <c r="I269" s="31">
        <f>D269*0.617*6</f>
        <v>85.145999999999987</v>
      </c>
      <c r="J269" s="22">
        <f>14+24+20+10+3+10+8+24</f>
        <v>113</v>
      </c>
      <c r="K269" s="31"/>
    </row>
    <row r="270" spans="1:12" x14ac:dyDescent="0.2">
      <c r="A270" s="147"/>
      <c r="B270" s="148" t="s">
        <v>14</v>
      </c>
      <c r="C270" s="149" t="s">
        <v>9</v>
      </c>
      <c r="D270" s="150">
        <f>D266*20</f>
        <v>100.47731999999999</v>
      </c>
      <c r="E270" s="185"/>
      <c r="F270" s="145"/>
      <c r="G270" s="146">
        <f t="shared" si="32"/>
        <v>0</v>
      </c>
      <c r="I270" s="31">
        <f>SUM(I266:I269)</f>
        <v>5023.866</v>
      </c>
      <c r="J270" s="31"/>
    </row>
    <row r="271" spans="1:12" x14ac:dyDescent="0.2">
      <c r="A271" s="147"/>
      <c r="B271" s="184" t="s">
        <v>299</v>
      </c>
      <c r="C271" s="149" t="s">
        <v>138</v>
      </c>
      <c r="D271" s="150">
        <f>I274/1000</f>
        <v>0.57808799999999994</v>
      </c>
      <c r="E271" s="185"/>
      <c r="F271" s="145"/>
      <c r="G271" s="146">
        <f t="shared" ref="G271:G274" si="34">(D271*E271)+(D271*F271)</f>
        <v>0</v>
      </c>
      <c r="J271" s="31"/>
    </row>
    <row r="272" spans="1:12" x14ac:dyDescent="0.2">
      <c r="A272" s="147"/>
      <c r="B272" s="148" t="s">
        <v>241</v>
      </c>
      <c r="C272" s="149" t="s">
        <v>8</v>
      </c>
      <c r="D272" s="150">
        <v>87</v>
      </c>
      <c r="E272" s="185"/>
      <c r="F272" s="145"/>
      <c r="G272" s="146">
        <f t="shared" si="34"/>
        <v>0</v>
      </c>
      <c r="I272" s="31">
        <f>D272*0.888*6</f>
        <v>463.536</v>
      </c>
      <c r="J272" s="31">
        <f>13.715+8.7*2+10.7+9.8+19.4*3+3.2*2</f>
        <v>116.215</v>
      </c>
      <c r="K272" s="48">
        <f>J272/0.15</f>
        <v>774.76666666666677</v>
      </c>
      <c r="L272" s="48">
        <f>K272/9</f>
        <v>86.085185185185196</v>
      </c>
    </row>
    <row r="273" spans="1:14" x14ac:dyDescent="0.2">
      <c r="A273" s="147"/>
      <c r="B273" s="148" t="s">
        <v>243</v>
      </c>
      <c r="C273" s="149" t="s">
        <v>8</v>
      </c>
      <c r="D273" s="150">
        <v>86</v>
      </c>
      <c r="E273" s="185"/>
      <c r="F273" s="145"/>
      <c r="G273" s="146">
        <f t="shared" si="34"/>
        <v>0</v>
      </c>
      <c r="I273" s="31">
        <f>0.222*D273*6</f>
        <v>114.55199999999999</v>
      </c>
      <c r="J273" s="31"/>
    </row>
    <row r="274" spans="1:14" x14ac:dyDescent="0.2">
      <c r="A274" s="147"/>
      <c r="B274" s="148" t="s">
        <v>14</v>
      </c>
      <c r="C274" s="149" t="s">
        <v>9</v>
      </c>
      <c r="D274" s="150">
        <f>D271*20</f>
        <v>11.56176</v>
      </c>
      <c r="E274" s="185"/>
      <c r="F274" s="145"/>
      <c r="G274" s="146">
        <f t="shared" si="34"/>
        <v>0</v>
      </c>
      <c r="I274" s="31">
        <f>SUM(I272:I273)</f>
        <v>578.08799999999997</v>
      </c>
      <c r="J274" s="31"/>
    </row>
    <row r="275" spans="1:14" x14ac:dyDescent="0.2">
      <c r="A275" s="151" t="s">
        <v>172</v>
      </c>
      <c r="B275" s="187" t="s">
        <v>180</v>
      </c>
      <c r="C275" s="188"/>
      <c r="D275" s="189"/>
      <c r="E275" s="190"/>
      <c r="F275" s="145"/>
      <c r="G275" s="146"/>
      <c r="I275" s="31"/>
      <c r="J275" s="31"/>
    </row>
    <row r="276" spans="1:14" x14ac:dyDescent="0.2">
      <c r="A276" s="147"/>
      <c r="B276" s="202" t="s">
        <v>470</v>
      </c>
      <c r="C276" s="153" t="s">
        <v>138</v>
      </c>
      <c r="D276" s="154">
        <f>I279/1000</f>
        <v>0.33266399999999996</v>
      </c>
      <c r="E276" s="185"/>
      <c r="F276" s="145"/>
      <c r="G276" s="146">
        <f t="shared" ref="G276:G295" si="35">(D276*E276)+(D276*F276)</f>
        <v>0</v>
      </c>
    </row>
    <row r="277" spans="1:14" x14ac:dyDescent="0.2">
      <c r="A277" s="151"/>
      <c r="B277" s="148" t="s">
        <v>240</v>
      </c>
      <c r="C277" s="149" t="s">
        <v>8</v>
      </c>
      <c r="D277" s="150">
        <v>32</v>
      </c>
      <c r="E277" s="185"/>
      <c r="F277" s="145"/>
      <c r="G277" s="146">
        <f t="shared" si="35"/>
        <v>0</v>
      </c>
      <c r="I277" s="31">
        <f>D277*1.58*6</f>
        <v>303.36</v>
      </c>
      <c r="J277" s="22">
        <f>4*29</f>
        <v>116</v>
      </c>
      <c r="L277" s="22">
        <f>5.025/0.15</f>
        <v>33.500000000000007</v>
      </c>
      <c r="M277" s="22">
        <f>35*29</f>
        <v>1015</v>
      </c>
      <c r="N277" s="22">
        <f>M277/11</f>
        <v>92.272727272727266</v>
      </c>
    </row>
    <row r="278" spans="1:14" x14ac:dyDescent="0.2">
      <c r="A278" s="147"/>
      <c r="B278" s="148" t="s">
        <v>243</v>
      </c>
      <c r="C278" s="149" t="s">
        <v>8</v>
      </c>
      <c r="D278" s="150">
        <v>22</v>
      </c>
      <c r="E278" s="185"/>
      <c r="F278" s="145"/>
      <c r="G278" s="146">
        <f t="shared" si="35"/>
        <v>0</v>
      </c>
      <c r="I278" s="31">
        <f>0.222*D278*6</f>
        <v>29.304000000000002</v>
      </c>
    </row>
    <row r="279" spans="1:14" x14ac:dyDescent="0.2">
      <c r="A279" s="191"/>
      <c r="B279" s="192" t="s">
        <v>14</v>
      </c>
      <c r="C279" s="193" t="s">
        <v>9</v>
      </c>
      <c r="D279" s="194">
        <f>D276*20</f>
        <v>6.6532799999999988</v>
      </c>
      <c r="E279" s="195"/>
      <c r="F279" s="196"/>
      <c r="G279" s="197">
        <f t="shared" si="35"/>
        <v>0</v>
      </c>
      <c r="I279" s="31">
        <f>SUM(I277:I278)</f>
        <v>332.66399999999999</v>
      </c>
      <c r="J279" s="31"/>
    </row>
    <row r="280" spans="1:14" x14ac:dyDescent="0.2">
      <c r="A280" s="147"/>
      <c r="B280" s="202" t="s">
        <v>471</v>
      </c>
      <c r="C280" s="153" t="s">
        <v>138</v>
      </c>
      <c r="D280" s="154">
        <f>I283/1000</f>
        <v>0.10945200000000001</v>
      </c>
      <c r="E280" s="185"/>
      <c r="F280" s="145"/>
      <c r="G280" s="146">
        <f t="shared" si="35"/>
        <v>0</v>
      </c>
      <c r="I280" s="31"/>
      <c r="J280" s="31"/>
    </row>
    <row r="281" spans="1:14" x14ac:dyDescent="0.2">
      <c r="A281" s="147"/>
      <c r="B281" s="148" t="s">
        <v>240</v>
      </c>
      <c r="C281" s="149" t="s">
        <v>8</v>
      </c>
      <c r="D281" s="150">
        <v>10</v>
      </c>
      <c r="E281" s="185"/>
      <c r="F281" s="145"/>
      <c r="G281" s="146">
        <f t="shared" si="35"/>
        <v>0</v>
      </c>
      <c r="I281" s="31">
        <f>D281*1.58*6</f>
        <v>94.800000000000011</v>
      </c>
      <c r="J281" s="22">
        <f>6*4</f>
        <v>24</v>
      </c>
    </row>
    <row r="282" spans="1:14" x14ac:dyDescent="0.2">
      <c r="A282" s="147"/>
      <c r="B282" s="148" t="s">
        <v>243</v>
      </c>
      <c r="C282" s="149" t="s">
        <v>8</v>
      </c>
      <c r="D282" s="150">
        <v>11</v>
      </c>
      <c r="E282" s="185"/>
      <c r="F282" s="145"/>
      <c r="G282" s="146">
        <f t="shared" si="35"/>
        <v>0</v>
      </c>
      <c r="I282" s="31">
        <f>0.222*D282*6</f>
        <v>14.652000000000001</v>
      </c>
    </row>
    <row r="283" spans="1:14" x14ac:dyDescent="0.2">
      <c r="A283" s="147"/>
      <c r="B283" s="148" t="s">
        <v>14</v>
      </c>
      <c r="C283" s="149" t="s">
        <v>9</v>
      </c>
      <c r="D283" s="150">
        <f>D280*20</f>
        <v>2.1890400000000003</v>
      </c>
      <c r="E283" s="185"/>
      <c r="F283" s="145"/>
      <c r="G283" s="146">
        <f t="shared" si="35"/>
        <v>0</v>
      </c>
      <c r="I283" s="31">
        <f>SUM(I281:I282)</f>
        <v>109.45200000000001</v>
      </c>
      <c r="J283" s="31"/>
    </row>
    <row r="284" spans="1:14" x14ac:dyDescent="0.2">
      <c r="A284" s="147"/>
      <c r="B284" s="202" t="s">
        <v>474</v>
      </c>
      <c r="C284" s="153" t="s">
        <v>138</v>
      </c>
      <c r="D284" s="154">
        <f>I287/1000</f>
        <v>0.26614800000000005</v>
      </c>
      <c r="E284" s="185"/>
      <c r="F284" s="145"/>
      <c r="G284" s="146">
        <f t="shared" ref="G284:G291" si="36">(D284*E284)+(D284*F284)</f>
        <v>0</v>
      </c>
      <c r="I284" s="31"/>
      <c r="J284" s="31"/>
    </row>
    <row r="285" spans="1:14" x14ac:dyDescent="0.2">
      <c r="A285" s="147"/>
      <c r="B285" s="148" t="s">
        <v>240</v>
      </c>
      <c r="C285" s="149" t="s">
        <v>8</v>
      </c>
      <c r="D285" s="150">
        <v>24</v>
      </c>
      <c r="E285" s="185"/>
      <c r="F285" s="145"/>
      <c r="G285" s="146">
        <f t="shared" si="36"/>
        <v>0</v>
      </c>
      <c r="I285" s="31">
        <f>D285*1.58*6</f>
        <v>227.52</v>
      </c>
      <c r="J285" s="22">
        <f>6*4</f>
        <v>24</v>
      </c>
    </row>
    <row r="286" spans="1:14" x14ac:dyDescent="0.2">
      <c r="A286" s="147"/>
      <c r="B286" s="148" t="s">
        <v>243</v>
      </c>
      <c r="C286" s="149" t="s">
        <v>8</v>
      </c>
      <c r="D286" s="150">
        <v>29</v>
      </c>
      <c r="E286" s="185"/>
      <c r="F286" s="145"/>
      <c r="G286" s="146">
        <f t="shared" si="36"/>
        <v>0</v>
      </c>
      <c r="I286" s="31">
        <f>0.222*D286*6</f>
        <v>38.628</v>
      </c>
    </row>
    <row r="287" spans="1:14" x14ac:dyDescent="0.2">
      <c r="A287" s="147"/>
      <c r="B287" s="148" t="s">
        <v>14</v>
      </c>
      <c r="C287" s="149" t="s">
        <v>9</v>
      </c>
      <c r="D287" s="150">
        <f>D284*20</f>
        <v>5.322960000000001</v>
      </c>
      <c r="E287" s="185"/>
      <c r="F287" s="145"/>
      <c r="G287" s="146">
        <f t="shared" si="36"/>
        <v>0</v>
      </c>
      <c r="I287" s="31">
        <f>SUM(I285:I286)</f>
        <v>266.14800000000002</v>
      </c>
      <c r="J287" s="31"/>
    </row>
    <row r="288" spans="1:14" x14ac:dyDescent="0.2">
      <c r="A288" s="147"/>
      <c r="B288" s="202" t="s">
        <v>472</v>
      </c>
      <c r="C288" s="153" t="s">
        <v>138</v>
      </c>
      <c r="D288" s="154">
        <f>I291/1000</f>
        <v>0.14252400000000001</v>
      </c>
      <c r="E288" s="185"/>
      <c r="F288" s="145"/>
      <c r="G288" s="146">
        <f t="shared" si="36"/>
        <v>0</v>
      </c>
      <c r="I288" s="31"/>
      <c r="J288" s="31"/>
    </row>
    <row r="289" spans="1:14" x14ac:dyDescent="0.2">
      <c r="A289" s="147"/>
      <c r="B289" s="148" t="s">
        <v>241</v>
      </c>
      <c r="C289" s="149" t="s">
        <v>8</v>
      </c>
      <c r="D289" s="150">
        <v>24</v>
      </c>
      <c r="E289" s="185"/>
      <c r="F289" s="145"/>
      <c r="G289" s="146">
        <f t="shared" si="36"/>
        <v>0</v>
      </c>
      <c r="I289" s="31">
        <f>D289*0.888*6</f>
        <v>127.87200000000001</v>
      </c>
      <c r="J289" s="22">
        <f>6*4</f>
        <v>24</v>
      </c>
    </row>
    <row r="290" spans="1:14" x14ac:dyDescent="0.2">
      <c r="A290" s="147"/>
      <c r="B290" s="148" t="s">
        <v>243</v>
      </c>
      <c r="C290" s="149" t="s">
        <v>8</v>
      </c>
      <c r="D290" s="150">
        <v>11</v>
      </c>
      <c r="E290" s="185"/>
      <c r="F290" s="145"/>
      <c r="G290" s="146">
        <f t="shared" si="36"/>
        <v>0</v>
      </c>
      <c r="I290" s="31">
        <f>0.222*D290*6</f>
        <v>14.652000000000001</v>
      </c>
    </row>
    <row r="291" spans="1:14" x14ac:dyDescent="0.2">
      <c r="A291" s="147"/>
      <c r="B291" s="148" t="s">
        <v>14</v>
      </c>
      <c r="C291" s="149" t="s">
        <v>9</v>
      </c>
      <c r="D291" s="150">
        <f>D288*20</f>
        <v>2.8504800000000001</v>
      </c>
      <c r="E291" s="185"/>
      <c r="F291" s="145"/>
      <c r="G291" s="146">
        <f t="shared" si="36"/>
        <v>0</v>
      </c>
      <c r="I291" s="31">
        <f>SUM(I289:I290)</f>
        <v>142.524</v>
      </c>
      <c r="J291" s="31"/>
    </row>
    <row r="292" spans="1:14" x14ac:dyDescent="0.2">
      <c r="A292" s="147"/>
      <c r="B292" s="202" t="s">
        <v>473</v>
      </c>
      <c r="C292" s="153" t="s">
        <v>138</v>
      </c>
      <c r="D292" s="154">
        <f>I295/1000</f>
        <v>7.1964E-2</v>
      </c>
      <c r="E292" s="185"/>
      <c r="F292" s="145"/>
      <c r="G292" s="146">
        <f t="shared" si="35"/>
        <v>0</v>
      </c>
      <c r="I292" s="31"/>
      <c r="J292" s="31"/>
    </row>
    <row r="293" spans="1:14" x14ac:dyDescent="0.2">
      <c r="A293" s="147"/>
      <c r="B293" s="148" t="s">
        <v>242</v>
      </c>
      <c r="C293" s="149" t="s">
        <v>8</v>
      </c>
      <c r="D293" s="150">
        <v>18</v>
      </c>
      <c r="E293" s="185"/>
      <c r="F293" s="145"/>
      <c r="G293" s="146">
        <f t="shared" si="35"/>
        <v>0</v>
      </c>
      <c r="I293" s="31">
        <f>D293*0.617*6</f>
        <v>66.635999999999996</v>
      </c>
      <c r="J293" s="31">
        <f>33*6</f>
        <v>198</v>
      </c>
      <c r="K293" s="48">
        <f>J293/18</f>
        <v>11</v>
      </c>
    </row>
    <row r="294" spans="1:14" x14ac:dyDescent="0.2">
      <c r="A294" s="147"/>
      <c r="B294" s="148" t="s">
        <v>243</v>
      </c>
      <c r="C294" s="149" t="s">
        <v>8</v>
      </c>
      <c r="D294" s="150">
        <v>4</v>
      </c>
      <c r="E294" s="185"/>
      <c r="F294" s="145"/>
      <c r="G294" s="146">
        <f t="shared" si="35"/>
        <v>0</v>
      </c>
      <c r="I294" s="31">
        <f>0.222*D294*6</f>
        <v>5.3280000000000003</v>
      </c>
      <c r="J294" s="31"/>
    </row>
    <row r="295" spans="1:14" x14ac:dyDescent="0.2">
      <c r="A295" s="147"/>
      <c r="B295" s="148" t="s">
        <v>14</v>
      </c>
      <c r="C295" s="149" t="s">
        <v>9</v>
      </c>
      <c r="D295" s="150">
        <f>D292*20</f>
        <v>1.4392800000000001</v>
      </c>
      <c r="E295" s="185"/>
      <c r="F295" s="145"/>
      <c r="G295" s="146">
        <f t="shared" si="35"/>
        <v>0</v>
      </c>
      <c r="I295" s="31">
        <f>SUM(I293:I294)</f>
        <v>71.963999999999999</v>
      </c>
      <c r="J295" s="31"/>
    </row>
    <row r="296" spans="1:14" x14ac:dyDescent="0.2">
      <c r="A296" s="147"/>
      <c r="B296" s="148"/>
      <c r="C296" s="149"/>
      <c r="D296" s="150"/>
      <c r="E296" s="185"/>
      <c r="F296" s="145"/>
      <c r="G296" s="146"/>
      <c r="I296" s="31"/>
      <c r="J296" s="31"/>
    </row>
    <row r="297" spans="1:14" x14ac:dyDescent="0.2">
      <c r="A297" s="133" t="s">
        <v>139</v>
      </c>
      <c r="B297" s="134" t="s">
        <v>64</v>
      </c>
      <c r="C297" s="179"/>
      <c r="D297" s="180"/>
      <c r="E297" s="181"/>
      <c r="F297" s="182"/>
      <c r="G297" s="183">
        <f t="shared" ref="G297" si="37">(D297*E297)+(D297*F297)</f>
        <v>0</v>
      </c>
    </row>
    <row r="298" spans="1:14" x14ac:dyDescent="0.2">
      <c r="A298" s="186" t="s">
        <v>171</v>
      </c>
      <c r="B298" s="187" t="s">
        <v>180</v>
      </c>
      <c r="C298" s="188"/>
      <c r="D298" s="189"/>
      <c r="E298" s="190"/>
      <c r="F298" s="145"/>
      <c r="G298" s="146"/>
    </row>
    <row r="299" spans="1:14" x14ac:dyDescent="0.2">
      <c r="A299" s="147"/>
      <c r="B299" s="202" t="s">
        <v>470</v>
      </c>
      <c r="C299" s="153" t="s">
        <v>138</v>
      </c>
      <c r="D299" s="154">
        <f>I302/1000</f>
        <v>0.51098399999999999</v>
      </c>
      <c r="E299" s="185"/>
      <c r="F299" s="145"/>
      <c r="G299" s="146">
        <f t="shared" ref="G299:G320" si="38">(D299*E299)+(D299*F299)</f>
        <v>0</v>
      </c>
    </row>
    <row r="300" spans="1:14" x14ac:dyDescent="0.2">
      <c r="A300" s="151"/>
      <c r="B300" s="148" t="s">
        <v>240</v>
      </c>
      <c r="C300" s="149" t="s">
        <v>8</v>
      </c>
      <c r="D300" s="150">
        <v>48</v>
      </c>
      <c r="E300" s="185"/>
      <c r="F300" s="145"/>
      <c r="G300" s="146">
        <f t="shared" si="38"/>
        <v>0</v>
      </c>
      <c r="I300" s="31">
        <f>D300*1.58*6</f>
        <v>455.04</v>
      </c>
      <c r="J300" s="22">
        <f>4*29</f>
        <v>116</v>
      </c>
      <c r="L300" s="22">
        <f>5.025/0.15</f>
        <v>33.500000000000007</v>
      </c>
      <c r="M300" s="22">
        <f>35*29</f>
        <v>1015</v>
      </c>
      <c r="N300" s="22">
        <f>M300/11</f>
        <v>92.272727272727266</v>
      </c>
    </row>
    <row r="301" spans="1:14" x14ac:dyDescent="0.2">
      <c r="A301" s="147"/>
      <c r="B301" s="148" t="s">
        <v>243</v>
      </c>
      <c r="C301" s="149" t="s">
        <v>8</v>
      </c>
      <c r="D301" s="150">
        <v>42</v>
      </c>
      <c r="E301" s="185"/>
      <c r="F301" s="145"/>
      <c r="G301" s="146">
        <f t="shared" si="38"/>
        <v>0</v>
      </c>
      <c r="I301" s="31">
        <f>0.222*D301*6</f>
        <v>55.944000000000003</v>
      </c>
    </row>
    <row r="302" spans="1:14" x14ac:dyDescent="0.2">
      <c r="A302" s="191"/>
      <c r="B302" s="192" t="s">
        <v>14</v>
      </c>
      <c r="C302" s="193" t="s">
        <v>9</v>
      </c>
      <c r="D302" s="194">
        <f>D299*20</f>
        <v>10.21968</v>
      </c>
      <c r="E302" s="195"/>
      <c r="F302" s="196"/>
      <c r="G302" s="197">
        <f t="shared" si="38"/>
        <v>0</v>
      </c>
      <c r="I302" s="31">
        <f>SUM(I300:I301)</f>
        <v>510.98400000000004</v>
      </c>
      <c r="J302" s="31"/>
    </row>
    <row r="303" spans="1:14" ht="12.75" thickBot="1" x14ac:dyDescent="0.25">
      <c r="A303" s="585"/>
      <c r="B303" s="586"/>
      <c r="C303" s="587"/>
      <c r="D303" s="588"/>
      <c r="E303" s="207"/>
      <c r="F303" s="208"/>
      <c r="G303" s="481"/>
      <c r="I303" s="31"/>
      <c r="J303" s="31"/>
    </row>
    <row r="304" spans="1:14" x14ac:dyDescent="0.2">
      <c r="A304" s="191"/>
      <c r="B304" s="192"/>
      <c r="C304" s="193"/>
      <c r="D304" s="194"/>
      <c r="E304" s="195"/>
      <c r="F304" s="196"/>
      <c r="G304" s="197"/>
      <c r="I304" s="31"/>
      <c r="J304" s="31"/>
    </row>
    <row r="305" spans="1:11" x14ac:dyDescent="0.2">
      <c r="A305" s="147"/>
      <c r="B305" s="202" t="s">
        <v>471</v>
      </c>
      <c r="C305" s="153" t="s">
        <v>138</v>
      </c>
      <c r="D305" s="154">
        <f>I308/1000</f>
        <v>0.17017200000000002</v>
      </c>
      <c r="E305" s="185"/>
      <c r="F305" s="145"/>
      <c r="G305" s="146">
        <f t="shared" si="38"/>
        <v>0</v>
      </c>
      <c r="I305" s="31"/>
      <c r="J305" s="31"/>
    </row>
    <row r="306" spans="1:11" x14ac:dyDescent="0.2">
      <c r="A306" s="147"/>
      <c r="B306" s="148" t="s">
        <v>240</v>
      </c>
      <c r="C306" s="149" t="s">
        <v>8</v>
      </c>
      <c r="D306" s="150">
        <v>15</v>
      </c>
      <c r="E306" s="185"/>
      <c r="F306" s="145"/>
      <c r="G306" s="146">
        <f t="shared" si="38"/>
        <v>0</v>
      </c>
      <c r="I306" s="31">
        <f>D306*1.58*6</f>
        <v>142.20000000000002</v>
      </c>
      <c r="J306" s="22">
        <f>6*4</f>
        <v>24</v>
      </c>
    </row>
    <row r="307" spans="1:11" x14ac:dyDescent="0.2">
      <c r="A307" s="147"/>
      <c r="B307" s="148" t="s">
        <v>243</v>
      </c>
      <c r="C307" s="149" t="s">
        <v>8</v>
      </c>
      <c r="D307" s="150">
        <v>21</v>
      </c>
      <c r="E307" s="185"/>
      <c r="F307" s="145"/>
      <c r="G307" s="146">
        <f t="shared" si="38"/>
        <v>0</v>
      </c>
      <c r="I307" s="31">
        <f>0.222*D307*6</f>
        <v>27.972000000000001</v>
      </c>
    </row>
    <row r="308" spans="1:11" x14ac:dyDescent="0.2">
      <c r="A308" s="147"/>
      <c r="B308" s="148" t="s">
        <v>14</v>
      </c>
      <c r="C308" s="149" t="s">
        <v>9</v>
      </c>
      <c r="D308" s="150">
        <f>D305*20</f>
        <v>3.4034400000000002</v>
      </c>
      <c r="E308" s="185"/>
      <c r="F308" s="145"/>
      <c r="G308" s="146">
        <f t="shared" si="38"/>
        <v>0</v>
      </c>
      <c r="I308" s="31">
        <f>SUM(I306:I307)</f>
        <v>170.17200000000003</v>
      </c>
      <c r="J308" s="31"/>
    </row>
    <row r="309" spans="1:11" x14ac:dyDescent="0.2">
      <c r="A309" s="147"/>
      <c r="B309" s="202" t="s">
        <v>474</v>
      </c>
      <c r="C309" s="153" t="s">
        <v>138</v>
      </c>
      <c r="D309" s="154">
        <f>I312/1000</f>
        <v>0.41587200000000002</v>
      </c>
      <c r="E309" s="185"/>
      <c r="F309" s="145"/>
      <c r="G309" s="146">
        <f t="shared" si="38"/>
        <v>0</v>
      </c>
      <c r="I309" s="31"/>
      <c r="J309" s="31"/>
    </row>
    <row r="310" spans="1:11" x14ac:dyDescent="0.2">
      <c r="A310" s="147"/>
      <c r="B310" s="148" t="s">
        <v>240</v>
      </c>
      <c r="C310" s="149" t="s">
        <v>8</v>
      </c>
      <c r="D310" s="150">
        <v>36</v>
      </c>
      <c r="E310" s="185"/>
      <c r="F310" s="145"/>
      <c r="G310" s="146">
        <f t="shared" si="38"/>
        <v>0</v>
      </c>
      <c r="I310" s="31">
        <f>D310*1.58*6</f>
        <v>341.28000000000003</v>
      </c>
      <c r="J310" s="22">
        <f>6*4</f>
        <v>24</v>
      </c>
    </row>
    <row r="311" spans="1:11" x14ac:dyDescent="0.2">
      <c r="A311" s="147"/>
      <c r="B311" s="148" t="s">
        <v>243</v>
      </c>
      <c r="C311" s="149" t="s">
        <v>8</v>
      </c>
      <c r="D311" s="150">
        <v>56</v>
      </c>
      <c r="E311" s="185"/>
      <c r="F311" s="145"/>
      <c r="G311" s="146">
        <f t="shared" si="38"/>
        <v>0</v>
      </c>
      <c r="I311" s="31">
        <f>0.222*D311*6</f>
        <v>74.591999999999999</v>
      </c>
    </row>
    <row r="312" spans="1:11" x14ac:dyDescent="0.2">
      <c r="A312" s="147"/>
      <c r="B312" s="148" t="s">
        <v>14</v>
      </c>
      <c r="C312" s="149" t="s">
        <v>9</v>
      </c>
      <c r="D312" s="150">
        <f>D309*20</f>
        <v>8.3174400000000013</v>
      </c>
      <c r="E312" s="185"/>
      <c r="F312" s="145"/>
      <c r="G312" s="146">
        <f t="shared" si="38"/>
        <v>0</v>
      </c>
      <c r="I312" s="31">
        <f>SUM(I310:I311)</f>
        <v>415.87200000000001</v>
      </c>
      <c r="J312" s="31"/>
    </row>
    <row r="313" spans="1:11" x14ac:dyDescent="0.2">
      <c r="A313" s="147"/>
      <c r="B313" s="202" t="s">
        <v>472</v>
      </c>
      <c r="C313" s="153" t="s">
        <v>138</v>
      </c>
      <c r="D313" s="154">
        <f>I316/1000</f>
        <v>0.28238400000000002</v>
      </c>
      <c r="E313" s="185"/>
      <c r="F313" s="145"/>
      <c r="G313" s="146">
        <f t="shared" si="38"/>
        <v>0</v>
      </c>
      <c r="I313" s="31"/>
      <c r="J313" s="31"/>
    </row>
    <row r="314" spans="1:11" x14ac:dyDescent="0.2">
      <c r="A314" s="147"/>
      <c r="B314" s="148" t="s">
        <v>241</v>
      </c>
      <c r="C314" s="149" t="s">
        <v>8</v>
      </c>
      <c r="D314" s="150">
        <v>48</v>
      </c>
      <c r="E314" s="185"/>
      <c r="F314" s="145"/>
      <c r="G314" s="146">
        <f t="shared" si="38"/>
        <v>0</v>
      </c>
      <c r="I314" s="31">
        <f>D314*0.888*6</f>
        <v>255.74400000000003</v>
      </c>
      <c r="J314" s="22">
        <f>6*4</f>
        <v>24</v>
      </c>
    </row>
    <row r="315" spans="1:11" x14ac:dyDescent="0.2">
      <c r="A315" s="147"/>
      <c r="B315" s="148" t="s">
        <v>243</v>
      </c>
      <c r="C315" s="149" t="s">
        <v>8</v>
      </c>
      <c r="D315" s="150">
        <v>20</v>
      </c>
      <c r="E315" s="185"/>
      <c r="F315" s="145"/>
      <c r="G315" s="146">
        <f t="shared" si="38"/>
        <v>0</v>
      </c>
      <c r="I315" s="31">
        <f>0.222*D315*6</f>
        <v>26.64</v>
      </c>
    </row>
    <row r="316" spans="1:11" x14ac:dyDescent="0.2">
      <c r="A316" s="147"/>
      <c r="B316" s="148" t="s">
        <v>14</v>
      </c>
      <c r="C316" s="149" t="s">
        <v>9</v>
      </c>
      <c r="D316" s="150">
        <f>D313*20</f>
        <v>5.6476800000000003</v>
      </c>
      <c r="E316" s="185"/>
      <c r="F316" s="145"/>
      <c r="G316" s="146">
        <f t="shared" si="38"/>
        <v>0</v>
      </c>
      <c r="I316" s="31">
        <f>SUM(I314:I315)</f>
        <v>282.38400000000001</v>
      </c>
      <c r="J316" s="31"/>
    </row>
    <row r="317" spans="1:11" x14ac:dyDescent="0.2">
      <c r="A317" s="147"/>
      <c r="B317" s="202" t="s">
        <v>473</v>
      </c>
      <c r="C317" s="153" t="s">
        <v>138</v>
      </c>
      <c r="D317" s="154">
        <f>I320/1000</f>
        <v>0.11061</v>
      </c>
      <c r="E317" s="185"/>
      <c r="F317" s="145"/>
      <c r="G317" s="146">
        <f t="shared" si="38"/>
        <v>0</v>
      </c>
      <c r="I317" s="31"/>
      <c r="J317" s="31"/>
    </row>
    <row r="318" spans="1:11" x14ac:dyDescent="0.2">
      <c r="A318" s="147"/>
      <c r="B318" s="148" t="s">
        <v>242</v>
      </c>
      <c r="C318" s="149" t="s">
        <v>8</v>
      </c>
      <c r="D318" s="150">
        <v>27</v>
      </c>
      <c r="E318" s="185"/>
      <c r="F318" s="145"/>
      <c r="G318" s="146">
        <f t="shared" si="38"/>
        <v>0</v>
      </c>
      <c r="I318" s="31">
        <f>D318*0.617*6</f>
        <v>99.953999999999994</v>
      </c>
      <c r="J318" s="31">
        <f>33*6</f>
        <v>198</v>
      </c>
      <c r="K318" s="48">
        <f>J318/18</f>
        <v>11</v>
      </c>
    </row>
    <row r="319" spans="1:11" x14ac:dyDescent="0.2">
      <c r="A319" s="147"/>
      <c r="B319" s="148" t="s">
        <v>243</v>
      </c>
      <c r="C319" s="149" t="s">
        <v>8</v>
      </c>
      <c r="D319" s="150">
        <v>8</v>
      </c>
      <c r="E319" s="185"/>
      <c r="F319" s="145"/>
      <c r="G319" s="146">
        <f t="shared" si="38"/>
        <v>0</v>
      </c>
      <c r="I319" s="31">
        <f>0.222*D319*6</f>
        <v>10.656000000000001</v>
      </c>
      <c r="J319" s="31"/>
    </row>
    <row r="320" spans="1:11" x14ac:dyDescent="0.2">
      <c r="A320" s="147"/>
      <c r="B320" s="148" t="s">
        <v>14</v>
      </c>
      <c r="C320" s="149" t="s">
        <v>9</v>
      </c>
      <c r="D320" s="150">
        <f>D317*20</f>
        <v>2.2122000000000002</v>
      </c>
      <c r="E320" s="185"/>
      <c r="F320" s="145"/>
      <c r="G320" s="146">
        <f t="shared" si="38"/>
        <v>0</v>
      </c>
      <c r="I320" s="31">
        <f>SUM(I318:I319)</f>
        <v>110.61</v>
      </c>
      <c r="J320" s="31"/>
    </row>
    <row r="321" spans="1:16" x14ac:dyDescent="0.2">
      <c r="A321" s="186" t="s">
        <v>172</v>
      </c>
      <c r="B321" s="187" t="s">
        <v>208</v>
      </c>
      <c r="C321" s="188" t="s">
        <v>138</v>
      </c>
      <c r="D321" s="189">
        <f>I323/1000</f>
        <v>0.35909399999999997</v>
      </c>
      <c r="E321" s="190"/>
      <c r="F321" s="145"/>
      <c r="G321" s="146">
        <f t="shared" ref="G321:G323" si="39">(D321*E321)+(D321*F321)</f>
        <v>0</v>
      </c>
      <c r="H321" s="38"/>
      <c r="I321" s="34"/>
    </row>
    <row r="322" spans="1:16" x14ac:dyDescent="0.2">
      <c r="A322" s="191" t="s">
        <v>183</v>
      </c>
      <c r="B322" s="148" t="s">
        <v>242</v>
      </c>
      <c r="C322" s="193" t="s">
        <v>8</v>
      </c>
      <c r="D322" s="194">
        <v>97</v>
      </c>
      <c r="E322" s="195"/>
      <c r="F322" s="196"/>
      <c r="G322" s="146">
        <f t="shared" si="39"/>
        <v>0</v>
      </c>
      <c r="H322" s="38"/>
      <c r="I322" s="31">
        <f>0.617*D322*6</f>
        <v>359.09399999999999</v>
      </c>
    </row>
    <row r="323" spans="1:16" x14ac:dyDescent="0.2">
      <c r="A323" s="191"/>
      <c r="B323" s="192" t="s">
        <v>14</v>
      </c>
      <c r="C323" s="193" t="s">
        <v>9</v>
      </c>
      <c r="D323" s="194">
        <f>D321*20</f>
        <v>7.1818799999999996</v>
      </c>
      <c r="E323" s="195"/>
      <c r="F323" s="196"/>
      <c r="G323" s="146">
        <f t="shared" si="39"/>
        <v>0</v>
      </c>
      <c r="H323" s="38"/>
      <c r="I323" s="31">
        <f>SUM(I321:I322)</f>
        <v>359.09399999999999</v>
      </c>
    </row>
    <row r="324" spans="1:16" x14ac:dyDescent="0.2">
      <c r="A324" s="151" t="s">
        <v>185</v>
      </c>
      <c r="B324" s="152" t="s">
        <v>226</v>
      </c>
      <c r="C324" s="153" t="s">
        <v>138</v>
      </c>
      <c r="D324" s="154">
        <f>I326/1000</f>
        <v>1.895424</v>
      </c>
      <c r="E324" s="155"/>
      <c r="F324" s="145"/>
      <c r="G324" s="146">
        <f t="shared" ref="G324:G326" si="40">(D324*E324)+(D324*F324)</f>
        <v>0</v>
      </c>
      <c r="K324" s="22">
        <v>250.2</v>
      </c>
      <c r="M324" s="22">
        <f>7.8+6.05+1.95+2.05</f>
        <v>17.849999999999998</v>
      </c>
      <c r="N324" s="22">
        <f>M324*0.15*2</f>
        <v>5.3549999999999995</v>
      </c>
      <c r="O324" s="22">
        <f>K324+N324</f>
        <v>255.55499999999998</v>
      </c>
    </row>
    <row r="325" spans="1:16" x14ac:dyDescent="0.2">
      <c r="A325" s="151"/>
      <c r="B325" s="148" t="s">
        <v>475</v>
      </c>
      <c r="C325" s="149" t="s">
        <v>8</v>
      </c>
      <c r="D325" s="150">
        <v>512</v>
      </c>
      <c r="E325" s="185"/>
      <c r="F325" s="145"/>
      <c r="G325" s="146">
        <f t="shared" si="40"/>
        <v>0</v>
      </c>
      <c r="I325" s="31">
        <f>0.617*D325*6</f>
        <v>1895.424</v>
      </c>
      <c r="K325" s="22">
        <f>O324*12</f>
        <v>3066.66</v>
      </c>
      <c r="L325" s="22">
        <f>K325/6</f>
        <v>511.10999999999996</v>
      </c>
      <c r="M325" s="22">
        <f>L325/6</f>
        <v>85.184999999999988</v>
      </c>
    </row>
    <row r="326" spans="1:16" x14ac:dyDescent="0.2">
      <c r="A326" s="147"/>
      <c r="B326" s="148" t="s">
        <v>14</v>
      </c>
      <c r="C326" s="149" t="s">
        <v>9</v>
      </c>
      <c r="D326" s="150">
        <f>D324*20</f>
        <v>37.908479999999997</v>
      </c>
      <c r="E326" s="185"/>
      <c r="F326" s="145"/>
      <c r="G326" s="146">
        <f t="shared" si="40"/>
        <v>0</v>
      </c>
      <c r="I326" s="31">
        <f>SUM(I324:I325)</f>
        <v>1895.424</v>
      </c>
    </row>
    <row r="327" spans="1:16" x14ac:dyDescent="0.2">
      <c r="A327" s="191"/>
      <c r="B327" s="192"/>
      <c r="C327" s="193"/>
      <c r="D327" s="194"/>
      <c r="E327" s="195"/>
      <c r="F327" s="196"/>
      <c r="G327" s="146"/>
      <c r="I327" s="31"/>
    </row>
    <row r="328" spans="1:16" x14ac:dyDescent="0.2">
      <c r="A328" s="133" t="s">
        <v>140</v>
      </c>
      <c r="B328" s="134" t="s">
        <v>66</v>
      </c>
      <c r="C328" s="179"/>
      <c r="D328" s="180"/>
      <c r="E328" s="181"/>
      <c r="F328" s="182"/>
      <c r="G328" s="183">
        <f t="shared" ref="G328" si="41">(D328*E328)+(D328*F328)</f>
        <v>0</v>
      </c>
    </row>
    <row r="329" spans="1:16" x14ac:dyDescent="0.2">
      <c r="A329" s="186" t="s">
        <v>171</v>
      </c>
      <c r="B329" s="187" t="s">
        <v>300</v>
      </c>
      <c r="C329" s="188"/>
      <c r="D329" s="189"/>
      <c r="E329" s="190"/>
      <c r="F329" s="145"/>
      <c r="G329" s="146"/>
    </row>
    <row r="330" spans="1:16" x14ac:dyDescent="0.2">
      <c r="A330" s="147" t="s">
        <v>194</v>
      </c>
      <c r="B330" s="148" t="s">
        <v>451</v>
      </c>
      <c r="C330" s="149" t="s">
        <v>138</v>
      </c>
      <c r="D330" s="150">
        <f>I333/1000</f>
        <v>1.5929760000000002</v>
      </c>
      <c r="E330" s="185"/>
      <c r="F330" s="145"/>
      <c r="G330" s="146">
        <f t="shared" ref="G330:G341" si="42">(D330*E330)+(D330*F330)</f>
        <v>0</v>
      </c>
    </row>
    <row r="331" spans="1:16" x14ac:dyDescent="0.2">
      <c r="A331" s="151"/>
      <c r="B331" s="148" t="s">
        <v>240</v>
      </c>
      <c r="C331" s="149" t="s">
        <v>8</v>
      </c>
      <c r="D331" s="150">
        <v>136</v>
      </c>
      <c r="E331" s="185"/>
      <c r="F331" s="145"/>
      <c r="G331" s="146">
        <f t="shared" si="42"/>
        <v>0</v>
      </c>
      <c r="I331" s="31">
        <f>D331*1.58*6</f>
        <v>1289.28</v>
      </c>
      <c r="J331" s="22">
        <f>19.4*3+6.5+9.8+10.7</f>
        <v>85.199999999999989</v>
      </c>
      <c r="K331" s="22">
        <f>J331/0.15</f>
        <v>568</v>
      </c>
      <c r="L331" s="22">
        <f>K331*2</f>
        <v>1136</v>
      </c>
      <c r="M331" s="22">
        <f>L331/5</f>
        <v>227.2</v>
      </c>
    </row>
    <row r="332" spans="1:16" x14ac:dyDescent="0.2">
      <c r="A332" s="147"/>
      <c r="B332" s="148" t="s">
        <v>243</v>
      </c>
      <c r="C332" s="149" t="s">
        <v>8</v>
      </c>
      <c r="D332" s="150">
        <v>228</v>
      </c>
      <c r="E332" s="185"/>
      <c r="F332" s="145"/>
      <c r="G332" s="146">
        <f t="shared" si="42"/>
        <v>0</v>
      </c>
      <c r="I332" s="31">
        <f>0.222*D332*6</f>
        <v>303.69600000000003</v>
      </c>
    </row>
    <row r="333" spans="1:16" x14ac:dyDescent="0.2">
      <c r="A333" s="147"/>
      <c r="B333" s="148" t="s">
        <v>14</v>
      </c>
      <c r="C333" s="149" t="s">
        <v>9</v>
      </c>
      <c r="D333" s="150">
        <f>D330*20</f>
        <v>31.859520000000003</v>
      </c>
      <c r="E333" s="185"/>
      <c r="F333" s="145"/>
      <c r="G333" s="146">
        <f t="shared" si="42"/>
        <v>0</v>
      </c>
      <c r="I333" s="31">
        <f>SUM(I331:I332)</f>
        <v>1592.9760000000001</v>
      </c>
      <c r="J333" s="31"/>
    </row>
    <row r="334" spans="1:16" x14ac:dyDescent="0.2">
      <c r="A334" s="147" t="s">
        <v>195</v>
      </c>
      <c r="B334" s="148" t="s">
        <v>458</v>
      </c>
      <c r="C334" s="149" t="s">
        <v>138</v>
      </c>
      <c r="D334" s="150">
        <f>I337/1000</f>
        <v>0.81709200000000015</v>
      </c>
      <c r="E334" s="185"/>
      <c r="F334" s="145"/>
      <c r="G334" s="146">
        <f t="shared" ref="G334:G337" si="43">(D334*E334)+(D334*F334)</f>
        <v>0</v>
      </c>
      <c r="I334" s="31"/>
      <c r="J334" s="31"/>
    </row>
    <row r="335" spans="1:16" x14ac:dyDescent="0.2">
      <c r="A335" s="147"/>
      <c r="B335" s="148" t="s">
        <v>240</v>
      </c>
      <c r="C335" s="149" t="s">
        <v>8</v>
      </c>
      <c r="D335" s="150">
        <v>72</v>
      </c>
      <c r="E335" s="185"/>
      <c r="F335" s="145"/>
      <c r="G335" s="146">
        <f t="shared" si="43"/>
        <v>0</v>
      </c>
      <c r="I335" s="31">
        <f>D335*1.58*6</f>
        <v>682.56000000000006</v>
      </c>
      <c r="J335" s="22">
        <f>13.7*2+10.7+3.4+12.9</f>
        <v>54.399999999999991</v>
      </c>
      <c r="K335" s="22">
        <f>J335/0.15</f>
        <v>362.66666666666663</v>
      </c>
      <c r="L335" s="22">
        <f>J335/3</f>
        <v>18.133333333333329</v>
      </c>
      <c r="M335" s="22">
        <f>L335*2</f>
        <v>36.266666666666659</v>
      </c>
      <c r="N335" s="22">
        <f>M335/0.15</f>
        <v>241.77777777777774</v>
      </c>
      <c r="O335" s="22">
        <f>N335+K335</f>
        <v>604.44444444444434</v>
      </c>
      <c r="P335" s="22">
        <f>O335/6</f>
        <v>100.74074074074072</v>
      </c>
    </row>
    <row r="336" spans="1:16" x14ac:dyDescent="0.2">
      <c r="A336" s="147"/>
      <c r="B336" s="148" t="s">
        <v>243</v>
      </c>
      <c r="C336" s="149" t="s">
        <v>8</v>
      </c>
      <c r="D336" s="150">
        <v>101</v>
      </c>
      <c r="E336" s="185"/>
      <c r="F336" s="145"/>
      <c r="G336" s="146">
        <f t="shared" si="43"/>
        <v>0</v>
      </c>
      <c r="I336" s="31">
        <f>0.222*D336*6</f>
        <v>134.53200000000001</v>
      </c>
    </row>
    <row r="337" spans="1:17" x14ac:dyDescent="0.2">
      <c r="A337" s="147"/>
      <c r="B337" s="148" t="s">
        <v>14</v>
      </c>
      <c r="C337" s="149" t="s">
        <v>9</v>
      </c>
      <c r="D337" s="150">
        <f>D334*20</f>
        <v>16.341840000000005</v>
      </c>
      <c r="E337" s="185"/>
      <c r="F337" s="145"/>
      <c r="G337" s="146">
        <f t="shared" si="43"/>
        <v>0</v>
      </c>
      <c r="I337" s="31">
        <f>SUM(I335:I336)</f>
        <v>817.0920000000001</v>
      </c>
      <c r="J337" s="31"/>
    </row>
    <row r="338" spans="1:17" x14ac:dyDescent="0.2">
      <c r="A338" s="186" t="s">
        <v>172</v>
      </c>
      <c r="B338" s="187" t="s">
        <v>297</v>
      </c>
      <c r="C338" s="188" t="s">
        <v>138</v>
      </c>
      <c r="D338" s="189">
        <f>I341/1000</f>
        <v>3.7456259999999997</v>
      </c>
      <c r="E338" s="190"/>
      <c r="F338" s="145"/>
      <c r="G338" s="146">
        <f t="shared" si="42"/>
        <v>0</v>
      </c>
      <c r="H338" s="38"/>
      <c r="I338" s="34"/>
      <c r="J338" s="22">
        <f>19.4*10.7</f>
        <v>207.57999999999998</v>
      </c>
      <c r="K338" s="22">
        <f>9.8*3</f>
        <v>29.400000000000002</v>
      </c>
      <c r="L338" s="22">
        <f>SUM(J338:K338)</f>
        <v>236.98</v>
      </c>
      <c r="M338" s="22">
        <f>4.15*2.815</f>
        <v>11.682250000000002</v>
      </c>
      <c r="N338" s="22">
        <f>L338-M338</f>
        <v>225.29774999999998</v>
      </c>
      <c r="O338" s="22">
        <f>1.9*2</f>
        <v>3.8</v>
      </c>
      <c r="Q338" s="22">
        <f>SUM(N338:O338)</f>
        <v>229.09774999999999</v>
      </c>
    </row>
    <row r="339" spans="1:17" x14ac:dyDescent="0.2">
      <c r="A339" s="191" t="s">
        <v>183</v>
      </c>
      <c r="B339" s="148" t="s">
        <v>242</v>
      </c>
      <c r="C339" s="193" t="s">
        <v>8</v>
      </c>
      <c r="D339" s="194">
        <v>983</v>
      </c>
      <c r="E339" s="195"/>
      <c r="F339" s="196"/>
      <c r="G339" s="146">
        <f t="shared" si="42"/>
        <v>0</v>
      </c>
      <c r="H339" s="38"/>
      <c r="I339" s="31">
        <f>0.617*D339*6</f>
        <v>3639.0659999999998</v>
      </c>
      <c r="K339" s="22">
        <f>Q338*14</f>
        <v>3207.3685</v>
      </c>
      <c r="L339" s="22">
        <f>K339*75%</f>
        <v>2405.5263749999999</v>
      </c>
      <c r="M339" s="22">
        <f>SUM(K339:L339)</f>
        <v>5612.894875</v>
      </c>
      <c r="N339" s="22">
        <f>M339/6</f>
        <v>935.48247916666662</v>
      </c>
      <c r="O339" s="22">
        <f>N339*105%</f>
        <v>982.25660312499997</v>
      </c>
    </row>
    <row r="340" spans="1:17" x14ac:dyDescent="0.2">
      <c r="A340" s="191"/>
      <c r="B340" s="148" t="s">
        <v>241</v>
      </c>
      <c r="C340" s="193" t="s">
        <v>8</v>
      </c>
      <c r="D340" s="194">
        <v>20</v>
      </c>
      <c r="E340" s="195"/>
      <c r="F340" s="196"/>
      <c r="G340" s="146">
        <f t="shared" ref="G340" si="44">(D340*E340)+(D340*F340)</f>
        <v>0</v>
      </c>
      <c r="H340" s="38"/>
      <c r="I340" s="31">
        <f>0.888*D340*6</f>
        <v>106.56</v>
      </c>
    </row>
    <row r="341" spans="1:17" x14ac:dyDescent="0.2">
      <c r="A341" s="191"/>
      <c r="B341" s="192" t="s">
        <v>14</v>
      </c>
      <c r="C341" s="193" t="s">
        <v>9</v>
      </c>
      <c r="D341" s="194">
        <f>D338*15</f>
        <v>56.184389999999993</v>
      </c>
      <c r="E341" s="195"/>
      <c r="F341" s="196"/>
      <c r="G341" s="146">
        <f t="shared" si="42"/>
        <v>0</v>
      </c>
      <c r="H341" s="38"/>
      <c r="I341" s="31">
        <f>SUM(I338:I340)</f>
        <v>3745.6259999999997</v>
      </c>
    </row>
    <row r="342" spans="1:17" x14ac:dyDescent="0.2">
      <c r="A342" s="186" t="s">
        <v>185</v>
      </c>
      <c r="B342" s="187" t="s">
        <v>180</v>
      </c>
      <c r="C342" s="188"/>
      <c r="D342" s="189"/>
      <c r="E342" s="190"/>
      <c r="F342" s="145"/>
      <c r="G342" s="146"/>
    </row>
    <row r="343" spans="1:17" x14ac:dyDescent="0.2">
      <c r="A343" s="147"/>
      <c r="B343" s="202" t="s">
        <v>470</v>
      </c>
      <c r="C343" s="153" t="s">
        <v>138</v>
      </c>
      <c r="D343" s="154">
        <f>I346/1000</f>
        <v>0.51098399999999999</v>
      </c>
      <c r="E343" s="185"/>
      <c r="F343" s="145"/>
      <c r="G343" s="146">
        <f t="shared" ref="G343:G367" si="45">(D343*E343)+(D343*F343)</f>
        <v>0</v>
      </c>
    </row>
    <row r="344" spans="1:17" x14ac:dyDescent="0.2">
      <c r="A344" s="151"/>
      <c r="B344" s="148" t="s">
        <v>240</v>
      </c>
      <c r="C344" s="149" t="s">
        <v>8</v>
      </c>
      <c r="D344" s="150">
        <v>48</v>
      </c>
      <c r="E344" s="185"/>
      <c r="F344" s="145"/>
      <c r="G344" s="146">
        <f t="shared" si="45"/>
        <v>0</v>
      </c>
      <c r="I344" s="31">
        <f>D344*1.58*6</f>
        <v>455.04</v>
      </c>
      <c r="J344" s="22">
        <f>4*29</f>
        <v>116</v>
      </c>
      <c r="L344" s="22">
        <f>5.025/0.15</f>
        <v>33.500000000000007</v>
      </c>
      <c r="M344" s="22">
        <f>35*29</f>
        <v>1015</v>
      </c>
      <c r="N344" s="22">
        <f>M344/11</f>
        <v>92.272727272727266</v>
      </c>
    </row>
    <row r="345" spans="1:17" x14ac:dyDescent="0.2">
      <c r="A345" s="147"/>
      <c r="B345" s="148" t="s">
        <v>243</v>
      </c>
      <c r="C345" s="149" t="s">
        <v>8</v>
      </c>
      <c r="D345" s="150">
        <v>42</v>
      </c>
      <c r="E345" s="185"/>
      <c r="F345" s="145"/>
      <c r="G345" s="146">
        <f t="shared" si="45"/>
        <v>0</v>
      </c>
      <c r="I345" s="31">
        <f>0.222*D345*6</f>
        <v>55.944000000000003</v>
      </c>
    </row>
    <row r="346" spans="1:17" x14ac:dyDescent="0.2">
      <c r="A346" s="147"/>
      <c r="B346" s="192" t="s">
        <v>14</v>
      </c>
      <c r="C346" s="193" t="s">
        <v>9</v>
      </c>
      <c r="D346" s="194">
        <f>D343*20</f>
        <v>10.21968</v>
      </c>
      <c r="E346" s="195"/>
      <c r="F346" s="196"/>
      <c r="G346" s="197">
        <f t="shared" si="45"/>
        <v>0</v>
      </c>
      <c r="I346" s="31">
        <f>SUM(I344:I345)</f>
        <v>510.98400000000004</v>
      </c>
      <c r="J346" s="31"/>
    </row>
    <row r="347" spans="1:17" x14ac:dyDescent="0.2">
      <c r="A347" s="147"/>
      <c r="B347" s="202" t="s">
        <v>471</v>
      </c>
      <c r="C347" s="153" t="s">
        <v>138</v>
      </c>
      <c r="D347" s="154">
        <f>I350/1000</f>
        <v>0.17017200000000002</v>
      </c>
      <c r="E347" s="185"/>
      <c r="F347" s="145"/>
      <c r="G347" s="146">
        <f t="shared" si="45"/>
        <v>0</v>
      </c>
      <c r="I347" s="31"/>
      <c r="J347" s="31"/>
    </row>
    <row r="348" spans="1:17" x14ac:dyDescent="0.2">
      <c r="A348" s="147"/>
      <c r="B348" s="148" t="s">
        <v>240</v>
      </c>
      <c r="C348" s="149" t="s">
        <v>8</v>
      </c>
      <c r="D348" s="150">
        <v>15</v>
      </c>
      <c r="E348" s="185"/>
      <c r="F348" s="145"/>
      <c r="G348" s="146">
        <f t="shared" si="45"/>
        <v>0</v>
      </c>
      <c r="I348" s="31">
        <f>D348*1.58*6</f>
        <v>142.20000000000002</v>
      </c>
      <c r="J348" s="22">
        <f>6*4</f>
        <v>24</v>
      </c>
    </row>
    <row r="349" spans="1:17" x14ac:dyDescent="0.2">
      <c r="A349" s="147"/>
      <c r="B349" s="148" t="s">
        <v>243</v>
      </c>
      <c r="C349" s="149" t="s">
        <v>8</v>
      </c>
      <c r="D349" s="150">
        <v>21</v>
      </c>
      <c r="E349" s="185"/>
      <c r="F349" s="145"/>
      <c r="G349" s="146">
        <f t="shared" si="45"/>
        <v>0</v>
      </c>
      <c r="I349" s="31">
        <f>0.222*D349*6</f>
        <v>27.972000000000001</v>
      </c>
    </row>
    <row r="350" spans="1:17" x14ac:dyDescent="0.2">
      <c r="A350" s="147"/>
      <c r="B350" s="148" t="s">
        <v>14</v>
      </c>
      <c r="C350" s="149" t="s">
        <v>9</v>
      </c>
      <c r="D350" s="150">
        <f>D347*20</f>
        <v>3.4034400000000002</v>
      </c>
      <c r="E350" s="185"/>
      <c r="F350" s="145"/>
      <c r="G350" s="146">
        <f t="shared" si="45"/>
        <v>0</v>
      </c>
      <c r="I350" s="31">
        <f>SUM(I348:I349)</f>
        <v>170.17200000000003</v>
      </c>
      <c r="J350" s="31"/>
    </row>
    <row r="351" spans="1:17" x14ac:dyDescent="0.2">
      <c r="A351" s="147"/>
      <c r="B351" s="202" t="s">
        <v>474</v>
      </c>
      <c r="C351" s="153" t="s">
        <v>138</v>
      </c>
      <c r="D351" s="154">
        <f>I354/1000</f>
        <v>0.41587200000000002</v>
      </c>
      <c r="E351" s="185"/>
      <c r="F351" s="145"/>
      <c r="G351" s="146">
        <f t="shared" si="45"/>
        <v>0</v>
      </c>
      <c r="I351" s="31"/>
      <c r="J351" s="31"/>
    </row>
    <row r="352" spans="1:17" x14ac:dyDescent="0.2">
      <c r="A352" s="147"/>
      <c r="B352" s="148" t="s">
        <v>240</v>
      </c>
      <c r="C352" s="149" t="s">
        <v>8</v>
      </c>
      <c r="D352" s="150">
        <v>36</v>
      </c>
      <c r="E352" s="185"/>
      <c r="F352" s="145"/>
      <c r="G352" s="146">
        <f t="shared" si="45"/>
        <v>0</v>
      </c>
      <c r="I352" s="31">
        <f>D352*1.58*6</f>
        <v>341.28000000000003</v>
      </c>
      <c r="J352" s="22">
        <f>6*4</f>
        <v>24</v>
      </c>
    </row>
    <row r="353" spans="1:11" x14ac:dyDescent="0.2">
      <c r="A353" s="147"/>
      <c r="B353" s="148" t="s">
        <v>243</v>
      </c>
      <c r="C353" s="149" t="s">
        <v>8</v>
      </c>
      <c r="D353" s="150">
        <v>56</v>
      </c>
      <c r="E353" s="185"/>
      <c r="F353" s="145"/>
      <c r="G353" s="146">
        <f t="shared" si="45"/>
        <v>0</v>
      </c>
      <c r="I353" s="31">
        <f>0.222*D353*6</f>
        <v>74.591999999999999</v>
      </c>
    </row>
    <row r="354" spans="1:11" x14ac:dyDescent="0.2">
      <c r="A354" s="147"/>
      <c r="B354" s="148" t="s">
        <v>14</v>
      </c>
      <c r="C354" s="149" t="s">
        <v>9</v>
      </c>
      <c r="D354" s="150">
        <f>D351*20</f>
        <v>8.3174400000000013</v>
      </c>
      <c r="E354" s="185"/>
      <c r="F354" s="145"/>
      <c r="G354" s="146">
        <f t="shared" si="45"/>
        <v>0</v>
      </c>
      <c r="I354" s="31">
        <f>SUM(I352:I353)</f>
        <v>415.87200000000001</v>
      </c>
      <c r="J354" s="31"/>
    </row>
    <row r="355" spans="1:11" x14ac:dyDescent="0.2">
      <c r="A355" s="147"/>
      <c r="B355" s="202" t="s">
        <v>472</v>
      </c>
      <c r="C355" s="153" t="s">
        <v>138</v>
      </c>
      <c r="D355" s="154">
        <f>I358/1000</f>
        <v>0.28238400000000002</v>
      </c>
      <c r="E355" s="185"/>
      <c r="F355" s="145"/>
      <c r="G355" s="146">
        <f t="shared" si="45"/>
        <v>0</v>
      </c>
      <c r="I355" s="31"/>
      <c r="J355" s="31"/>
    </row>
    <row r="356" spans="1:11" x14ac:dyDescent="0.2">
      <c r="A356" s="147"/>
      <c r="B356" s="148" t="s">
        <v>241</v>
      </c>
      <c r="C356" s="149" t="s">
        <v>8</v>
      </c>
      <c r="D356" s="150">
        <v>48</v>
      </c>
      <c r="E356" s="185"/>
      <c r="F356" s="145"/>
      <c r="G356" s="146">
        <f t="shared" si="45"/>
        <v>0</v>
      </c>
      <c r="I356" s="31">
        <f>D356*0.888*6</f>
        <v>255.74400000000003</v>
      </c>
      <c r="J356" s="22">
        <f>6*4</f>
        <v>24</v>
      </c>
    </row>
    <row r="357" spans="1:11" x14ac:dyDescent="0.2">
      <c r="A357" s="147"/>
      <c r="B357" s="148" t="s">
        <v>243</v>
      </c>
      <c r="C357" s="149" t="s">
        <v>8</v>
      </c>
      <c r="D357" s="150">
        <v>20</v>
      </c>
      <c r="E357" s="185"/>
      <c r="F357" s="145"/>
      <c r="G357" s="146">
        <f t="shared" si="45"/>
        <v>0</v>
      </c>
      <c r="I357" s="31">
        <f>0.222*D357*6</f>
        <v>26.64</v>
      </c>
    </row>
    <row r="358" spans="1:11" x14ac:dyDescent="0.2">
      <c r="A358" s="147"/>
      <c r="B358" s="148" t="s">
        <v>14</v>
      </c>
      <c r="C358" s="149" t="s">
        <v>9</v>
      </c>
      <c r="D358" s="150">
        <f>D355*20</f>
        <v>5.6476800000000003</v>
      </c>
      <c r="E358" s="185"/>
      <c r="F358" s="145"/>
      <c r="G358" s="146">
        <f t="shared" si="45"/>
        <v>0</v>
      </c>
      <c r="I358" s="31">
        <f>SUM(I356:I357)</f>
        <v>282.38400000000001</v>
      </c>
      <c r="J358" s="31"/>
    </row>
    <row r="359" spans="1:11" x14ac:dyDescent="0.2">
      <c r="A359" s="147"/>
      <c r="B359" s="202" t="s">
        <v>473</v>
      </c>
      <c r="C359" s="153" t="s">
        <v>138</v>
      </c>
      <c r="D359" s="154">
        <f>I362/1000</f>
        <v>0.11061</v>
      </c>
      <c r="E359" s="185"/>
      <c r="F359" s="145"/>
      <c r="G359" s="146">
        <f t="shared" si="45"/>
        <v>0</v>
      </c>
      <c r="I359" s="31"/>
      <c r="J359" s="31"/>
    </row>
    <row r="360" spans="1:11" x14ac:dyDescent="0.2">
      <c r="A360" s="147"/>
      <c r="B360" s="148" t="s">
        <v>242</v>
      </c>
      <c r="C360" s="149" t="s">
        <v>8</v>
      </c>
      <c r="D360" s="150">
        <v>27</v>
      </c>
      <c r="E360" s="185"/>
      <c r="F360" s="145"/>
      <c r="G360" s="146">
        <f t="shared" si="45"/>
        <v>0</v>
      </c>
      <c r="I360" s="31">
        <f>D360*0.617*6</f>
        <v>99.953999999999994</v>
      </c>
      <c r="J360" s="31">
        <f>33*6</f>
        <v>198</v>
      </c>
      <c r="K360" s="48">
        <f>J360/18</f>
        <v>11</v>
      </c>
    </row>
    <row r="361" spans="1:11" x14ac:dyDescent="0.2">
      <c r="A361" s="147"/>
      <c r="B361" s="148" t="s">
        <v>243</v>
      </c>
      <c r="C361" s="149" t="s">
        <v>8</v>
      </c>
      <c r="D361" s="150">
        <v>8</v>
      </c>
      <c r="E361" s="185"/>
      <c r="F361" s="145"/>
      <c r="G361" s="146">
        <f t="shared" si="45"/>
        <v>0</v>
      </c>
      <c r="I361" s="31">
        <f>0.222*D361*6</f>
        <v>10.656000000000001</v>
      </c>
      <c r="J361" s="31"/>
    </row>
    <row r="362" spans="1:11" ht="12.75" thickBot="1" x14ac:dyDescent="0.25">
      <c r="A362" s="158"/>
      <c r="B362" s="577" t="s">
        <v>14</v>
      </c>
      <c r="C362" s="209" t="s">
        <v>9</v>
      </c>
      <c r="D362" s="159">
        <f>D359*20</f>
        <v>2.2122000000000002</v>
      </c>
      <c r="E362" s="206"/>
      <c r="F362" s="161"/>
      <c r="G362" s="162">
        <f t="shared" si="45"/>
        <v>0</v>
      </c>
      <c r="I362" s="31">
        <f>SUM(I360:I361)</f>
        <v>110.61</v>
      </c>
      <c r="J362" s="31"/>
    </row>
    <row r="363" spans="1:11" x14ac:dyDescent="0.2">
      <c r="A363" s="147"/>
      <c r="B363" s="148"/>
      <c r="C363" s="149"/>
      <c r="D363" s="150"/>
      <c r="E363" s="185"/>
      <c r="F363" s="145"/>
      <c r="G363" s="146"/>
      <c r="I363" s="31"/>
      <c r="J363" s="31"/>
    </row>
    <row r="364" spans="1:11" x14ac:dyDescent="0.2">
      <c r="A364" s="151" t="s">
        <v>186</v>
      </c>
      <c r="B364" s="187" t="s">
        <v>208</v>
      </c>
      <c r="C364" s="188" t="s">
        <v>138</v>
      </c>
      <c r="D364" s="189">
        <f>I366/1000</f>
        <v>0.33688200000000001</v>
      </c>
      <c r="E364" s="190"/>
      <c r="F364" s="145"/>
      <c r="G364" s="146">
        <f t="shared" si="45"/>
        <v>0</v>
      </c>
      <c r="H364" s="38"/>
      <c r="I364" s="34"/>
    </row>
    <row r="365" spans="1:11" x14ac:dyDescent="0.2">
      <c r="A365" s="147"/>
      <c r="B365" s="148" t="s">
        <v>242</v>
      </c>
      <c r="C365" s="193" t="s">
        <v>8</v>
      </c>
      <c r="D365" s="194">
        <v>91</v>
      </c>
      <c r="E365" s="195"/>
      <c r="F365" s="196"/>
      <c r="G365" s="146">
        <f t="shared" si="45"/>
        <v>0</v>
      </c>
      <c r="H365" s="38"/>
      <c r="I365" s="31">
        <f>0.617*D365*6</f>
        <v>336.88200000000001</v>
      </c>
    </row>
    <row r="366" spans="1:11" x14ac:dyDescent="0.2">
      <c r="A366" s="147"/>
      <c r="B366" s="192" t="s">
        <v>14</v>
      </c>
      <c r="C366" s="193" t="s">
        <v>9</v>
      </c>
      <c r="D366" s="194">
        <f>D364*20</f>
        <v>6.7376400000000007</v>
      </c>
      <c r="E366" s="195"/>
      <c r="F366" s="196"/>
      <c r="G366" s="146">
        <f t="shared" si="45"/>
        <v>0</v>
      </c>
      <c r="H366" s="38"/>
      <c r="I366" s="31">
        <f>SUM(I364:I365)</f>
        <v>336.88200000000001</v>
      </c>
    </row>
    <row r="367" spans="1:11" x14ac:dyDescent="0.2">
      <c r="A367" s="133" t="s">
        <v>455</v>
      </c>
      <c r="B367" s="134" t="s">
        <v>454</v>
      </c>
      <c r="C367" s="179"/>
      <c r="D367" s="180"/>
      <c r="E367" s="181"/>
      <c r="F367" s="182"/>
      <c r="G367" s="183">
        <f t="shared" si="45"/>
        <v>0</v>
      </c>
    </row>
    <row r="368" spans="1:11" x14ac:dyDescent="0.2">
      <c r="A368" s="186" t="s">
        <v>171</v>
      </c>
      <c r="B368" s="187" t="s">
        <v>300</v>
      </c>
      <c r="C368" s="188"/>
      <c r="D368" s="189"/>
      <c r="E368" s="190"/>
      <c r="F368" s="145"/>
      <c r="G368" s="146"/>
    </row>
    <row r="369" spans="1:17" x14ac:dyDescent="0.2">
      <c r="A369" s="147" t="s">
        <v>194</v>
      </c>
      <c r="B369" s="148" t="s">
        <v>451</v>
      </c>
      <c r="C369" s="149" t="s">
        <v>138</v>
      </c>
      <c r="D369" s="150">
        <f>I372/1000</f>
        <v>1.5929760000000002</v>
      </c>
      <c r="E369" s="185"/>
      <c r="F369" s="145"/>
      <c r="G369" s="146">
        <f t="shared" ref="G369:G380" si="46">(D369*E369)+(D369*F369)</f>
        <v>0</v>
      </c>
    </row>
    <row r="370" spans="1:17" x14ac:dyDescent="0.2">
      <c r="A370" s="151"/>
      <c r="B370" s="148" t="s">
        <v>240</v>
      </c>
      <c r="C370" s="149" t="s">
        <v>8</v>
      </c>
      <c r="D370" s="150">
        <v>136</v>
      </c>
      <c r="E370" s="185"/>
      <c r="F370" s="145"/>
      <c r="G370" s="146">
        <f t="shared" si="46"/>
        <v>0</v>
      </c>
      <c r="I370" s="31">
        <f>D370*1.58*6</f>
        <v>1289.28</v>
      </c>
      <c r="J370" s="22">
        <f>19.4*3+6.5+9.8+10.7</f>
        <v>85.199999999999989</v>
      </c>
      <c r="K370" s="22">
        <f>J370/0.15</f>
        <v>568</v>
      </c>
      <c r="L370" s="22">
        <f>K370*2</f>
        <v>1136</v>
      </c>
      <c r="M370" s="22">
        <f>L370/5</f>
        <v>227.2</v>
      </c>
    </row>
    <row r="371" spans="1:17" x14ac:dyDescent="0.2">
      <c r="A371" s="147"/>
      <c r="B371" s="148" t="s">
        <v>243</v>
      </c>
      <c r="C371" s="149" t="s">
        <v>8</v>
      </c>
      <c r="D371" s="150">
        <v>228</v>
      </c>
      <c r="E371" s="185"/>
      <c r="F371" s="145"/>
      <c r="G371" s="146">
        <f t="shared" si="46"/>
        <v>0</v>
      </c>
      <c r="I371" s="31">
        <f>0.222*D371*6</f>
        <v>303.69600000000003</v>
      </c>
    </row>
    <row r="372" spans="1:17" x14ac:dyDescent="0.2">
      <c r="A372" s="147"/>
      <c r="B372" s="148" t="s">
        <v>14</v>
      </c>
      <c r="C372" s="149" t="s">
        <v>9</v>
      </c>
      <c r="D372" s="150">
        <f>D369*20</f>
        <v>31.859520000000003</v>
      </c>
      <c r="E372" s="185"/>
      <c r="F372" s="145"/>
      <c r="G372" s="146">
        <f t="shared" si="46"/>
        <v>0</v>
      </c>
      <c r="I372" s="31">
        <f>SUM(I370:I371)</f>
        <v>1592.9760000000001</v>
      </c>
      <c r="J372" s="31"/>
    </row>
    <row r="373" spans="1:17" x14ac:dyDescent="0.2">
      <c r="A373" s="147" t="s">
        <v>195</v>
      </c>
      <c r="B373" s="148" t="s">
        <v>458</v>
      </c>
      <c r="C373" s="149" t="s">
        <v>138</v>
      </c>
      <c r="D373" s="150">
        <f>I376/1000</f>
        <v>0.81709200000000015</v>
      </c>
      <c r="E373" s="185"/>
      <c r="F373" s="145"/>
      <c r="G373" s="146">
        <f t="shared" si="46"/>
        <v>0</v>
      </c>
      <c r="I373" s="31"/>
      <c r="J373" s="31"/>
    </row>
    <row r="374" spans="1:17" x14ac:dyDescent="0.2">
      <c r="A374" s="147"/>
      <c r="B374" s="148" t="s">
        <v>240</v>
      </c>
      <c r="C374" s="149" t="s">
        <v>8</v>
      </c>
      <c r="D374" s="150">
        <v>72</v>
      </c>
      <c r="E374" s="185"/>
      <c r="F374" s="145"/>
      <c r="G374" s="146">
        <f t="shared" si="46"/>
        <v>0</v>
      </c>
      <c r="I374" s="31">
        <f>D374*1.58*6</f>
        <v>682.56000000000006</v>
      </c>
      <c r="J374" s="22">
        <f>13.7*2+10.7+3.4+12.9</f>
        <v>54.399999999999991</v>
      </c>
      <c r="K374" s="22">
        <f>J374/0.15</f>
        <v>362.66666666666663</v>
      </c>
      <c r="L374" s="22">
        <f>J374/3</f>
        <v>18.133333333333329</v>
      </c>
      <c r="M374" s="22">
        <f>L374*2</f>
        <v>36.266666666666659</v>
      </c>
      <c r="N374" s="22">
        <f>M374/0.15</f>
        <v>241.77777777777774</v>
      </c>
      <c r="O374" s="22">
        <f>N374+K374</f>
        <v>604.44444444444434</v>
      </c>
      <c r="P374" s="22">
        <f>O374/6</f>
        <v>100.74074074074072</v>
      </c>
    </row>
    <row r="375" spans="1:17" x14ac:dyDescent="0.2">
      <c r="A375" s="147"/>
      <c r="B375" s="148" t="s">
        <v>243</v>
      </c>
      <c r="C375" s="149" t="s">
        <v>8</v>
      </c>
      <c r="D375" s="150">
        <v>101</v>
      </c>
      <c r="E375" s="185"/>
      <c r="F375" s="145"/>
      <c r="G375" s="146">
        <f t="shared" si="46"/>
        <v>0</v>
      </c>
      <c r="I375" s="31">
        <f>0.222*D375*6</f>
        <v>134.53200000000001</v>
      </c>
    </row>
    <row r="376" spans="1:17" x14ac:dyDescent="0.2">
      <c r="A376" s="147"/>
      <c r="B376" s="148" t="s">
        <v>14</v>
      </c>
      <c r="C376" s="149" t="s">
        <v>9</v>
      </c>
      <c r="D376" s="150">
        <f>D373*20</f>
        <v>16.341840000000005</v>
      </c>
      <c r="E376" s="185"/>
      <c r="F376" s="145"/>
      <c r="G376" s="146">
        <f t="shared" si="46"/>
        <v>0</v>
      </c>
      <c r="I376" s="31">
        <f>SUM(I374:I375)</f>
        <v>817.0920000000001</v>
      </c>
      <c r="J376" s="31"/>
    </row>
    <row r="377" spans="1:17" x14ac:dyDescent="0.2">
      <c r="A377" s="186" t="s">
        <v>172</v>
      </c>
      <c r="B377" s="187" t="s">
        <v>297</v>
      </c>
      <c r="C377" s="188" t="s">
        <v>138</v>
      </c>
      <c r="D377" s="189">
        <f>I380/1000</f>
        <v>3.7456259999999997</v>
      </c>
      <c r="E377" s="190"/>
      <c r="F377" s="145"/>
      <c r="G377" s="146">
        <f t="shared" si="46"/>
        <v>0</v>
      </c>
      <c r="H377" s="38"/>
      <c r="I377" s="34"/>
      <c r="J377" s="22">
        <f>19.4*10.7</f>
        <v>207.57999999999998</v>
      </c>
      <c r="K377" s="22">
        <f>9.8*3</f>
        <v>29.400000000000002</v>
      </c>
      <c r="L377" s="22">
        <f>SUM(J377:K377)</f>
        <v>236.98</v>
      </c>
      <c r="M377" s="22">
        <f>4.15*2.815</f>
        <v>11.682250000000002</v>
      </c>
      <c r="N377" s="22">
        <f>L377-M377</f>
        <v>225.29774999999998</v>
      </c>
      <c r="O377" s="22">
        <f>1.9*2</f>
        <v>3.8</v>
      </c>
      <c r="Q377" s="22">
        <f>SUM(N377:O377)</f>
        <v>229.09774999999999</v>
      </c>
    </row>
    <row r="378" spans="1:17" x14ac:dyDescent="0.2">
      <c r="A378" s="191" t="s">
        <v>183</v>
      </c>
      <c r="B378" s="148" t="s">
        <v>242</v>
      </c>
      <c r="C378" s="193" t="s">
        <v>8</v>
      </c>
      <c r="D378" s="194">
        <v>983</v>
      </c>
      <c r="E378" s="195"/>
      <c r="F378" s="196"/>
      <c r="G378" s="146">
        <f t="shared" si="46"/>
        <v>0</v>
      </c>
      <c r="H378" s="38"/>
      <c r="I378" s="31">
        <f>0.617*D378*6</f>
        <v>3639.0659999999998</v>
      </c>
      <c r="K378" s="22">
        <f>Q377*14</f>
        <v>3207.3685</v>
      </c>
      <c r="L378" s="22">
        <f>K378*75%</f>
        <v>2405.5263749999999</v>
      </c>
      <c r="M378" s="22">
        <f>SUM(K378:L378)</f>
        <v>5612.894875</v>
      </c>
      <c r="N378" s="22">
        <f>M378/6</f>
        <v>935.48247916666662</v>
      </c>
      <c r="O378" s="22">
        <f>N378*105%</f>
        <v>982.25660312499997</v>
      </c>
    </row>
    <row r="379" spans="1:17" x14ac:dyDescent="0.2">
      <c r="A379" s="191"/>
      <c r="B379" s="148" t="s">
        <v>241</v>
      </c>
      <c r="C379" s="193" t="s">
        <v>8</v>
      </c>
      <c r="D379" s="194">
        <v>20</v>
      </c>
      <c r="E379" s="195"/>
      <c r="F379" s="196"/>
      <c r="G379" s="146">
        <f t="shared" si="46"/>
        <v>0</v>
      </c>
      <c r="H379" s="38"/>
      <c r="I379" s="31">
        <f>0.888*D379*6</f>
        <v>106.56</v>
      </c>
    </row>
    <row r="380" spans="1:17" x14ac:dyDescent="0.2">
      <c r="A380" s="191"/>
      <c r="B380" s="192" t="s">
        <v>14</v>
      </c>
      <c r="C380" s="193" t="s">
        <v>9</v>
      </c>
      <c r="D380" s="194">
        <f>D377*15</f>
        <v>56.184389999999993</v>
      </c>
      <c r="E380" s="195"/>
      <c r="F380" s="196"/>
      <c r="G380" s="146">
        <f t="shared" si="46"/>
        <v>0</v>
      </c>
      <c r="H380" s="38"/>
      <c r="I380" s="31">
        <f>SUM(I377:I379)</f>
        <v>3745.6259999999997</v>
      </c>
    </row>
    <row r="381" spans="1:17" x14ac:dyDescent="0.2">
      <c r="A381" s="186" t="s">
        <v>185</v>
      </c>
      <c r="B381" s="187" t="s">
        <v>180</v>
      </c>
      <c r="C381" s="188"/>
      <c r="D381" s="189"/>
      <c r="E381" s="190"/>
      <c r="F381" s="145"/>
      <c r="G381" s="146"/>
    </row>
    <row r="382" spans="1:17" x14ac:dyDescent="0.2">
      <c r="A382" s="147"/>
      <c r="B382" s="202" t="s">
        <v>470</v>
      </c>
      <c r="C382" s="153" t="s">
        <v>138</v>
      </c>
      <c r="D382" s="154">
        <f>I385/1000</f>
        <v>0.51098399999999999</v>
      </c>
      <c r="E382" s="185"/>
      <c r="F382" s="145"/>
      <c r="G382" s="146">
        <f t="shared" ref="G382:G406" si="47">(D382*E382)+(D382*F382)</f>
        <v>0</v>
      </c>
    </row>
    <row r="383" spans="1:17" x14ac:dyDescent="0.2">
      <c r="A383" s="151"/>
      <c r="B383" s="148" t="s">
        <v>240</v>
      </c>
      <c r="C383" s="149" t="s">
        <v>8</v>
      </c>
      <c r="D383" s="150">
        <v>48</v>
      </c>
      <c r="E383" s="185"/>
      <c r="F383" s="145"/>
      <c r="G383" s="146">
        <f t="shared" si="47"/>
        <v>0</v>
      </c>
      <c r="I383" s="31">
        <f>D383*1.58*6</f>
        <v>455.04</v>
      </c>
      <c r="J383" s="22">
        <f>4*29</f>
        <v>116</v>
      </c>
      <c r="L383" s="22">
        <f>5.025/0.15</f>
        <v>33.500000000000007</v>
      </c>
      <c r="M383" s="22">
        <f>35*29</f>
        <v>1015</v>
      </c>
      <c r="N383" s="22">
        <f>M383/11</f>
        <v>92.272727272727266</v>
      </c>
    </row>
    <row r="384" spans="1:17" x14ac:dyDescent="0.2">
      <c r="A384" s="147"/>
      <c r="B384" s="148" t="s">
        <v>243</v>
      </c>
      <c r="C384" s="149" t="s">
        <v>8</v>
      </c>
      <c r="D384" s="150">
        <v>42</v>
      </c>
      <c r="E384" s="185"/>
      <c r="F384" s="145"/>
      <c r="G384" s="146">
        <f t="shared" si="47"/>
        <v>0</v>
      </c>
      <c r="I384" s="31">
        <f>0.222*D384*6</f>
        <v>55.944000000000003</v>
      </c>
    </row>
    <row r="385" spans="1:11" x14ac:dyDescent="0.2">
      <c r="A385" s="147"/>
      <c r="B385" s="192" t="s">
        <v>14</v>
      </c>
      <c r="C385" s="193" t="s">
        <v>9</v>
      </c>
      <c r="D385" s="194">
        <f>D382*20</f>
        <v>10.21968</v>
      </c>
      <c r="E385" s="195"/>
      <c r="F385" s="196"/>
      <c r="G385" s="197">
        <f t="shared" si="47"/>
        <v>0</v>
      </c>
      <c r="I385" s="31">
        <f>SUM(I383:I384)</f>
        <v>510.98400000000004</v>
      </c>
      <c r="J385" s="31"/>
    </row>
    <row r="386" spans="1:11" x14ac:dyDescent="0.2">
      <c r="A386" s="147"/>
      <c r="B386" s="202" t="s">
        <v>471</v>
      </c>
      <c r="C386" s="153" t="s">
        <v>138</v>
      </c>
      <c r="D386" s="154">
        <f>I389/1000</f>
        <v>0.17017200000000002</v>
      </c>
      <c r="E386" s="185"/>
      <c r="F386" s="145"/>
      <c r="G386" s="146">
        <f t="shared" si="47"/>
        <v>0</v>
      </c>
      <c r="I386" s="31"/>
      <c r="J386" s="31"/>
    </row>
    <row r="387" spans="1:11" x14ac:dyDescent="0.2">
      <c r="A387" s="147"/>
      <c r="B387" s="148" t="s">
        <v>240</v>
      </c>
      <c r="C387" s="149" t="s">
        <v>8</v>
      </c>
      <c r="D387" s="150">
        <v>15</v>
      </c>
      <c r="E387" s="185"/>
      <c r="F387" s="145"/>
      <c r="G387" s="146">
        <f t="shared" si="47"/>
        <v>0</v>
      </c>
      <c r="I387" s="31">
        <f>D387*1.58*6</f>
        <v>142.20000000000002</v>
      </c>
      <c r="J387" s="22">
        <f>6*4</f>
        <v>24</v>
      </c>
    </row>
    <row r="388" spans="1:11" x14ac:dyDescent="0.2">
      <c r="A388" s="147"/>
      <c r="B388" s="148" t="s">
        <v>243</v>
      </c>
      <c r="C388" s="149" t="s">
        <v>8</v>
      </c>
      <c r="D388" s="150">
        <v>21</v>
      </c>
      <c r="E388" s="185"/>
      <c r="F388" s="145"/>
      <c r="G388" s="146">
        <f t="shared" si="47"/>
        <v>0</v>
      </c>
      <c r="I388" s="31">
        <f>0.222*D388*6</f>
        <v>27.972000000000001</v>
      </c>
    </row>
    <row r="389" spans="1:11" x14ac:dyDescent="0.2">
      <c r="A389" s="147"/>
      <c r="B389" s="148" t="s">
        <v>14</v>
      </c>
      <c r="C389" s="149" t="s">
        <v>9</v>
      </c>
      <c r="D389" s="150">
        <f>D386*20</f>
        <v>3.4034400000000002</v>
      </c>
      <c r="E389" s="185"/>
      <c r="F389" s="145"/>
      <c r="G389" s="146">
        <f t="shared" si="47"/>
        <v>0</v>
      </c>
      <c r="I389" s="31">
        <f>SUM(I387:I388)</f>
        <v>170.17200000000003</v>
      </c>
      <c r="J389" s="31"/>
    </row>
    <row r="390" spans="1:11" x14ac:dyDescent="0.2">
      <c r="A390" s="147"/>
      <c r="B390" s="202" t="s">
        <v>474</v>
      </c>
      <c r="C390" s="153" t="s">
        <v>138</v>
      </c>
      <c r="D390" s="154">
        <f>I393/1000</f>
        <v>0.41587200000000002</v>
      </c>
      <c r="E390" s="185"/>
      <c r="F390" s="145"/>
      <c r="G390" s="146">
        <f t="shared" si="47"/>
        <v>0</v>
      </c>
      <c r="I390" s="31"/>
      <c r="J390" s="31"/>
    </row>
    <row r="391" spans="1:11" x14ac:dyDescent="0.2">
      <c r="A391" s="147"/>
      <c r="B391" s="148" t="s">
        <v>240</v>
      </c>
      <c r="C391" s="149" t="s">
        <v>8</v>
      </c>
      <c r="D391" s="150">
        <v>36</v>
      </c>
      <c r="E391" s="185"/>
      <c r="F391" s="145"/>
      <c r="G391" s="146">
        <f t="shared" si="47"/>
        <v>0</v>
      </c>
      <c r="I391" s="31">
        <f>D391*1.58*6</f>
        <v>341.28000000000003</v>
      </c>
      <c r="J391" s="22">
        <f>6*4</f>
        <v>24</v>
      </c>
    </row>
    <row r="392" spans="1:11" x14ac:dyDescent="0.2">
      <c r="A392" s="147"/>
      <c r="B392" s="148" t="s">
        <v>243</v>
      </c>
      <c r="C392" s="149" t="s">
        <v>8</v>
      </c>
      <c r="D392" s="150">
        <v>56</v>
      </c>
      <c r="E392" s="185"/>
      <c r="F392" s="145"/>
      <c r="G392" s="146">
        <f t="shared" si="47"/>
        <v>0</v>
      </c>
      <c r="I392" s="31">
        <f>0.222*D392*6</f>
        <v>74.591999999999999</v>
      </c>
    </row>
    <row r="393" spans="1:11" x14ac:dyDescent="0.2">
      <c r="A393" s="147"/>
      <c r="B393" s="148" t="s">
        <v>14</v>
      </c>
      <c r="C393" s="149" t="s">
        <v>9</v>
      </c>
      <c r="D393" s="150">
        <f>D390*20</f>
        <v>8.3174400000000013</v>
      </c>
      <c r="E393" s="185"/>
      <c r="F393" s="145"/>
      <c r="G393" s="146">
        <f t="shared" si="47"/>
        <v>0</v>
      </c>
      <c r="I393" s="31">
        <f>SUM(I391:I392)</f>
        <v>415.87200000000001</v>
      </c>
      <c r="J393" s="31"/>
    </row>
    <row r="394" spans="1:11" x14ac:dyDescent="0.2">
      <c r="A394" s="147"/>
      <c r="B394" s="202" t="s">
        <v>472</v>
      </c>
      <c r="C394" s="153" t="s">
        <v>138</v>
      </c>
      <c r="D394" s="154">
        <f>I397/1000</f>
        <v>0.28238400000000002</v>
      </c>
      <c r="E394" s="185"/>
      <c r="F394" s="145"/>
      <c r="G394" s="146">
        <f t="shared" si="47"/>
        <v>0</v>
      </c>
      <c r="I394" s="31"/>
      <c r="J394" s="31"/>
    </row>
    <row r="395" spans="1:11" x14ac:dyDescent="0.2">
      <c r="A395" s="147"/>
      <c r="B395" s="148" t="s">
        <v>241</v>
      </c>
      <c r="C395" s="149" t="s">
        <v>8</v>
      </c>
      <c r="D395" s="150">
        <v>48</v>
      </c>
      <c r="E395" s="185"/>
      <c r="F395" s="145"/>
      <c r="G395" s="146">
        <f t="shared" si="47"/>
        <v>0</v>
      </c>
      <c r="I395" s="31">
        <f>D395*0.888*6</f>
        <v>255.74400000000003</v>
      </c>
      <c r="J395" s="22">
        <f>6*4</f>
        <v>24</v>
      </c>
    </row>
    <row r="396" spans="1:11" x14ac:dyDescent="0.2">
      <c r="A396" s="147"/>
      <c r="B396" s="148" t="s">
        <v>243</v>
      </c>
      <c r="C396" s="149" t="s">
        <v>8</v>
      </c>
      <c r="D396" s="150">
        <v>20</v>
      </c>
      <c r="E396" s="185"/>
      <c r="F396" s="145"/>
      <c r="G396" s="146">
        <f t="shared" si="47"/>
        <v>0</v>
      </c>
      <c r="I396" s="31">
        <f>0.222*D396*6</f>
        <v>26.64</v>
      </c>
    </row>
    <row r="397" spans="1:11" x14ac:dyDescent="0.2">
      <c r="A397" s="147"/>
      <c r="B397" s="148" t="s">
        <v>14</v>
      </c>
      <c r="C397" s="149" t="s">
        <v>9</v>
      </c>
      <c r="D397" s="150">
        <f>D394*20</f>
        <v>5.6476800000000003</v>
      </c>
      <c r="E397" s="185"/>
      <c r="F397" s="145"/>
      <c r="G397" s="146">
        <f t="shared" si="47"/>
        <v>0</v>
      </c>
      <c r="I397" s="31">
        <f>SUM(I395:I396)</f>
        <v>282.38400000000001</v>
      </c>
      <c r="J397" s="31"/>
    </row>
    <row r="398" spans="1:11" x14ac:dyDescent="0.2">
      <c r="A398" s="147"/>
      <c r="B398" s="202" t="s">
        <v>473</v>
      </c>
      <c r="C398" s="153" t="s">
        <v>138</v>
      </c>
      <c r="D398" s="154">
        <f>I401/1000</f>
        <v>0.11061</v>
      </c>
      <c r="E398" s="185"/>
      <c r="F398" s="145"/>
      <c r="G398" s="146">
        <f t="shared" si="47"/>
        <v>0</v>
      </c>
      <c r="I398" s="31"/>
      <c r="J398" s="31"/>
    </row>
    <row r="399" spans="1:11" x14ac:dyDescent="0.2">
      <c r="A399" s="147"/>
      <c r="B399" s="148" t="s">
        <v>242</v>
      </c>
      <c r="C399" s="149" t="s">
        <v>8</v>
      </c>
      <c r="D399" s="150">
        <v>27</v>
      </c>
      <c r="E399" s="185"/>
      <c r="F399" s="145"/>
      <c r="G399" s="146">
        <f t="shared" si="47"/>
        <v>0</v>
      </c>
      <c r="I399" s="31">
        <f>D399*0.617*6</f>
        <v>99.953999999999994</v>
      </c>
      <c r="J399" s="31">
        <f>33*6</f>
        <v>198</v>
      </c>
      <c r="K399" s="48">
        <f>J399/18</f>
        <v>11</v>
      </c>
    </row>
    <row r="400" spans="1:11" x14ac:dyDescent="0.2">
      <c r="A400" s="147"/>
      <c r="B400" s="148" t="s">
        <v>243</v>
      </c>
      <c r="C400" s="149" t="s">
        <v>8</v>
      </c>
      <c r="D400" s="150">
        <v>8</v>
      </c>
      <c r="E400" s="185"/>
      <c r="F400" s="145"/>
      <c r="G400" s="146">
        <f t="shared" si="47"/>
        <v>0</v>
      </c>
      <c r="I400" s="31">
        <f>0.222*D400*6</f>
        <v>10.656000000000001</v>
      </c>
      <c r="J400" s="31"/>
    </row>
    <row r="401" spans="1:17" x14ac:dyDescent="0.2">
      <c r="A401" s="147"/>
      <c r="B401" s="148" t="s">
        <v>14</v>
      </c>
      <c r="C401" s="149" t="s">
        <v>9</v>
      </c>
      <c r="D401" s="150">
        <f>D398*20</f>
        <v>2.2122000000000002</v>
      </c>
      <c r="E401" s="185"/>
      <c r="F401" s="145"/>
      <c r="G401" s="146">
        <f t="shared" si="47"/>
        <v>0</v>
      </c>
      <c r="I401" s="31">
        <f>SUM(I399:I400)</f>
        <v>110.61</v>
      </c>
      <c r="J401" s="31"/>
    </row>
    <row r="402" spans="1:17" x14ac:dyDescent="0.2">
      <c r="A402" s="151" t="s">
        <v>186</v>
      </c>
      <c r="B402" s="187" t="s">
        <v>208</v>
      </c>
      <c r="C402" s="188" t="s">
        <v>138</v>
      </c>
      <c r="D402" s="189">
        <f>I404/1000</f>
        <v>0.33688200000000001</v>
      </c>
      <c r="E402" s="190"/>
      <c r="F402" s="145"/>
      <c r="G402" s="146">
        <f t="shared" si="47"/>
        <v>0</v>
      </c>
      <c r="H402" s="38"/>
      <c r="I402" s="34"/>
    </row>
    <row r="403" spans="1:17" x14ac:dyDescent="0.2">
      <c r="A403" s="147"/>
      <c r="B403" s="148" t="s">
        <v>242</v>
      </c>
      <c r="C403" s="193" t="s">
        <v>8</v>
      </c>
      <c r="D403" s="194">
        <v>91</v>
      </c>
      <c r="E403" s="195"/>
      <c r="F403" s="196"/>
      <c r="G403" s="146">
        <f t="shared" si="47"/>
        <v>0</v>
      </c>
      <c r="H403" s="38"/>
      <c r="I403" s="31">
        <f>0.617*D403*6</f>
        <v>336.88200000000001</v>
      </c>
    </row>
    <row r="404" spans="1:17" x14ac:dyDescent="0.2">
      <c r="A404" s="147"/>
      <c r="B404" s="192" t="s">
        <v>14</v>
      </c>
      <c r="C404" s="193" t="s">
        <v>9</v>
      </c>
      <c r="D404" s="194">
        <f>D402*20</f>
        <v>6.7376400000000007</v>
      </c>
      <c r="E404" s="195"/>
      <c r="F404" s="196"/>
      <c r="G404" s="146">
        <f t="shared" si="47"/>
        <v>0</v>
      </c>
      <c r="H404" s="38"/>
      <c r="I404" s="31">
        <f>SUM(I402:I403)</f>
        <v>336.88200000000001</v>
      </c>
    </row>
    <row r="405" spans="1:17" x14ac:dyDescent="0.2">
      <c r="A405" s="147"/>
      <c r="B405" s="192"/>
      <c r="C405" s="193"/>
      <c r="D405" s="194"/>
      <c r="E405" s="195"/>
      <c r="F405" s="196"/>
      <c r="G405" s="146"/>
      <c r="H405" s="38"/>
      <c r="I405" s="31"/>
    </row>
    <row r="406" spans="1:17" x14ac:dyDescent="0.2">
      <c r="A406" s="133" t="s">
        <v>301</v>
      </c>
      <c r="B406" s="134" t="s">
        <v>456</v>
      </c>
      <c r="C406" s="179"/>
      <c r="D406" s="180"/>
      <c r="E406" s="181"/>
      <c r="F406" s="182"/>
      <c r="G406" s="183">
        <f t="shared" si="47"/>
        <v>0</v>
      </c>
    </row>
    <row r="407" spans="1:17" x14ac:dyDescent="0.2">
      <c r="A407" s="186" t="s">
        <v>171</v>
      </c>
      <c r="B407" s="187" t="s">
        <v>300</v>
      </c>
      <c r="C407" s="188"/>
      <c r="D407" s="189"/>
      <c r="E407" s="190"/>
      <c r="F407" s="145"/>
      <c r="G407" s="146"/>
    </row>
    <row r="408" spans="1:17" x14ac:dyDescent="0.2">
      <c r="A408" s="147" t="s">
        <v>194</v>
      </c>
      <c r="B408" s="148" t="s">
        <v>451</v>
      </c>
      <c r="C408" s="149" t="s">
        <v>138</v>
      </c>
      <c r="D408" s="150">
        <f>I411/1000</f>
        <v>1.5929760000000002</v>
      </c>
      <c r="E408" s="185"/>
      <c r="F408" s="145"/>
      <c r="G408" s="146">
        <f t="shared" ref="G408:G419" si="48">(D408*E408)+(D408*F408)</f>
        <v>0</v>
      </c>
    </row>
    <row r="409" spans="1:17" x14ac:dyDescent="0.2">
      <c r="A409" s="151"/>
      <c r="B409" s="148" t="s">
        <v>240</v>
      </c>
      <c r="C409" s="149" t="s">
        <v>8</v>
      </c>
      <c r="D409" s="150">
        <v>136</v>
      </c>
      <c r="E409" s="185"/>
      <c r="F409" s="145"/>
      <c r="G409" s="146">
        <f t="shared" si="48"/>
        <v>0</v>
      </c>
      <c r="I409" s="31">
        <f>D409*1.58*6</f>
        <v>1289.28</v>
      </c>
      <c r="J409" s="22">
        <f>19.4*3+6.5+9.8+10.7</f>
        <v>85.199999999999989</v>
      </c>
      <c r="K409" s="22">
        <f>J409/0.15</f>
        <v>568</v>
      </c>
      <c r="L409" s="22">
        <f>K409*2</f>
        <v>1136</v>
      </c>
      <c r="M409" s="22">
        <f>L409/5</f>
        <v>227.2</v>
      </c>
    </row>
    <row r="410" spans="1:17" x14ac:dyDescent="0.2">
      <c r="A410" s="147"/>
      <c r="B410" s="148" t="s">
        <v>243</v>
      </c>
      <c r="C410" s="149" t="s">
        <v>8</v>
      </c>
      <c r="D410" s="150">
        <v>228</v>
      </c>
      <c r="E410" s="185"/>
      <c r="F410" s="145"/>
      <c r="G410" s="146">
        <f t="shared" si="48"/>
        <v>0</v>
      </c>
      <c r="I410" s="31">
        <f>0.222*D410*6</f>
        <v>303.69600000000003</v>
      </c>
    </row>
    <row r="411" spans="1:17" x14ac:dyDescent="0.2">
      <c r="A411" s="147"/>
      <c r="B411" s="148" t="s">
        <v>14</v>
      </c>
      <c r="C411" s="149" t="s">
        <v>9</v>
      </c>
      <c r="D411" s="150">
        <f>D408*20</f>
        <v>31.859520000000003</v>
      </c>
      <c r="E411" s="185"/>
      <c r="F411" s="145"/>
      <c r="G411" s="146">
        <f t="shared" si="48"/>
        <v>0</v>
      </c>
      <c r="I411" s="31">
        <f>SUM(I409:I410)</f>
        <v>1592.9760000000001</v>
      </c>
      <c r="J411" s="31"/>
    </row>
    <row r="412" spans="1:17" x14ac:dyDescent="0.2">
      <c r="A412" s="147" t="s">
        <v>195</v>
      </c>
      <c r="B412" s="148" t="s">
        <v>458</v>
      </c>
      <c r="C412" s="149" t="s">
        <v>138</v>
      </c>
      <c r="D412" s="150">
        <f>I415/1000</f>
        <v>0.81709200000000015</v>
      </c>
      <c r="E412" s="185"/>
      <c r="F412" s="145"/>
      <c r="G412" s="146">
        <f t="shared" si="48"/>
        <v>0</v>
      </c>
      <c r="I412" s="31"/>
      <c r="J412" s="31"/>
    </row>
    <row r="413" spans="1:17" x14ac:dyDescent="0.2">
      <c r="A413" s="147"/>
      <c r="B413" s="148" t="s">
        <v>240</v>
      </c>
      <c r="C413" s="149" t="s">
        <v>8</v>
      </c>
      <c r="D413" s="150">
        <v>72</v>
      </c>
      <c r="E413" s="185"/>
      <c r="F413" s="145"/>
      <c r="G413" s="146">
        <f t="shared" si="48"/>
        <v>0</v>
      </c>
      <c r="I413" s="31">
        <f>D413*1.58*6</f>
        <v>682.56000000000006</v>
      </c>
      <c r="J413" s="22">
        <f>13.7*2+10.7+3.4+12.9</f>
        <v>54.399999999999991</v>
      </c>
      <c r="K413" s="22">
        <f>J413/0.15</f>
        <v>362.66666666666663</v>
      </c>
      <c r="L413" s="22">
        <f>J413/3</f>
        <v>18.133333333333329</v>
      </c>
      <c r="M413" s="22">
        <f>L413*2</f>
        <v>36.266666666666659</v>
      </c>
      <c r="N413" s="22">
        <f>M413/0.15</f>
        <v>241.77777777777774</v>
      </c>
      <c r="O413" s="22">
        <f>N413+K413</f>
        <v>604.44444444444434</v>
      </c>
      <c r="P413" s="22">
        <f>O413/6</f>
        <v>100.74074074074072</v>
      </c>
    </row>
    <row r="414" spans="1:17" x14ac:dyDescent="0.2">
      <c r="A414" s="147"/>
      <c r="B414" s="148" t="s">
        <v>243</v>
      </c>
      <c r="C414" s="149" t="s">
        <v>8</v>
      </c>
      <c r="D414" s="150">
        <v>101</v>
      </c>
      <c r="E414" s="185"/>
      <c r="F414" s="145"/>
      <c r="G414" s="146">
        <f t="shared" si="48"/>
        <v>0</v>
      </c>
      <c r="I414" s="31">
        <f>0.222*D414*6</f>
        <v>134.53200000000001</v>
      </c>
    </row>
    <row r="415" spans="1:17" x14ac:dyDescent="0.2">
      <c r="A415" s="147"/>
      <c r="B415" s="148" t="s">
        <v>14</v>
      </c>
      <c r="C415" s="149" t="s">
        <v>9</v>
      </c>
      <c r="D415" s="150">
        <f>D412*20</f>
        <v>16.341840000000005</v>
      </c>
      <c r="E415" s="185"/>
      <c r="F415" s="145"/>
      <c r="G415" s="146">
        <f t="shared" si="48"/>
        <v>0</v>
      </c>
      <c r="I415" s="31">
        <f>SUM(I413:I414)</f>
        <v>817.0920000000001</v>
      </c>
      <c r="J415" s="31"/>
    </row>
    <row r="416" spans="1:17" x14ac:dyDescent="0.2">
      <c r="A416" s="186" t="s">
        <v>172</v>
      </c>
      <c r="B416" s="187" t="s">
        <v>297</v>
      </c>
      <c r="C416" s="188" t="s">
        <v>138</v>
      </c>
      <c r="D416" s="189">
        <f>I419/1000</f>
        <v>3.7456259999999997</v>
      </c>
      <c r="E416" s="190"/>
      <c r="F416" s="145"/>
      <c r="G416" s="146">
        <f t="shared" si="48"/>
        <v>0</v>
      </c>
      <c r="H416" s="38"/>
      <c r="I416" s="34"/>
      <c r="J416" s="22">
        <f>19.4*10.7</f>
        <v>207.57999999999998</v>
      </c>
      <c r="K416" s="22">
        <f>9.8*3</f>
        <v>29.400000000000002</v>
      </c>
      <c r="L416" s="22">
        <f>SUM(J416:K416)</f>
        <v>236.98</v>
      </c>
      <c r="M416" s="22">
        <f>4.15*2.815</f>
        <v>11.682250000000002</v>
      </c>
      <c r="N416" s="22">
        <f>L416-M416</f>
        <v>225.29774999999998</v>
      </c>
      <c r="O416" s="22">
        <f>1.9*2</f>
        <v>3.8</v>
      </c>
      <c r="Q416" s="22">
        <f>SUM(N416:O416)</f>
        <v>229.09774999999999</v>
      </c>
    </row>
    <row r="417" spans="1:15" x14ac:dyDescent="0.2">
      <c r="A417" s="191" t="s">
        <v>183</v>
      </c>
      <c r="B417" s="148" t="s">
        <v>242</v>
      </c>
      <c r="C417" s="193" t="s">
        <v>8</v>
      </c>
      <c r="D417" s="194">
        <v>983</v>
      </c>
      <c r="E417" s="195"/>
      <c r="F417" s="196"/>
      <c r="G417" s="146">
        <f t="shared" si="48"/>
        <v>0</v>
      </c>
      <c r="H417" s="38"/>
      <c r="I417" s="31">
        <f>0.617*D417*6</f>
        <v>3639.0659999999998</v>
      </c>
      <c r="K417" s="22">
        <f>Q416*14</f>
        <v>3207.3685</v>
      </c>
      <c r="L417" s="22">
        <f>K417*75%</f>
        <v>2405.5263749999999</v>
      </c>
      <c r="M417" s="22">
        <f>SUM(K417:L417)</f>
        <v>5612.894875</v>
      </c>
      <c r="N417" s="22">
        <f>M417/6</f>
        <v>935.48247916666662</v>
      </c>
      <c r="O417" s="22">
        <f>N417*105%</f>
        <v>982.25660312499997</v>
      </c>
    </row>
    <row r="418" spans="1:15" x14ac:dyDescent="0.2">
      <c r="A418" s="191"/>
      <c r="B418" s="148" t="s">
        <v>241</v>
      </c>
      <c r="C418" s="193" t="s">
        <v>8</v>
      </c>
      <c r="D418" s="194">
        <v>20</v>
      </c>
      <c r="E418" s="195"/>
      <c r="F418" s="196"/>
      <c r="G418" s="146">
        <f t="shared" si="48"/>
        <v>0</v>
      </c>
      <c r="H418" s="38"/>
      <c r="I418" s="31">
        <f>0.888*D418*6</f>
        <v>106.56</v>
      </c>
    </row>
    <row r="419" spans="1:15" x14ac:dyDescent="0.2">
      <c r="A419" s="191"/>
      <c r="B419" s="192" t="s">
        <v>14</v>
      </c>
      <c r="C419" s="193" t="s">
        <v>9</v>
      </c>
      <c r="D419" s="194">
        <f>D416*15</f>
        <v>56.184389999999993</v>
      </c>
      <c r="E419" s="195"/>
      <c r="F419" s="196"/>
      <c r="G419" s="146">
        <f t="shared" si="48"/>
        <v>0</v>
      </c>
      <c r="H419" s="38"/>
      <c r="I419" s="31">
        <f>SUM(I416:I418)</f>
        <v>3745.6259999999997</v>
      </c>
    </row>
    <row r="420" spans="1:15" x14ac:dyDescent="0.2">
      <c r="A420" s="191"/>
      <c r="B420" s="192"/>
      <c r="C420" s="193"/>
      <c r="D420" s="194"/>
      <c r="E420" s="195"/>
      <c r="F420" s="196"/>
      <c r="G420" s="146"/>
      <c r="H420" s="38"/>
      <c r="I420" s="31"/>
    </row>
    <row r="421" spans="1:15" ht="12.75" thickBot="1" x14ac:dyDescent="0.25">
      <c r="A421" s="585"/>
      <c r="B421" s="586"/>
      <c r="C421" s="587"/>
      <c r="D421" s="588"/>
      <c r="E421" s="207"/>
      <c r="F421" s="208"/>
      <c r="G421" s="162"/>
      <c r="H421" s="38"/>
      <c r="I421" s="31"/>
    </row>
    <row r="422" spans="1:15" x14ac:dyDescent="0.2">
      <c r="A422" s="191"/>
      <c r="B422" s="192"/>
      <c r="C422" s="193"/>
      <c r="D422" s="194"/>
      <c r="E422" s="195"/>
      <c r="F422" s="196"/>
      <c r="G422" s="146"/>
      <c r="H422" s="38"/>
      <c r="I422" s="31"/>
    </row>
    <row r="423" spans="1:15" x14ac:dyDescent="0.2">
      <c r="A423" s="186" t="s">
        <v>185</v>
      </c>
      <c r="B423" s="187" t="s">
        <v>180</v>
      </c>
      <c r="C423" s="188"/>
      <c r="D423" s="189"/>
      <c r="E423" s="190"/>
      <c r="F423" s="145"/>
      <c r="G423" s="146"/>
    </row>
    <row r="424" spans="1:15" x14ac:dyDescent="0.2">
      <c r="A424" s="147"/>
      <c r="B424" s="202" t="s">
        <v>470</v>
      </c>
      <c r="C424" s="153" t="s">
        <v>138</v>
      </c>
      <c r="D424" s="154">
        <f>I427/1000</f>
        <v>0.51098399999999999</v>
      </c>
      <c r="E424" s="185"/>
      <c r="F424" s="145"/>
      <c r="G424" s="146">
        <f t="shared" ref="G424:G443" si="49">(D424*E424)+(D424*F424)</f>
        <v>0</v>
      </c>
    </row>
    <row r="425" spans="1:15" x14ac:dyDescent="0.2">
      <c r="A425" s="151"/>
      <c r="B425" s="148" t="s">
        <v>240</v>
      </c>
      <c r="C425" s="149" t="s">
        <v>8</v>
      </c>
      <c r="D425" s="150">
        <v>48</v>
      </c>
      <c r="E425" s="185"/>
      <c r="F425" s="145"/>
      <c r="G425" s="146">
        <f t="shared" si="49"/>
        <v>0</v>
      </c>
      <c r="I425" s="31">
        <f>D425*1.58*6</f>
        <v>455.04</v>
      </c>
      <c r="J425" s="22">
        <f>4*29</f>
        <v>116</v>
      </c>
      <c r="L425" s="22">
        <f>5.025/0.15</f>
        <v>33.500000000000007</v>
      </c>
      <c r="M425" s="22">
        <f>35*29</f>
        <v>1015</v>
      </c>
      <c r="N425" s="22">
        <f>M425/11</f>
        <v>92.272727272727266</v>
      </c>
    </row>
    <row r="426" spans="1:15" x14ac:dyDescent="0.2">
      <c r="A426" s="147"/>
      <c r="B426" s="148" t="s">
        <v>243</v>
      </c>
      <c r="C426" s="149" t="s">
        <v>8</v>
      </c>
      <c r="D426" s="150">
        <v>42</v>
      </c>
      <c r="E426" s="185"/>
      <c r="F426" s="145"/>
      <c r="G426" s="146">
        <f t="shared" si="49"/>
        <v>0</v>
      </c>
      <c r="I426" s="31">
        <f>0.222*D426*6</f>
        <v>55.944000000000003</v>
      </c>
    </row>
    <row r="427" spans="1:15" x14ac:dyDescent="0.2">
      <c r="A427" s="147"/>
      <c r="B427" s="192" t="s">
        <v>14</v>
      </c>
      <c r="C427" s="193" t="s">
        <v>9</v>
      </c>
      <c r="D427" s="194">
        <f>D424*20</f>
        <v>10.21968</v>
      </c>
      <c r="E427" s="195"/>
      <c r="F427" s="196"/>
      <c r="G427" s="197">
        <f t="shared" si="49"/>
        <v>0</v>
      </c>
      <c r="I427" s="31">
        <f>SUM(I425:I426)</f>
        <v>510.98400000000004</v>
      </c>
      <c r="J427" s="31"/>
    </row>
    <row r="428" spans="1:15" x14ac:dyDescent="0.2">
      <c r="A428" s="147"/>
      <c r="B428" s="202" t="s">
        <v>471</v>
      </c>
      <c r="C428" s="153" t="s">
        <v>138</v>
      </c>
      <c r="D428" s="154">
        <f>I431/1000</f>
        <v>0.17017200000000002</v>
      </c>
      <c r="E428" s="185"/>
      <c r="F428" s="145"/>
      <c r="G428" s="146">
        <f t="shared" si="49"/>
        <v>0</v>
      </c>
      <c r="I428" s="31"/>
      <c r="J428" s="31"/>
    </row>
    <row r="429" spans="1:15" x14ac:dyDescent="0.2">
      <c r="A429" s="147"/>
      <c r="B429" s="148" t="s">
        <v>240</v>
      </c>
      <c r="C429" s="149" t="s">
        <v>8</v>
      </c>
      <c r="D429" s="150">
        <v>15</v>
      </c>
      <c r="E429" s="185"/>
      <c r="F429" s="145"/>
      <c r="G429" s="146">
        <f t="shared" si="49"/>
        <v>0</v>
      </c>
      <c r="I429" s="31">
        <f>D429*1.58*6</f>
        <v>142.20000000000002</v>
      </c>
      <c r="J429" s="22">
        <f>6*4</f>
        <v>24</v>
      </c>
    </row>
    <row r="430" spans="1:15" x14ac:dyDescent="0.2">
      <c r="A430" s="147"/>
      <c r="B430" s="148" t="s">
        <v>243</v>
      </c>
      <c r="C430" s="149" t="s">
        <v>8</v>
      </c>
      <c r="D430" s="150">
        <v>21</v>
      </c>
      <c r="E430" s="185"/>
      <c r="F430" s="145"/>
      <c r="G430" s="146">
        <f t="shared" si="49"/>
        <v>0</v>
      </c>
      <c r="I430" s="31">
        <f>0.222*D430*6</f>
        <v>27.972000000000001</v>
      </c>
    </row>
    <row r="431" spans="1:15" x14ac:dyDescent="0.2">
      <c r="A431" s="147"/>
      <c r="B431" s="148" t="s">
        <v>14</v>
      </c>
      <c r="C431" s="149" t="s">
        <v>9</v>
      </c>
      <c r="D431" s="150">
        <f>D428*20</f>
        <v>3.4034400000000002</v>
      </c>
      <c r="E431" s="185"/>
      <c r="F431" s="145"/>
      <c r="G431" s="146">
        <f t="shared" si="49"/>
        <v>0</v>
      </c>
      <c r="I431" s="31">
        <f>SUM(I429:I430)</f>
        <v>170.17200000000003</v>
      </c>
      <c r="J431" s="31"/>
    </row>
    <row r="432" spans="1:15" x14ac:dyDescent="0.2">
      <c r="A432" s="147"/>
      <c r="B432" s="202" t="s">
        <v>474</v>
      </c>
      <c r="C432" s="153" t="s">
        <v>138</v>
      </c>
      <c r="D432" s="154">
        <f>I435/1000</f>
        <v>0.41587200000000002</v>
      </c>
      <c r="E432" s="185"/>
      <c r="F432" s="145"/>
      <c r="G432" s="146">
        <f t="shared" si="49"/>
        <v>0</v>
      </c>
      <c r="I432" s="31"/>
      <c r="J432" s="31"/>
    </row>
    <row r="433" spans="1:13" x14ac:dyDescent="0.2">
      <c r="A433" s="147"/>
      <c r="B433" s="148" t="s">
        <v>240</v>
      </c>
      <c r="C433" s="149" t="s">
        <v>8</v>
      </c>
      <c r="D433" s="150">
        <v>36</v>
      </c>
      <c r="E433" s="185"/>
      <c r="F433" s="145"/>
      <c r="G433" s="146">
        <f t="shared" si="49"/>
        <v>0</v>
      </c>
      <c r="I433" s="31">
        <f>D433*1.58*6</f>
        <v>341.28000000000003</v>
      </c>
      <c r="J433" s="22">
        <f>6*4</f>
        <v>24</v>
      </c>
    </row>
    <row r="434" spans="1:13" x14ac:dyDescent="0.2">
      <c r="A434" s="147"/>
      <c r="B434" s="148" t="s">
        <v>243</v>
      </c>
      <c r="C434" s="149" t="s">
        <v>8</v>
      </c>
      <c r="D434" s="150">
        <v>56</v>
      </c>
      <c r="E434" s="185"/>
      <c r="F434" s="145"/>
      <c r="G434" s="146">
        <f t="shared" si="49"/>
        <v>0</v>
      </c>
      <c r="I434" s="31">
        <f>0.222*D434*6</f>
        <v>74.591999999999999</v>
      </c>
    </row>
    <row r="435" spans="1:13" x14ac:dyDescent="0.2">
      <c r="A435" s="147"/>
      <c r="B435" s="148" t="s">
        <v>14</v>
      </c>
      <c r="C435" s="149" t="s">
        <v>9</v>
      </c>
      <c r="D435" s="150">
        <f>D432*20</f>
        <v>8.3174400000000013</v>
      </c>
      <c r="E435" s="185"/>
      <c r="F435" s="145"/>
      <c r="G435" s="146">
        <f t="shared" si="49"/>
        <v>0</v>
      </c>
      <c r="I435" s="31">
        <f>SUM(I433:I434)</f>
        <v>415.87200000000001</v>
      </c>
      <c r="J435" s="31"/>
    </row>
    <row r="436" spans="1:13" x14ac:dyDescent="0.2">
      <c r="A436" s="147"/>
      <c r="B436" s="202" t="s">
        <v>472</v>
      </c>
      <c r="C436" s="153" t="s">
        <v>138</v>
      </c>
      <c r="D436" s="154">
        <f>I439/1000</f>
        <v>0.28238400000000002</v>
      </c>
      <c r="E436" s="185"/>
      <c r="F436" s="145"/>
      <c r="G436" s="146">
        <f t="shared" si="49"/>
        <v>0</v>
      </c>
      <c r="I436" s="31"/>
      <c r="J436" s="31"/>
    </row>
    <row r="437" spans="1:13" x14ac:dyDescent="0.2">
      <c r="A437" s="147"/>
      <c r="B437" s="148" t="s">
        <v>241</v>
      </c>
      <c r="C437" s="149" t="s">
        <v>8</v>
      </c>
      <c r="D437" s="150">
        <v>48</v>
      </c>
      <c r="E437" s="185"/>
      <c r="F437" s="145"/>
      <c r="G437" s="146">
        <f t="shared" si="49"/>
        <v>0</v>
      </c>
      <c r="I437" s="31">
        <f>D437*0.888*6</f>
        <v>255.74400000000003</v>
      </c>
      <c r="J437" s="22">
        <f>6*4</f>
        <v>24</v>
      </c>
    </row>
    <row r="438" spans="1:13" x14ac:dyDescent="0.2">
      <c r="A438" s="147"/>
      <c r="B438" s="148" t="s">
        <v>243</v>
      </c>
      <c r="C438" s="149" t="s">
        <v>8</v>
      </c>
      <c r="D438" s="150">
        <v>20</v>
      </c>
      <c r="E438" s="185"/>
      <c r="F438" s="145"/>
      <c r="G438" s="146">
        <f t="shared" si="49"/>
        <v>0</v>
      </c>
      <c r="I438" s="31">
        <f>0.222*D438*6</f>
        <v>26.64</v>
      </c>
    </row>
    <row r="439" spans="1:13" x14ac:dyDescent="0.2">
      <c r="A439" s="147"/>
      <c r="B439" s="148" t="s">
        <v>14</v>
      </c>
      <c r="C439" s="149" t="s">
        <v>9</v>
      </c>
      <c r="D439" s="150">
        <f>D436*20</f>
        <v>5.6476800000000003</v>
      </c>
      <c r="E439" s="185"/>
      <c r="F439" s="145"/>
      <c r="G439" s="146">
        <f t="shared" si="49"/>
        <v>0</v>
      </c>
      <c r="I439" s="31">
        <f>SUM(I437:I438)</f>
        <v>282.38400000000001</v>
      </c>
      <c r="J439" s="31"/>
    </row>
    <row r="440" spans="1:13" x14ac:dyDescent="0.2">
      <c r="A440" s="147"/>
      <c r="B440" s="202" t="s">
        <v>473</v>
      </c>
      <c r="C440" s="153" t="s">
        <v>138</v>
      </c>
      <c r="D440" s="154">
        <f>I443/1000</f>
        <v>0.11061</v>
      </c>
      <c r="E440" s="185"/>
      <c r="F440" s="145"/>
      <c r="G440" s="146">
        <f t="shared" si="49"/>
        <v>0</v>
      </c>
      <c r="I440" s="31"/>
      <c r="J440" s="31"/>
    </row>
    <row r="441" spans="1:13" x14ac:dyDescent="0.2">
      <c r="A441" s="147"/>
      <c r="B441" s="148" t="s">
        <v>242</v>
      </c>
      <c r="C441" s="149" t="s">
        <v>8</v>
      </c>
      <c r="D441" s="150">
        <v>27</v>
      </c>
      <c r="E441" s="185"/>
      <c r="F441" s="145"/>
      <c r="G441" s="146">
        <f t="shared" si="49"/>
        <v>0</v>
      </c>
      <c r="I441" s="31">
        <f>D441*0.617*6</f>
        <v>99.953999999999994</v>
      </c>
      <c r="J441" s="31">
        <f>33*6</f>
        <v>198</v>
      </c>
      <c r="K441" s="48">
        <f>J441/18</f>
        <v>11</v>
      </c>
    </row>
    <row r="442" spans="1:13" x14ac:dyDescent="0.2">
      <c r="A442" s="147"/>
      <c r="B442" s="148" t="s">
        <v>243</v>
      </c>
      <c r="C442" s="149" t="s">
        <v>8</v>
      </c>
      <c r="D442" s="150">
        <v>8</v>
      </c>
      <c r="E442" s="185"/>
      <c r="F442" s="145"/>
      <c r="G442" s="146">
        <f t="shared" si="49"/>
        <v>0</v>
      </c>
      <c r="I442" s="31">
        <f>0.222*D442*6</f>
        <v>10.656000000000001</v>
      </c>
      <c r="J442" s="31"/>
    </row>
    <row r="443" spans="1:13" x14ac:dyDescent="0.2">
      <c r="A443" s="147"/>
      <c r="B443" s="148" t="s">
        <v>14</v>
      </c>
      <c r="C443" s="149" t="s">
        <v>9</v>
      </c>
      <c r="D443" s="150">
        <f>D440*20</f>
        <v>2.2122000000000002</v>
      </c>
      <c r="E443" s="185"/>
      <c r="F443" s="145"/>
      <c r="G443" s="146">
        <f t="shared" si="49"/>
        <v>0</v>
      </c>
      <c r="I443" s="31">
        <f>SUM(I441:I442)</f>
        <v>110.61</v>
      </c>
      <c r="J443" s="31"/>
    </row>
    <row r="444" spans="1:13" x14ac:dyDescent="0.2">
      <c r="A444" s="147"/>
      <c r="B444" s="148"/>
      <c r="C444" s="149"/>
      <c r="D444" s="150"/>
      <c r="E444" s="185"/>
      <c r="F444" s="145"/>
      <c r="G444" s="146"/>
      <c r="I444" s="31"/>
      <c r="J444" s="31"/>
    </row>
    <row r="445" spans="1:13" x14ac:dyDescent="0.2">
      <c r="A445" s="133" t="s">
        <v>301</v>
      </c>
      <c r="B445" s="134" t="s">
        <v>291</v>
      </c>
      <c r="C445" s="179"/>
      <c r="D445" s="180"/>
      <c r="E445" s="181"/>
      <c r="F445" s="182"/>
      <c r="G445" s="183">
        <f t="shared" ref="G445" si="50">(D445*E445)+(D445*F445)</f>
        <v>0</v>
      </c>
    </row>
    <row r="446" spans="1:13" x14ac:dyDescent="0.2">
      <c r="A446" s="186" t="s">
        <v>171</v>
      </c>
      <c r="B446" s="187" t="s">
        <v>300</v>
      </c>
      <c r="C446" s="188"/>
      <c r="D446" s="189"/>
      <c r="E446" s="190"/>
      <c r="F446" s="145"/>
      <c r="G446" s="146"/>
    </row>
    <row r="447" spans="1:13" x14ac:dyDescent="0.2">
      <c r="A447" s="147" t="s">
        <v>194</v>
      </c>
      <c r="B447" s="148" t="s">
        <v>451</v>
      </c>
      <c r="C447" s="149" t="s">
        <v>138</v>
      </c>
      <c r="D447" s="150">
        <f>I450/1000</f>
        <v>0.75190800000000002</v>
      </c>
      <c r="E447" s="185"/>
      <c r="F447" s="145"/>
      <c r="G447" s="146">
        <f t="shared" ref="G447:G466" si="51">(D447*E447)+(D447*F447)</f>
        <v>0</v>
      </c>
    </row>
    <row r="448" spans="1:13" x14ac:dyDescent="0.2">
      <c r="A448" s="151"/>
      <c r="B448" s="148" t="s">
        <v>240</v>
      </c>
      <c r="C448" s="149" t="s">
        <v>8</v>
      </c>
      <c r="D448" s="150">
        <v>64</v>
      </c>
      <c r="E448" s="185"/>
      <c r="F448" s="145"/>
      <c r="G448" s="146">
        <f t="shared" si="51"/>
        <v>0</v>
      </c>
      <c r="I448" s="31">
        <f>D448*1.58*6</f>
        <v>606.72</v>
      </c>
      <c r="J448" s="22">
        <v>40.6</v>
      </c>
      <c r="K448" s="22">
        <f>J448/0.15</f>
        <v>270.66666666666669</v>
      </c>
      <c r="L448" s="22">
        <f>K448*2</f>
        <v>541.33333333333337</v>
      </c>
      <c r="M448" s="22">
        <f>L448/5</f>
        <v>108.26666666666668</v>
      </c>
    </row>
    <row r="449" spans="1:17" x14ac:dyDescent="0.2">
      <c r="A449" s="147"/>
      <c r="B449" s="148" t="s">
        <v>243</v>
      </c>
      <c r="C449" s="149" t="s">
        <v>8</v>
      </c>
      <c r="D449" s="150">
        <v>109</v>
      </c>
      <c r="E449" s="185"/>
      <c r="F449" s="145"/>
      <c r="G449" s="146">
        <f t="shared" si="51"/>
        <v>0</v>
      </c>
      <c r="I449" s="31">
        <f>0.222*D449*6</f>
        <v>145.18799999999999</v>
      </c>
    </row>
    <row r="450" spans="1:17" x14ac:dyDescent="0.2">
      <c r="A450" s="147"/>
      <c r="B450" s="148" t="s">
        <v>14</v>
      </c>
      <c r="C450" s="149" t="s">
        <v>9</v>
      </c>
      <c r="D450" s="150">
        <f>D447*20</f>
        <v>15.038160000000001</v>
      </c>
      <c r="E450" s="185"/>
      <c r="F450" s="145"/>
      <c r="G450" s="146">
        <f t="shared" si="51"/>
        <v>0</v>
      </c>
      <c r="I450" s="31">
        <f>SUM(I448:I449)</f>
        <v>751.90800000000002</v>
      </c>
      <c r="J450" s="31"/>
    </row>
    <row r="451" spans="1:17" x14ac:dyDescent="0.2">
      <c r="A451" s="147" t="s">
        <v>195</v>
      </c>
      <c r="B451" s="148" t="s">
        <v>458</v>
      </c>
      <c r="C451" s="149" t="s">
        <v>138</v>
      </c>
      <c r="D451" s="150">
        <f>I454/1000</f>
        <v>0.13922399999999999</v>
      </c>
      <c r="E451" s="185"/>
      <c r="F451" s="145"/>
      <c r="G451" s="146">
        <f t="shared" si="51"/>
        <v>0</v>
      </c>
      <c r="I451" s="31"/>
      <c r="J451" s="31"/>
    </row>
    <row r="452" spans="1:17" x14ac:dyDescent="0.2">
      <c r="A452" s="147"/>
      <c r="B452" s="148" t="s">
        <v>240</v>
      </c>
      <c r="C452" s="149" t="s">
        <v>8</v>
      </c>
      <c r="D452" s="150">
        <v>13</v>
      </c>
      <c r="E452" s="185"/>
      <c r="F452" s="145"/>
      <c r="G452" s="146">
        <f t="shared" si="51"/>
        <v>0</v>
      </c>
      <c r="I452" s="31">
        <f>D452*1.58*6</f>
        <v>123.24</v>
      </c>
      <c r="J452" s="22">
        <v>6.4</v>
      </c>
      <c r="K452" s="22">
        <f>J452/0.15</f>
        <v>42.666666666666671</v>
      </c>
      <c r="L452" s="22">
        <f>J452/3</f>
        <v>2.1333333333333333</v>
      </c>
      <c r="M452" s="22">
        <f>L452*2</f>
        <v>4.2666666666666666</v>
      </c>
      <c r="N452" s="22">
        <f>M452/0.15</f>
        <v>28.444444444444446</v>
      </c>
      <c r="O452" s="22">
        <f>N452+K452</f>
        <v>71.111111111111114</v>
      </c>
      <c r="P452" s="22">
        <f>O452/6</f>
        <v>11.851851851851853</v>
      </c>
    </row>
    <row r="453" spans="1:17" x14ac:dyDescent="0.2">
      <c r="A453" s="147"/>
      <c r="B453" s="148" t="s">
        <v>243</v>
      </c>
      <c r="C453" s="149" t="s">
        <v>8</v>
      </c>
      <c r="D453" s="150">
        <v>12</v>
      </c>
      <c r="E453" s="185"/>
      <c r="F453" s="145"/>
      <c r="G453" s="146">
        <f t="shared" si="51"/>
        <v>0</v>
      </c>
      <c r="I453" s="31">
        <f>0.222*D453*6</f>
        <v>15.984000000000002</v>
      </c>
    </row>
    <row r="454" spans="1:17" x14ac:dyDescent="0.2">
      <c r="A454" s="147"/>
      <c r="B454" s="148" t="s">
        <v>14</v>
      </c>
      <c r="C454" s="149" t="s">
        <v>9</v>
      </c>
      <c r="D454" s="150">
        <f>D451*20</f>
        <v>2.7844799999999998</v>
      </c>
      <c r="E454" s="185"/>
      <c r="F454" s="145"/>
      <c r="G454" s="146">
        <f t="shared" si="51"/>
        <v>0</v>
      </c>
      <c r="I454" s="31">
        <f>SUM(I452:I453)</f>
        <v>139.22399999999999</v>
      </c>
      <c r="J454" s="31"/>
    </row>
    <row r="455" spans="1:17" x14ac:dyDescent="0.2">
      <c r="A455" s="147" t="s">
        <v>195</v>
      </c>
      <c r="B455" s="148" t="s">
        <v>459</v>
      </c>
      <c r="C455" s="149" t="s">
        <v>138</v>
      </c>
      <c r="D455" s="150">
        <f>I458/1000</f>
        <v>1.0927200000000004</v>
      </c>
      <c r="E455" s="185"/>
      <c r="F455" s="145"/>
      <c r="G455" s="146">
        <f t="shared" ref="G455:G462" si="52">(D455*E455)+(D455*F455)</f>
        <v>0</v>
      </c>
      <c r="I455" s="31"/>
      <c r="J455" s="31"/>
    </row>
    <row r="456" spans="1:17" x14ac:dyDescent="0.2">
      <c r="A456" s="147"/>
      <c r="B456" s="148" t="s">
        <v>240</v>
      </c>
      <c r="C456" s="149" t="s">
        <v>8</v>
      </c>
      <c r="D456" s="150">
        <v>97</v>
      </c>
      <c r="E456" s="185"/>
      <c r="F456" s="145"/>
      <c r="G456" s="146">
        <f t="shared" si="52"/>
        <v>0</v>
      </c>
      <c r="I456" s="31">
        <f>D456*1.58*6</f>
        <v>919.56000000000017</v>
      </c>
      <c r="J456" s="22">
        <v>69.8</v>
      </c>
      <c r="K456" s="22">
        <f>J456/0.15</f>
        <v>465.33333333333331</v>
      </c>
      <c r="L456" s="22">
        <f>J456/3</f>
        <v>23.266666666666666</v>
      </c>
      <c r="M456" s="22">
        <f>L456*2</f>
        <v>46.533333333333331</v>
      </c>
      <c r="N456" s="22">
        <f>M456/0.15</f>
        <v>310.22222222222223</v>
      </c>
      <c r="O456" s="22">
        <f>N456+K456</f>
        <v>775.55555555555554</v>
      </c>
      <c r="P456" s="22">
        <f>O456/6</f>
        <v>129.25925925925927</v>
      </c>
    </row>
    <row r="457" spans="1:17" x14ac:dyDescent="0.2">
      <c r="A457" s="147"/>
      <c r="B457" s="148" t="s">
        <v>243</v>
      </c>
      <c r="C457" s="149" t="s">
        <v>8</v>
      </c>
      <c r="D457" s="150">
        <v>130</v>
      </c>
      <c r="E457" s="185"/>
      <c r="F457" s="145"/>
      <c r="G457" s="146">
        <f t="shared" si="52"/>
        <v>0</v>
      </c>
      <c r="I457" s="31">
        <f>0.222*D457*6</f>
        <v>173.16</v>
      </c>
    </row>
    <row r="458" spans="1:17" x14ac:dyDescent="0.2">
      <c r="A458" s="147"/>
      <c r="B458" s="148" t="s">
        <v>14</v>
      </c>
      <c r="C458" s="149" t="s">
        <v>9</v>
      </c>
      <c r="D458" s="150">
        <f>D455*20</f>
        <v>21.854400000000005</v>
      </c>
      <c r="E458" s="185"/>
      <c r="F458" s="145"/>
      <c r="G458" s="146">
        <f t="shared" si="52"/>
        <v>0</v>
      </c>
      <c r="I458" s="31">
        <f>SUM(I456:I457)</f>
        <v>1092.7200000000003</v>
      </c>
      <c r="J458" s="31"/>
    </row>
    <row r="459" spans="1:17" x14ac:dyDescent="0.2">
      <c r="A459" s="147" t="s">
        <v>195</v>
      </c>
      <c r="B459" s="148" t="s">
        <v>476</v>
      </c>
      <c r="C459" s="149" t="s">
        <v>138</v>
      </c>
      <c r="D459" s="150">
        <f>I462/1000</f>
        <v>0.39675600000000005</v>
      </c>
      <c r="E459" s="185"/>
      <c r="F459" s="145"/>
      <c r="G459" s="146">
        <f t="shared" si="52"/>
        <v>0</v>
      </c>
      <c r="I459" s="31"/>
      <c r="J459" s="31"/>
    </row>
    <row r="460" spans="1:17" x14ac:dyDescent="0.2">
      <c r="A460" s="147"/>
      <c r="B460" s="148" t="s">
        <v>240</v>
      </c>
      <c r="C460" s="149" t="s">
        <v>8</v>
      </c>
      <c r="D460" s="150">
        <v>33</v>
      </c>
      <c r="E460" s="185"/>
      <c r="F460" s="145"/>
      <c r="G460" s="146">
        <f t="shared" si="52"/>
        <v>0</v>
      </c>
      <c r="I460" s="31">
        <f>D460*1.58*6</f>
        <v>312.84000000000003</v>
      </c>
      <c r="J460" s="22">
        <v>18.899999999999999</v>
      </c>
      <c r="K460" s="22">
        <f>J460/0.15</f>
        <v>126</v>
      </c>
      <c r="L460" s="22">
        <f>K460*2</f>
        <v>252</v>
      </c>
      <c r="M460" s="22">
        <f>L460/4</f>
        <v>63</v>
      </c>
    </row>
    <row r="461" spans="1:17" x14ac:dyDescent="0.2">
      <c r="A461" s="147"/>
      <c r="B461" s="148" t="s">
        <v>243</v>
      </c>
      <c r="C461" s="149" t="s">
        <v>8</v>
      </c>
      <c r="D461" s="150">
        <v>63</v>
      </c>
      <c r="E461" s="185"/>
      <c r="F461" s="145"/>
      <c r="G461" s="146">
        <f t="shared" si="52"/>
        <v>0</v>
      </c>
      <c r="I461" s="31">
        <f>0.222*D461*6</f>
        <v>83.915999999999997</v>
      </c>
    </row>
    <row r="462" spans="1:17" x14ac:dyDescent="0.2">
      <c r="A462" s="147"/>
      <c r="B462" s="148" t="s">
        <v>14</v>
      </c>
      <c r="C462" s="149" t="s">
        <v>9</v>
      </c>
      <c r="D462" s="150">
        <f>D459*20</f>
        <v>7.9351200000000013</v>
      </c>
      <c r="E462" s="185"/>
      <c r="F462" s="145"/>
      <c r="G462" s="146">
        <f t="shared" si="52"/>
        <v>0</v>
      </c>
      <c r="I462" s="31">
        <f>SUM(I460:I461)</f>
        <v>396.75600000000003</v>
      </c>
      <c r="J462" s="31"/>
    </row>
    <row r="463" spans="1:17" x14ac:dyDescent="0.2">
      <c r="A463" s="186" t="s">
        <v>172</v>
      </c>
      <c r="B463" s="187" t="s">
        <v>297</v>
      </c>
      <c r="C463" s="188" t="s">
        <v>138</v>
      </c>
      <c r="D463" s="189">
        <f>I466/1000</f>
        <v>1.8532799999999998</v>
      </c>
      <c r="E463" s="190"/>
      <c r="F463" s="145"/>
      <c r="G463" s="146">
        <f t="shared" si="51"/>
        <v>0</v>
      </c>
      <c r="H463" s="38"/>
      <c r="I463" s="34"/>
      <c r="J463" s="22">
        <f>9.8*3.415</f>
        <v>33.467000000000006</v>
      </c>
      <c r="K463" s="22">
        <f>10.7*3.4</f>
        <v>36.379999999999995</v>
      </c>
      <c r="L463" s="22">
        <f>1.95*2</f>
        <v>3.9</v>
      </c>
      <c r="M463" s="22">
        <f>SUM(J463:L463)</f>
        <v>73.747000000000014</v>
      </c>
    </row>
    <row r="464" spans="1:17" x14ac:dyDescent="0.2">
      <c r="A464" s="191" t="s">
        <v>183</v>
      </c>
      <c r="B464" s="148" t="s">
        <v>242</v>
      </c>
      <c r="C464" s="193" t="s">
        <v>8</v>
      </c>
      <c r="D464" s="194">
        <v>456</v>
      </c>
      <c r="E464" s="195"/>
      <c r="F464" s="196"/>
      <c r="G464" s="146">
        <f t="shared" si="51"/>
        <v>0</v>
      </c>
      <c r="H464" s="38"/>
      <c r="I464" s="31">
        <f>0.617*D464*6</f>
        <v>1688.1119999999999</v>
      </c>
      <c r="J464" s="22">
        <f>J463*22*2</f>
        <v>1472.5480000000002</v>
      </c>
      <c r="K464" s="22">
        <f>K463*14</f>
        <v>509.31999999999994</v>
      </c>
      <c r="L464" s="22">
        <f>L463*14</f>
        <v>54.6</v>
      </c>
      <c r="M464" s="22">
        <f>SUM(K464:L464)</f>
        <v>563.91999999999996</v>
      </c>
      <c r="N464" s="22">
        <f>M464*80%</f>
        <v>451.13599999999997</v>
      </c>
      <c r="O464" s="22">
        <f>J464+M464+N464</f>
        <v>2487.6040000000003</v>
      </c>
      <c r="P464" s="22">
        <f>O464/6</f>
        <v>414.60066666666671</v>
      </c>
      <c r="Q464" s="22">
        <f>P464*110%</f>
        <v>456.06073333333342</v>
      </c>
    </row>
    <row r="465" spans="1:12" x14ac:dyDescent="0.2">
      <c r="A465" s="191"/>
      <c r="B465" s="148" t="s">
        <v>241</v>
      </c>
      <c r="C465" s="193" t="s">
        <v>8</v>
      </c>
      <c r="D465" s="194">
        <v>31</v>
      </c>
      <c r="E465" s="195"/>
      <c r="F465" s="196"/>
      <c r="G465" s="146">
        <f t="shared" si="51"/>
        <v>0</v>
      </c>
      <c r="H465" s="38"/>
      <c r="I465" s="31">
        <f>0.888*D465*6</f>
        <v>165.16800000000001</v>
      </c>
    </row>
    <row r="466" spans="1:12" x14ac:dyDescent="0.2">
      <c r="A466" s="191"/>
      <c r="B466" s="192" t="s">
        <v>14</v>
      </c>
      <c r="C466" s="193" t="s">
        <v>9</v>
      </c>
      <c r="D466" s="194">
        <f>D463*15</f>
        <v>27.799199999999999</v>
      </c>
      <c r="E466" s="195"/>
      <c r="F466" s="196"/>
      <c r="G466" s="146">
        <f t="shared" si="51"/>
        <v>0</v>
      </c>
      <c r="H466" s="38"/>
      <c r="I466" s="31">
        <f>SUM(I463:I465)</f>
        <v>1853.2799999999997</v>
      </c>
    </row>
    <row r="467" spans="1:12" x14ac:dyDescent="0.2">
      <c r="A467" s="147"/>
      <c r="B467" s="148"/>
      <c r="C467" s="149"/>
      <c r="D467" s="150"/>
      <c r="E467" s="185"/>
      <c r="F467" s="145"/>
      <c r="G467" s="146"/>
      <c r="I467" s="31"/>
      <c r="J467" s="31"/>
    </row>
    <row r="468" spans="1:12" x14ac:dyDescent="0.2">
      <c r="A468" s="133" t="s">
        <v>159</v>
      </c>
      <c r="B468" s="134" t="s">
        <v>212</v>
      </c>
      <c r="C468" s="179"/>
      <c r="D468" s="180"/>
      <c r="E468" s="181"/>
      <c r="F468" s="182"/>
      <c r="G468" s="183">
        <f>(D468*E468)+(D468*F468)</f>
        <v>0</v>
      </c>
    </row>
    <row r="469" spans="1:12" x14ac:dyDescent="0.2">
      <c r="A469" s="198" t="s">
        <v>194</v>
      </c>
      <c r="B469" s="152" t="s">
        <v>302</v>
      </c>
      <c r="C469" s="149"/>
      <c r="D469" s="150"/>
      <c r="E469" s="185"/>
      <c r="F469" s="145"/>
      <c r="G469" s="146">
        <f t="shared" ref="G469:G481" si="53">(D469*E469)+(D469*F469)</f>
        <v>0</v>
      </c>
    </row>
    <row r="470" spans="1:12" ht="48" customHeight="1" x14ac:dyDescent="0.2">
      <c r="A470" s="199"/>
      <c r="B470" s="148" t="s">
        <v>507</v>
      </c>
      <c r="C470" s="149" t="s">
        <v>146</v>
      </c>
      <c r="D470" s="150">
        <v>10.7</v>
      </c>
      <c r="E470" s="185"/>
      <c r="F470" s="145"/>
      <c r="G470" s="146">
        <f t="shared" si="53"/>
        <v>0</v>
      </c>
      <c r="I470" s="22">
        <f>18.1*0.2*0.2*8</f>
        <v>5.7920000000000016</v>
      </c>
      <c r="J470" s="22">
        <f>18.1*0.45*0.1*6</f>
        <v>4.8870000000000013</v>
      </c>
      <c r="L470" s="22">
        <f>SUM(I470:K470)</f>
        <v>10.679000000000002</v>
      </c>
    </row>
    <row r="471" spans="1:12" ht="12" customHeight="1" x14ac:dyDescent="0.2">
      <c r="A471" s="198" t="s">
        <v>195</v>
      </c>
      <c r="B471" s="152" t="s">
        <v>303</v>
      </c>
      <c r="C471" s="149"/>
      <c r="D471" s="150"/>
      <c r="E471" s="185"/>
      <c r="F471" s="145"/>
      <c r="G471" s="146">
        <f t="shared" ref="G471:G472" si="54">(D471*E471)+(D471*F471)</f>
        <v>0</v>
      </c>
    </row>
    <row r="472" spans="1:12" ht="49.5" customHeight="1" thickBot="1" x14ac:dyDescent="0.25">
      <c r="A472" s="576"/>
      <c r="B472" s="577" t="s">
        <v>403</v>
      </c>
      <c r="C472" s="209" t="s">
        <v>146</v>
      </c>
      <c r="D472" s="159">
        <v>3.4</v>
      </c>
      <c r="E472" s="206"/>
      <c r="F472" s="161"/>
      <c r="G472" s="162">
        <f t="shared" si="54"/>
        <v>0</v>
      </c>
      <c r="I472" s="22">
        <f>13.3*3</f>
        <v>39.900000000000006</v>
      </c>
      <c r="J472" s="22">
        <f>I472*0.85*0.1</f>
        <v>3.3915000000000006</v>
      </c>
    </row>
    <row r="473" spans="1:12" ht="12" customHeight="1" x14ac:dyDescent="0.2">
      <c r="A473" s="199"/>
      <c r="B473" s="148"/>
      <c r="C473" s="149"/>
      <c r="D473" s="150"/>
      <c r="E473" s="185"/>
      <c r="F473" s="145"/>
      <c r="G473" s="146"/>
    </row>
    <row r="474" spans="1:12" ht="12" customHeight="1" x14ac:dyDescent="0.2">
      <c r="A474" s="198" t="s">
        <v>197</v>
      </c>
      <c r="B474" s="152" t="s">
        <v>386</v>
      </c>
      <c r="C474" s="149"/>
      <c r="D474" s="150"/>
      <c r="E474" s="185"/>
      <c r="F474" s="145"/>
      <c r="G474" s="146">
        <f>(D474*E474)+(D474*F474)</f>
        <v>0</v>
      </c>
    </row>
    <row r="475" spans="1:12" ht="61.5" customHeight="1" x14ac:dyDescent="0.2">
      <c r="A475" s="199"/>
      <c r="B475" s="200" t="s">
        <v>387</v>
      </c>
      <c r="C475" s="149" t="s">
        <v>146</v>
      </c>
      <c r="D475" s="589" t="s">
        <v>519</v>
      </c>
      <c r="E475" s="590"/>
      <c r="F475" s="591"/>
      <c r="G475" s="146"/>
    </row>
    <row r="476" spans="1:12" ht="17.25" customHeight="1" x14ac:dyDescent="0.2">
      <c r="A476" s="198" t="s">
        <v>196</v>
      </c>
      <c r="B476" s="152" t="s">
        <v>388</v>
      </c>
      <c r="C476" s="149"/>
      <c r="D476" s="150"/>
      <c r="E476" s="185"/>
      <c r="F476" s="145"/>
      <c r="G476" s="146">
        <f>(D476*E476)+(D476*F476)</f>
        <v>0</v>
      </c>
    </row>
    <row r="477" spans="1:12" ht="62.25" customHeight="1" x14ac:dyDescent="0.2">
      <c r="A477" s="199"/>
      <c r="B477" s="200" t="s">
        <v>389</v>
      </c>
      <c r="C477" s="149" t="s">
        <v>146</v>
      </c>
      <c r="D477" s="201">
        <v>0.6</v>
      </c>
      <c r="E477" s="144"/>
      <c r="F477" s="145"/>
      <c r="G477" s="146">
        <f t="shared" ref="G477" si="55">(D477*E477)+(D477*F477)</f>
        <v>0</v>
      </c>
      <c r="I477" s="22">
        <f>1.8*0.95*0.075*3</f>
        <v>0.38475000000000004</v>
      </c>
      <c r="J477" s="22">
        <f>0.2*0.2*1.8*3</f>
        <v>0.21600000000000008</v>
      </c>
      <c r="K477" s="22">
        <f>SUM(I477:J477)</f>
        <v>0.60075000000000012</v>
      </c>
    </row>
    <row r="478" spans="1:12" x14ac:dyDescent="0.2">
      <c r="A478" s="151" t="s">
        <v>160</v>
      </c>
      <c r="B478" s="152" t="s">
        <v>274</v>
      </c>
      <c r="C478" s="149"/>
      <c r="D478" s="150"/>
      <c r="E478" s="185"/>
      <c r="F478" s="145"/>
      <c r="G478" s="146">
        <f t="shared" si="53"/>
        <v>0</v>
      </c>
    </row>
    <row r="479" spans="1:12" ht="36" x14ac:dyDescent="0.2">
      <c r="A479" s="199" t="s">
        <v>62</v>
      </c>
      <c r="B479" s="148" t="s">
        <v>206</v>
      </c>
      <c r="C479" s="149" t="s">
        <v>147</v>
      </c>
      <c r="D479" s="150">
        <f>D99+D187+D188+D570</f>
        <v>437.01000000000005</v>
      </c>
      <c r="E479" s="185"/>
      <c r="F479" s="145"/>
      <c r="G479" s="146">
        <f t="shared" si="53"/>
        <v>0</v>
      </c>
      <c r="J479" s="31"/>
    </row>
    <row r="480" spans="1:12" ht="40.5" customHeight="1" x14ac:dyDescent="0.2">
      <c r="A480" s="199" t="s">
        <v>63</v>
      </c>
      <c r="B480" s="148" t="s">
        <v>174</v>
      </c>
      <c r="C480" s="149" t="s">
        <v>15</v>
      </c>
      <c r="D480" s="150">
        <v>1</v>
      </c>
      <c r="E480" s="185"/>
      <c r="F480" s="145"/>
      <c r="G480" s="146">
        <f t="shared" ref="G480" si="56">(D480*E480)+(D480*F480)</f>
        <v>0</v>
      </c>
    </row>
    <row r="481" spans="1:13" ht="38.25" customHeight="1" x14ac:dyDescent="0.2">
      <c r="A481" s="199" t="s">
        <v>67</v>
      </c>
      <c r="B481" s="148" t="s">
        <v>184</v>
      </c>
      <c r="C481" s="149" t="s">
        <v>15</v>
      </c>
      <c r="D481" s="150">
        <v>1</v>
      </c>
      <c r="E481" s="185"/>
      <c r="F481" s="145"/>
      <c r="G481" s="146">
        <f t="shared" si="53"/>
        <v>0</v>
      </c>
      <c r="I481" s="31"/>
      <c r="J481" s="48"/>
      <c r="K481" s="48"/>
      <c r="L481" s="31"/>
      <c r="M481" s="48"/>
    </row>
    <row r="482" spans="1:13" x14ac:dyDescent="0.2">
      <c r="A482" s="147"/>
      <c r="B482" s="202"/>
      <c r="C482" s="153"/>
      <c r="D482" s="154"/>
      <c r="E482" s="185"/>
      <c r="F482" s="145"/>
      <c r="G482" s="146"/>
      <c r="I482" s="48"/>
      <c r="J482" s="48"/>
      <c r="K482" s="48"/>
      <c r="L482" s="48"/>
      <c r="M482" s="48"/>
    </row>
    <row r="483" spans="1:13" x14ac:dyDescent="0.2">
      <c r="A483" s="147"/>
      <c r="B483" s="202"/>
      <c r="C483" s="153"/>
      <c r="D483" s="154"/>
      <c r="E483" s="185"/>
      <c r="F483" s="145"/>
      <c r="G483" s="146"/>
      <c r="I483" s="48"/>
      <c r="J483" s="48"/>
      <c r="K483" s="48"/>
      <c r="L483" s="48"/>
      <c r="M483" s="48"/>
    </row>
    <row r="484" spans="1:13" x14ac:dyDescent="0.2">
      <c r="A484" s="147"/>
      <c r="B484" s="202"/>
      <c r="C484" s="153"/>
      <c r="D484" s="154"/>
      <c r="E484" s="185"/>
      <c r="F484" s="145"/>
      <c r="G484" s="146"/>
      <c r="I484" s="48"/>
      <c r="J484" s="48"/>
      <c r="K484" s="48"/>
      <c r="L484" s="48"/>
      <c r="M484" s="48"/>
    </row>
    <row r="485" spans="1:13" x14ac:dyDescent="0.2">
      <c r="A485" s="147"/>
      <c r="B485" s="202"/>
      <c r="C485" s="153"/>
      <c r="D485" s="154"/>
      <c r="E485" s="185"/>
      <c r="F485" s="145"/>
      <c r="G485" s="146"/>
      <c r="I485" s="48"/>
      <c r="J485" s="48"/>
      <c r="K485" s="48"/>
      <c r="L485" s="48"/>
      <c r="M485" s="48"/>
    </row>
    <row r="486" spans="1:13" x14ac:dyDescent="0.2">
      <c r="A486" s="147"/>
      <c r="B486" s="202"/>
      <c r="C486" s="153"/>
      <c r="D486" s="154"/>
      <c r="E486" s="185"/>
      <c r="F486" s="145"/>
      <c r="G486" s="146"/>
      <c r="I486" s="48"/>
      <c r="J486" s="48"/>
      <c r="K486" s="48"/>
      <c r="L486" s="48"/>
      <c r="M486" s="48"/>
    </row>
    <row r="487" spans="1:13" x14ac:dyDescent="0.2">
      <c r="A487" s="147"/>
      <c r="B487" s="202"/>
      <c r="C487" s="153"/>
      <c r="D487" s="154"/>
      <c r="E487" s="185"/>
      <c r="F487" s="145"/>
      <c r="G487" s="146"/>
      <c r="I487" s="48"/>
      <c r="J487" s="48"/>
      <c r="K487" s="48"/>
      <c r="L487" s="48"/>
      <c r="M487" s="48"/>
    </row>
    <row r="488" spans="1:13" x14ac:dyDescent="0.2">
      <c r="A488" s="147"/>
      <c r="B488" s="202"/>
      <c r="C488" s="153"/>
      <c r="D488" s="154"/>
      <c r="E488" s="185"/>
      <c r="F488" s="145"/>
      <c r="G488" s="146"/>
      <c r="I488" s="48"/>
      <c r="J488" s="48"/>
      <c r="K488" s="48"/>
      <c r="L488" s="48"/>
      <c r="M488" s="48"/>
    </row>
    <row r="489" spans="1:13" x14ac:dyDescent="0.2">
      <c r="A489" s="147"/>
      <c r="B489" s="202"/>
      <c r="C489" s="153"/>
      <c r="D489" s="154"/>
      <c r="E489" s="185"/>
      <c r="F489" s="145"/>
      <c r="G489" s="146"/>
      <c r="I489" s="48"/>
      <c r="J489" s="48"/>
      <c r="K489" s="48"/>
      <c r="L489" s="48"/>
      <c r="M489" s="48"/>
    </row>
    <row r="490" spans="1:13" x14ac:dyDescent="0.2">
      <c r="A490" s="147"/>
      <c r="B490" s="202"/>
      <c r="C490" s="153"/>
      <c r="D490" s="154"/>
      <c r="E490" s="185"/>
      <c r="F490" s="145"/>
      <c r="G490" s="146"/>
      <c r="I490" s="48"/>
      <c r="J490" s="48"/>
      <c r="K490" s="48"/>
      <c r="L490" s="48"/>
      <c r="M490" s="48"/>
    </row>
    <row r="491" spans="1:13" x14ac:dyDescent="0.2">
      <c r="A491" s="147"/>
      <c r="B491" s="202"/>
      <c r="C491" s="153"/>
      <c r="D491" s="154"/>
      <c r="E491" s="185"/>
      <c r="F491" s="145"/>
      <c r="G491" s="146"/>
      <c r="I491" s="48"/>
      <c r="J491" s="48"/>
      <c r="K491" s="48"/>
      <c r="L491" s="48"/>
      <c r="M491" s="48"/>
    </row>
    <row r="492" spans="1:13" x14ac:dyDescent="0.2">
      <c r="A492" s="147"/>
      <c r="B492" s="202"/>
      <c r="C492" s="153"/>
      <c r="D492" s="154"/>
      <c r="E492" s="185"/>
      <c r="F492" s="145"/>
      <c r="G492" s="146"/>
      <c r="I492" s="48"/>
      <c r="J492" s="48"/>
      <c r="K492" s="48"/>
      <c r="L492" s="48"/>
      <c r="M492" s="48"/>
    </row>
    <row r="493" spans="1:13" x14ac:dyDescent="0.2">
      <c r="A493" s="147"/>
      <c r="B493" s="202"/>
      <c r="C493" s="153"/>
      <c r="D493" s="154"/>
      <c r="E493" s="185"/>
      <c r="F493" s="145"/>
      <c r="G493" s="146"/>
      <c r="I493" s="48"/>
      <c r="J493" s="48"/>
      <c r="K493" s="48"/>
      <c r="L493" s="48"/>
      <c r="M493" s="48"/>
    </row>
    <row r="494" spans="1:13" x14ac:dyDescent="0.2">
      <c r="A494" s="147"/>
      <c r="B494" s="202"/>
      <c r="C494" s="153"/>
      <c r="D494" s="154"/>
      <c r="E494" s="185"/>
      <c r="F494" s="145"/>
      <c r="G494" s="146"/>
      <c r="I494" s="48"/>
      <c r="J494" s="48"/>
      <c r="K494" s="48"/>
      <c r="L494" s="48"/>
      <c r="M494" s="48"/>
    </row>
    <row r="495" spans="1:13" x14ac:dyDescent="0.2">
      <c r="A495" s="147"/>
      <c r="B495" s="202"/>
      <c r="C495" s="153"/>
      <c r="D495" s="154"/>
      <c r="E495" s="185"/>
      <c r="F495" s="145"/>
      <c r="G495" s="146"/>
      <c r="I495" s="48"/>
      <c r="J495" s="48"/>
      <c r="K495" s="48"/>
      <c r="L495" s="48"/>
      <c r="M495" s="48"/>
    </row>
    <row r="496" spans="1:13" x14ac:dyDescent="0.2">
      <c r="A496" s="147"/>
      <c r="B496" s="202"/>
      <c r="C496" s="153"/>
      <c r="D496" s="154"/>
      <c r="E496" s="185"/>
      <c r="F496" s="145"/>
      <c r="G496" s="146"/>
      <c r="I496" s="48"/>
      <c r="J496" s="48"/>
      <c r="K496" s="48"/>
      <c r="L496" s="48"/>
      <c r="M496" s="48"/>
    </row>
    <row r="497" spans="1:13" x14ac:dyDescent="0.2">
      <c r="A497" s="147"/>
      <c r="B497" s="202"/>
      <c r="C497" s="153"/>
      <c r="D497" s="154"/>
      <c r="E497" s="185"/>
      <c r="F497" s="145"/>
      <c r="G497" s="146"/>
      <c r="I497" s="48"/>
      <c r="J497" s="48"/>
      <c r="K497" s="48"/>
      <c r="L497" s="48"/>
      <c r="M497" s="48"/>
    </row>
    <row r="498" spans="1:13" x14ac:dyDescent="0.2">
      <c r="A498" s="147"/>
      <c r="B498" s="202"/>
      <c r="C498" s="153"/>
      <c r="D498" s="154"/>
      <c r="E498" s="185"/>
      <c r="F498" s="145"/>
      <c r="G498" s="146"/>
      <c r="I498" s="48"/>
      <c r="J498" s="48"/>
      <c r="K498" s="48"/>
      <c r="L498" s="48"/>
      <c r="M498" s="48"/>
    </row>
    <row r="499" spans="1:13" x14ac:dyDescent="0.2">
      <c r="A499" s="147"/>
      <c r="B499" s="202"/>
      <c r="C499" s="153"/>
      <c r="D499" s="154"/>
      <c r="E499" s="185"/>
      <c r="F499" s="145"/>
      <c r="G499" s="146"/>
      <c r="I499" s="48"/>
      <c r="J499" s="48"/>
      <c r="K499" s="48"/>
      <c r="L499" s="48"/>
      <c r="M499" s="48"/>
    </row>
    <row r="500" spans="1:13" x14ac:dyDescent="0.2">
      <c r="A500" s="147"/>
      <c r="B500" s="202"/>
      <c r="C500" s="153"/>
      <c r="D500" s="154"/>
      <c r="E500" s="185"/>
      <c r="F500" s="145"/>
      <c r="G500" s="146"/>
      <c r="I500" s="48"/>
      <c r="J500" s="48"/>
      <c r="K500" s="48"/>
      <c r="L500" s="48"/>
      <c r="M500" s="48"/>
    </row>
    <row r="501" spans="1:13" x14ac:dyDescent="0.2">
      <c r="A501" s="147"/>
      <c r="B501" s="202"/>
      <c r="C501" s="153"/>
      <c r="D501" s="154"/>
      <c r="E501" s="185"/>
      <c r="F501" s="145"/>
      <c r="G501" s="146"/>
      <c r="I501" s="48"/>
      <c r="J501" s="48"/>
      <c r="K501" s="48"/>
      <c r="L501" s="48"/>
      <c r="M501" s="48"/>
    </row>
    <row r="502" spans="1:13" x14ac:dyDescent="0.2">
      <c r="A502" s="147"/>
      <c r="B502" s="202"/>
      <c r="C502" s="153"/>
      <c r="D502" s="154"/>
      <c r="E502" s="185"/>
      <c r="F502" s="145"/>
      <c r="G502" s="146"/>
      <c r="I502" s="48"/>
      <c r="J502" s="48"/>
      <c r="K502" s="48"/>
      <c r="L502" s="48"/>
      <c r="M502" s="48"/>
    </row>
    <row r="503" spans="1:13" x14ac:dyDescent="0.2">
      <c r="A503" s="147"/>
      <c r="B503" s="202"/>
      <c r="C503" s="153"/>
      <c r="D503" s="154"/>
      <c r="E503" s="185"/>
      <c r="F503" s="145"/>
      <c r="G503" s="146"/>
      <c r="I503" s="48"/>
      <c r="J503" s="48"/>
      <c r="K503" s="48"/>
      <c r="L503" s="48"/>
      <c r="M503" s="48"/>
    </row>
    <row r="504" spans="1:13" x14ac:dyDescent="0.2">
      <c r="A504" s="147"/>
      <c r="B504" s="202"/>
      <c r="C504" s="153"/>
      <c r="D504" s="154"/>
      <c r="E504" s="185"/>
      <c r="F504" s="145"/>
      <c r="G504" s="146"/>
      <c r="I504" s="48"/>
      <c r="J504" s="48"/>
      <c r="K504" s="48"/>
      <c r="L504" s="48"/>
      <c r="M504" s="48"/>
    </row>
    <row r="505" spans="1:13" x14ac:dyDescent="0.2">
      <c r="A505" s="147"/>
      <c r="B505" s="202"/>
      <c r="C505" s="153"/>
      <c r="D505" s="154"/>
      <c r="E505" s="185"/>
      <c r="F505" s="145"/>
      <c r="G505" s="146"/>
      <c r="I505" s="48"/>
      <c r="J505" s="48"/>
      <c r="K505" s="48"/>
      <c r="L505" s="48"/>
      <c r="M505" s="48"/>
    </row>
    <row r="506" spans="1:13" x14ac:dyDescent="0.2">
      <c r="A506" s="147"/>
      <c r="B506" s="202"/>
      <c r="C506" s="153"/>
      <c r="D506" s="154"/>
      <c r="E506" s="185"/>
      <c r="F506" s="145"/>
      <c r="G506" s="146"/>
      <c r="I506" s="48"/>
      <c r="J506" s="48"/>
      <c r="K506" s="48"/>
      <c r="L506" s="48"/>
      <c r="M506" s="48"/>
    </row>
    <row r="507" spans="1:13" x14ac:dyDescent="0.2">
      <c r="A507" s="147"/>
      <c r="B507" s="202"/>
      <c r="C507" s="153"/>
      <c r="D507" s="154"/>
      <c r="E507" s="185"/>
      <c r="F507" s="145"/>
      <c r="G507" s="146"/>
      <c r="I507" s="48"/>
      <c r="J507" s="48"/>
      <c r="K507" s="48"/>
      <c r="L507" s="48"/>
      <c r="M507" s="48"/>
    </row>
    <row r="508" spans="1:13" x14ac:dyDescent="0.2">
      <c r="A508" s="147"/>
      <c r="B508" s="202"/>
      <c r="C508" s="153"/>
      <c r="D508" s="154"/>
      <c r="E508" s="185"/>
      <c r="F508" s="145"/>
      <c r="G508" s="146"/>
      <c r="I508" s="48"/>
      <c r="J508" s="48"/>
      <c r="K508" s="48"/>
      <c r="L508" s="48"/>
      <c r="M508" s="48"/>
    </row>
    <row r="509" spans="1:13" x14ac:dyDescent="0.2">
      <c r="A509" s="147"/>
      <c r="B509" s="202"/>
      <c r="C509" s="153"/>
      <c r="D509" s="154"/>
      <c r="E509" s="185"/>
      <c r="F509" s="145"/>
      <c r="G509" s="146"/>
      <c r="I509" s="48"/>
      <c r="J509" s="48"/>
      <c r="K509" s="48"/>
      <c r="L509" s="48"/>
      <c r="M509" s="48"/>
    </row>
    <row r="510" spans="1:13" x14ac:dyDescent="0.2">
      <c r="A510" s="147"/>
      <c r="B510" s="202"/>
      <c r="C510" s="153"/>
      <c r="D510" s="154"/>
      <c r="E510" s="185"/>
      <c r="F510" s="145"/>
      <c r="G510" s="146"/>
      <c r="I510" s="48"/>
      <c r="J510" s="48"/>
      <c r="K510" s="48"/>
      <c r="L510" s="48"/>
      <c r="M510" s="48"/>
    </row>
    <row r="511" spans="1:13" x14ac:dyDescent="0.2">
      <c r="A511" s="147"/>
      <c r="B511" s="202"/>
      <c r="C511" s="153"/>
      <c r="D511" s="154"/>
      <c r="E511" s="185"/>
      <c r="F511" s="145"/>
      <c r="G511" s="146"/>
      <c r="I511" s="48"/>
      <c r="J511" s="48"/>
      <c r="K511" s="48"/>
      <c r="L511" s="48"/>
      <c r="M511" s="48"/>
    </row>
    <row r="512" spans="1:13" x14ac:dyDescent="0.2">
      <c r="A512" s="147"/>
      <c r="B512" s="202"/>
      <c r="C512" s="153"/>
      <c r="D512" s="154"/>
      <c r="E512" s="185"/>
      <c r="F512" s="145"/>
      <c r="G512" s="146"/>
      <c r="I512" s="48"/>
      <c r="J512" s="48"/>
      <c r="K512" s="48"/>
      <c r="L512" s="48"/>
      <c r="M512" s="48"/>
    </row>
    <row r="513" spans="1:13" x14ac:dyDescent="0.2">
      <c r="A513" s="147"/>
      <c r="B513" s="202"/>
      <c r="C513" s="153"/>
      <c r="D513" s="154"/>
      <c r="E513" s="185"/>
      <c r="F513" s="145"/>
      <c r="G513" s="146"/>
      <c r="I513" s="48"/>
      <c r="J513" s="48"/>
      <c r="K513" s="48"/>
      <c r="L513" s="48"/>
      <c r="M513" s="48"/>
    </row>
    <row r="514" spans="1:13" ht="12.75" thickBot="1" x14ac:dyDescent="0.25">
      <c r="A514" s="158"/>
      <c r="B514" s="203"/>
      <c r="C514" s="204"/>
      <c r="D514" s="205"/>
      <c r="E514" s="206"/>
      <c r="F514" s="161"/>
      <c r="G514" s="162"/>
      <c r="I514" s="48"/>
      <c r="J514" s="48"/>
      <c r="K514" s="48"/>
      <c r="L514" s="48"/>
      <c r="M514" s="48"/>
    </row>
    <row r="515" spans="1:13" x14ac:dyDescent="0.2">
      <c r="A515" s="117"/>
      <c r="B515" s="118" t="s">
        <v>155</v>
      </c>
      <c r="C515" s="130"/>
      <c r="D515" s="120"/>
      <c r="E515" s="121"/>
      <c r="F515" s="170"/>
      <c r="G515" s="172"/>
    </row>
    <row r="516" spans="1:13" ht="12.75" thickBot="1" x14ac:dyDescent="0.25">
      <c r="A516" s="123"/>
      <c r="B516" s="106" t="s">
        <v>181</v>
      </c>
      <c r="C516" s="131"/>
      <c r="D516" s="125"/>
      <c r="E516" s="126"/>
      <c r="F516" s="108"/>
      <c r="G516" s="173">
        <f>SUM(G99:G481)</f>
        <v>0</v>
      </c>
    </row>
    <row r="517" spans="1:13" x14ac:dyDescent="0.2">
      <c r="A517" s="61"/>
      <c r="B517" s="69"/>
      <c r="C517" s="66"/>
      <c r="D517" s="57"/>
      <c r="E517" s="64"/>
      <c r="F517" s="46"/>
      <c r="G517" s="75"/>
    </row>
    <row r="518" spans="1:13" x14ac:dyDescent="0.2">
      <c r="A518" s="61"/>
      <c r="B518" s="79" t="s">
        <v>100</v>
      </c>
      <c r="C518" s="66"/>
      <c r="D518" s="57"/>
      <c r="E518" s="64"/>
      <c r="F518" s="46"/>
      <c r="G518" s="67"/>
    </row>
    <row r="519" spans="1:13" ht="12.75" thickBot="1" x14ac:dyDescent="0.25">
      <c r="A519" s="61"/>
      <c r="B519" s="62" t="s">
        <v>101</v>
      </c>
      <c r="C519" s="66"/>
      <c r="D519" s="57"/>
      <c r="E519" s="64"/>
      <c r="F519" s="46"/>
      <c r="G519" s="67"/>
    </row>
    <row r="520" spans="1:13" x14ac:dyDescent="0.2">
      <c r="A520" s="528">
        <v>4.0999999999999996</v>
      </c>
      <c r="B520" s="531" t="s">
        <v>40</v>
      </c>
      <c r="C520" s="130"/>
      <c r="D520" s="120"/>
      <c r="E520" s="532"/>
      <c r="F520" s="273"/>
      <c r="G520" s="172"/>
    </row>
    <row r="521" spans="1:13" ht="37.5" customHeight="1" x14ac:dyDescent="0.2">
      <c r="A521" s="140"/>
      <c r="B521" s="629" t="s">
        <v>214</v>
      </c>
      <c r="C521" s="629"/>
      <c r="D521" s="629"/>
      <c r="E521" s="629"/>
      <c r="F521" s="219"/>
      <c r="G521" s="527"/>
    </row>
    <row r="522" spans="1:13" ht="38.25" customHeight="1" x14ac:dyDescent="0.2">
      <c r="A522" s="140"/>
      <c r="B522" s="629" t="s">
        <v>213</v>
      </c>
      <c r="C522" s="629"/>
      <c r="D522" s="629"/>
      <c r="E522" s="629"/>
      <c r="F522" s="221"/>
      <c r="G522" s="220"/>
    </row>
    <row r="523" spans="1:13" ht="30" customHeight="1" thickBot="1" x14ac:dyDescent="0.25">
      <c r="A523" s="274"/>
      <c r="B523" s="631" t="s">
        <v>280</v>
      </c>
      <c r="C523" s="631"/>
      <c r="D523" s="631"/>
      <c r="E523" s="631"/>
      <c r="F523" s="529"/>
      <c r="G523" s="530"/>
    </row>
    <row r="524" spans="1:13" x14ac:dyDescent="0.2">
      <c r="A524" s="151" t="s">
        <v>139</v>
      </c>
      <c r="B524" s="222" t="s">
        <v>142</v>
      </c>
      <c r="C524" s="149"/>
      <c r="D524" s="150"/>
      <c r="E524" s="185"/>
      <c r="F524" s="145"/>
      <c r="G524" s="146"/>
    </row>
    <row r="525" spans="1:13" x14ac:dyDescent="0.2">
      <c r="A525" s="133" t="s">
        <v>156</v>
      </c>
      <c r="B525" s="210" t="s">
        <v>141</v>
      </c>
      <c r="C525" s="135"/>
      <c r="D525" s="136"/>
      <c r="E525" s="137"/>
      <c r="F525" s="138"/>
      <c r="G525" s="139"/>
      <c r="I525" s="31"/>
    </row>
    <row r="526" spans="1:13" x14ac:dyDescent="0.2">
      <c r="A526" s="151"/>
      <c r="B526" s="211" t="s">
        <v>207</v>
      </c>
      <c r="C526" s="153"/>
      <c r="D526" s="154"/>
      <c r="E526" s="155"/>
      <c r="F526" s="156"/>
      <c r="G526" s="146"/>
    </row>
    <row r="527" spans="1:13" ht="24" x14ac:dyDescent="0.2">
      <c r="A527" s="147"/>
      <c r="B527" s="148" t="s">
        <v>478</v>
      </c>
      <c r="C527" s="149" t="s">
        <v>147</v>
      </c>
      <c r="D527" s="150">
        <v>84.93</v>
      </c>
      <c r="E527" s="185"/>
      <c r="F527" s="145"/>
      <c r="G527" s="146">
        <f t="shared" ref="G527" si="57">(D527*E527)+(D527*F527)</f>
        <v>0</v>
      </c>
      <c r="I527" s="48">
        <f>I106</f>
        <v>113.24499999999999</v>
      </c>
      <c r="J527" s="48">
        <f>I527*0.75</f>
        <v>84.933749999999989</v>
      </c>
    </row>
    <row r="528" spans="1:13" x14ac:dyDescent="0.2">
      <c r="A528" s="133" t="s">
        <v>157</v>
      </c>
      <c r="B528" s="210" t="s">
        <v>64</v>
      </c>
      <c r="C528" s="135"/>
      <c r="D528" s="136"/>
      <c r="E528" s="137"/>
      <c r="F528" s="138"/>
      <c r="G528" s="139"/>
    </row>
    <row r="529" spans="1:15" x14ac:dyDescent="0.2">
      <c r="A529" s="151" t="s">
        <v>171</v>
      </c>
      <c r="B529" s="211" t="s">
        <v>306</v>
      </c>
      <c r="C529" s="153"/>
      <c r="D529" s="154"/>
      <c r="E529" s="155"/>
      <c r="F529" s="156"/>
      <c r="G529" s="146">
        <f t="shared" ref="G529:G532" si="58">(D529*E529)+(D529*F529)</f>
        <v>0</v>
      </c>
    </row>
    <row r="530" spans="1:15" ht="13.5" x14ac:dyDescent="0.2">
      <c r="A530" s="199" t="s">
        <v>194</v>
      </c>
      <c r="B530" s="148" t="s">
        <v>477</v>
      </c>
      <c r="C530" s="149" t="s">
        <v>147</v>
      </c>
      <c r="D530" s="150">
        <v>145.44999999999999</v>
      </c>
      <c r="E530" s="185"/>
      <c r="F530" s="145"/>
      <c r="G530" s="146">
        <f t="shared" si="58"/>
        <v>0</v>
      </c>
      <c r="I530" s="22">
        <f>6.2*6+3.87*2+3.93*2+4.25+2.815</f>
        <v>59.865000000000002</v>
      </c>
      <c r="J530" s="22">
        <f>I530*3.3</f>
        <v>197.55449999999999</v>
      </c>
      <c r="K530" s="22">
        <v>57.59</v>
      </c>
      <c r="L530" s="22">
        <f>J530-K530</f>
        <v>139.96449999999999</v>
      </c>
      <c r="M530" s="22">
        <f>1.21*1.22</f>
        <v>1.4762</v>
      </c>
      <c r="N530" s="22">
        <f>L530-M530</f>
        <v>138.48829999999998</v>
      </c>
      <c r="O530" s="22">
        <f>N530*105%</f>
        <v>145.41271499999999</v>
      </c>
    </row>
    <row r="531" spans="1:15" ht="24" x14ac:dyDescent="0.2">
      <c r="A531" s="199" t="s">
        <v>195</v>
      </c>
      <c r="B531" s="148" t="s">
        <v>308</v>
      </c>
      <c r="C531" s="149" t="s">
        <v>147</v>
      </c>
      <c r="D531" s="150">
        <v>5.45</v>
      </c>
      <c r="E531" s="185"/>
      <c r="F531" s="145"/>
      <c r="G531" s="146">
        <f t="shared" si="58"/>
        <v>0</v>
      </c>
      <c r="I531" s="22">
        <f>0.45*1.725*7</f>
        <v>5.4337500000000007</v>
      </c>
    </row>
    <row r="532" spans="1:15" x14ac:dyDescent="0.2">
      <c r="A532" s="151" t="s">
        <v>172</v>
      </c>
      <c r="B532" s="211" t="s">
        <v>305</v>
      </c>
      <c r="C532" s="153"/>
      <c r="D532" s="154"/>
      <c r="E532" s="155"/>
      <c r="F532" s="156"/>
      <c r="G532" s="146">
        <f t="shared" si="58"/>
        <v>0</v>
      </c>
    </row>
    <row r="533" spans="1:15" ht="13.5" x14ac:dyDescent="0.2">
      <c r="A533" s="199" t="s">
        <v>194</v>
      </c>
      <c r="B533" s="148" t="s">
        <v>477</v>
      </c>
      <c r="C533" s="149" t="s">
        <v>147</v>
      </c>
      <c r="D533" s="150">
        <v>43.3</v>
      </c>
      <c r="E533" s="185"/>
      <c r="F533" s="145"/>
      <c r="G533" s="146">
        <f t="shared" ref="G533:G534" si="59">(D533*E533)+(D533*F533)</f>
        <v>0</v>
      </c>
      <c r="I533" s="22">
        <f>3.67*2+3.63*2</f>
        <v>14.6</v>
      </c>
      <c r="J533" s="22">
        <f>I533*2.965</f>
        <v>43.288999999999994</v>
      </c>
    </row>
    <row r="534" spans="1:15" ht="13.5" x14ac:dyDescent="0.2">
      <c r="A534" s="147" t="s">
        <v>195</v>
      </c>
      <c r="B534" s="212" t="s">
        <v>307</v>
      </c>
      <c r="C534" s="149" t="s">
        <v>147</v>
      </c>
      <c r="D534" s="150">
        <v>13.25</v>
      </c>
      <c r="E534" s="185"/>
      <c r="F534" s="145"/>
      <c r="G534" s="146">
        <f t="shared" si="59"/>
        <v>0</v>
      </c>
      <c r="I534" s="22">
        <v>4.25</v>
      </c>
      <c r="J534" s="22">
        <f>I534*2.965</f>
        <v>12.60125</v>
      </c>
      <c r="L534" s="22">
        <f>J534*105%</f>
        <v>13.231312500000001</v>
      </c>
    </row>
    <row r="535" spans="1:15" x14ac:dyDescent="0.2">
      <c r="A535" s="147"/>
      <c r="B535" s="212"/>
      <c r="C535" s="149"/>
      <c r="D535" s="150"/>
      <c r="E535" s="185"/>
      <c r="F535" s="145"/>
      <c r="G535" s="146"/>
    </row>
    <row r="536" spans="1:15" x14ac:dyDescent="0.2">
      <c r="A536" s="133" t="s">
        <v>55</v>
      </c>
      <c r="B536" s="210" t="s">
        <v>66</v>
      </c>
      <c r="C536" s="135"/>
      <c r="D536" s="136"/>
      <c r="E536" s="137"/>
      <c r="F536" s="138"/>
      <c r="G536" s="139"/>
    </row>
    <row r="537" spans="1:15" x14ac:dyDescent="0.2">
      <c r="A537" s="151" t="s">
        <v>171</v>
      </c>
      <c r="B537" s="211" t="s">
        <v>306</v>
      </c>
      <c r="C537" s="153"/>
      <c r="D537" s="154"/>
      <c r="E537" s="155"/>
      <c r="F537" s="156"/>
      <c r="G537" s="146">
        <f t="shared" ref="G537:G539" si="60">(D537*E537)+(D537*F537)</f>
        <v>0</v>
      </c>
    </row>
    <row r="538" spans="1:15" ht="13.5" x14ac:dyDescent="0.2">
      <c r="A538" s="199" t="s">
        <v>194</v>
      </c>
      <c r="B538" s="148" t="s">
        <v>477</v>
      </c>
      <c r="C538" s="149" t="s">
        <v>147</v>
      </c>
      <c r="D538" s="150">
        <v>130.69999999999999</v>
      </c>
      <c r="E538" s="185"/>
      <c r="F538" s="145"/>
      <c r="G538" s="146">
        <f t="shared" si="60"/>
        <v>0</v>
      </c>
      <c r="I538" s="22">
        <f>6.2*6+3.87*2+3.93*2+4.25+2.815+2.815</f>
        <v>62.68</v>
      </c>
      <c r="J538" s="22">
        <f>I538*2.965</f>
        <v>185.84619999999998</v>
      </c>
      <c r="K538" s="22">
        <v>58.95</v>
      </c>
      <c r="L538" s="22">
        <f>J538-K538</f>
        <v>126.89619999999998</v>
      </c>
      <c r="M538" s="22">
        <f>L538*103%</f>
        <v>130.70308599999998</v>
      </c>
      <c r="N538" s="22">
        <f>1.3*1.3</f>
        <v>1.6900000000000002</v>
      </c>
    </row>
    <row r="539" spans="1:15" ht="24" x14ac:dyDescent="0.2">
      <c r="A539" s="199" t="s">
        <v>195</v>
      </c>
      <c r="B539" s="148" t="s">
        <v>308</v>
      </c>
      <c r="C539" s="149" t="s">
        <v>147</v>
      </c>
      <c r="D539" s="150">
        <v>5.45</v>
      </c>
      <c r="E539" s="185"/>
      <c r="F539" s="145"/>
      <c r="G539" s="146">
        <f t="shared" si="60"/>
        <v>0</v>
      </c>
      <c r="I539" s="22">
        <f>0.45*1.725*7</f>
        <v>5.4337500000000007</v>
      </c>
    </row>
    <row r="540" spans="1:15" x14ac:dyDescent="0.2">
      <c r="A540" s="151" t="s">
        <v>172</v>
      </c>
      <c r="B540" s="211" t="s">
        <v>305</v>
      </c>
      <c r="C540" s="153"/>
      <c r="D540" s="154"/>
      <c r="E540" s="155"/>
      <c r="F540" s="156"/>
      <c r="G540" s="146">
        <f t="shared" ref="G540:G542" si="61">(D540*E540)+(D540*F540)</f>
        <v>0</v>
      </c>
    </row>
    <row r="541" spans="1:15" ht="13.5" x14ac:dyDescent="0.2">
      <c r="A541" s="199" t="s">
        <v>194</v>
      </c>
      <c r="B541" s="148" t="s">
        <v>477</v>
      </c>
      <c r="C541" s="149" t="s">
        <v>147</v>
      </c>
      <c r="D541" s="150">
        <v>93.7</v>
      </c>
      <c r="E541" s="185"/>
      <c r="F541" s="145"/>
      <c r="G541" s="146">
        <f t="shared" si="61"/>
        <v>0</v>
      </c>
      <c r="I541" s="22">
        <f>4.08*4+3.82*4</f>
        <v>31.6</v>
      </c>
      <c r="J541" s="22">
        <f>I541*2.965</f>
        <v>93.694000000000003</v>
      </c>
    </row>
    <row r="542" spans="1:15" ht="13.5" x14ac:dyDescent="0.2">
      <c r="A542" s="147" t="s">
        <v>195</v>
      </c>
      <c r="B542" s="212" t="s">
        <v>307</v>
      </c>
      <c r="C542" s="149" t="s">
        <v>147</v>
      </c>
      <c r="D542" s="150">
        <v>22</v>
      </c>
      <c r="E542" s="185"/>
      <c r="F542" s="145"/>
      <c r="G542" s="146">
        <f t="shared" si="61"/>
        <v>0</v>
      </c>
      <c r="I542" s="22">
        <f>2.915+2.815+1.4*2</f>
        <v>8.5300000000000011</v>
      </c>
      <c r="J542" s="22">
        <f>I542*3.2</f>
        <v>27.296000000000006</v>
      </c>
      <c r="K542" s="22">
        <f>0.78*2*3</f>
        <v>4.68</v>
      </c>
      <c r="L542" s="22">
        <f>0.85*2</f>
        <v>1.7</v>
      </c>
      <c r="M542" s="22">
        <f>K542+L542</f>
        <v>6.38</v>
      </c>
      <c r="N542" s="22">
        <f>J542-M542</f>
        <v>20.916000000000007</v>
      </c>
      <c r="O542" s="22">
        <f>N542*105%</f>
        <v>21.961800000000007</v>
      </c>
    </row>
    <row r="543" spans="1:15" x14ac:dyDescent="0.2">
      <c r="A543" s="147"/>
      <c r="B543" s="212"/>
      <c r="C543" s="149"/>
      <c r="D543" s="150"/>
      <c r="E543" s="185"/>
      <c r="F543" s="145"/>
      <c r="G543" s="146"/>
      <c r="K543" s="31"/>
      <c r="L543" s="31"/>
    </row>
    <row r="544" spans="1:15" x14ac:dyDescent="0.2">
      <c r="A544" s="133" t="s">
        <v>158</v>
      </c>
      <c r="B544" s="210" t="s">
        <v>454</v>
      </c>
      <c r="C544" s="135"/>
      <c r="D544" s="136"/>
      <c r="E544" s="137"/>
      <c r="F544" s="138"/>
      <c r="G544" s="139"/>
      <c r="K544" s="31"/>
      <c r="L544" s="31"/>
    </row>
    <row r="545" spans="1:15" x14ac:dyDescent="0.2">
      <c r="A545" s="151" t="s">
        <v>171</v>
      </c>
      <c r="B545" s="211" t="s">
        <v>306</v>
      </c>
      <c r="C545" s="153"/>
      <c r="D545" s="154"/>
      <c r="E545" s="155"/>
      <c r="F545" s="156"/>
      <c r="G545" s="146">
        <f t="shared" ref="G545:G550" si="62">(D545*E545)+(D545*F545)</f>
        <v>0</v>
      </c>
    </row>
    <row r="546" spans="1:15" ht="13.5" x14ac:dyDescent="0.2">
      <c r="A546" s="199" t="s">
        <v>194</v>
      </c>
      <c r="B546" s="148" t="s">
        <v>477</v>
      </c>
      <c r="C546" s="149" t="s">
        <v>147</v>
      </c>
      <c r="D546" s="150">
        <v>130.69999999999999</v>
      </c>
      <c r="E546" s="185"/>
      <c r="F546" s="145"/>
      <c r="G546" s="146">
        <f t="shared" si="62"/>
        <v>0</v>
      </c>
      <c r="I546" s="22">
        <f>6.2*6+3.87*2+3.93*2+4.25+2.815+2.815</f>
        <v>62.68</v>
      </c>
      <c r="J546" s="22">
        <f>I546*2.965</f>
        <v>185.84619999999998</v>
      </c>
      <c r="K546" s="22">
        <v>58.95</v>
      </c>
      <c r="L546" s="22">
        <f>J546-K546</f>
        <v>126.89619999999998</v>
      </c>
      <c r="M546" s="22">
        <f>L546*103%</f>
        <v>130.70308599999998</v>
      </c>
      <c r="N546" s="22">
        <f>1.3*1.3</f>
        <v>1.6900000000000002</v>
      </c>
    </row>
    <row r="547" spans="1:15" ht="24" x14ac:dyDescent="0.2">
      <c r="A547" s="199" t="s">
        <v>195</v>
      </c>
      <c r="B547" s="148" t="s">
        <v>308</v>
      </c>
      <c r="C547" s="149" t="s">
        <v>147</v>
      </c>
      <c r="D547" s="150">
        <v>5.45</v>
      </c>
      <c r="E547" s="185"/>
      <c r="F547" s="145"/>
      <c r="G547" s="146">
        <f t="shared" si="62"/>
        <v>0</v>
      </c>
      <c r="I547" s="22">
        <f>0.45*1.725*7</f>
        <v>5.4337500000000007</v>
      </c>
    </row>
    <row r="548" spans="1:15" x14ac:dyDescent="0.2">
      <c r="A548" s="151" t="s">
        <v>172</v>
      </c>
      <c r="B548" s="211" t="s">
        <v>305</v>
      </c>
      <c r="C548" s="153"/>
      <c r="D548" s="154"/>
      <c r="E548" s="155"/>
      <c r="F548" s="156"/>
      <c r="G548" s="146">
        <f t="shared" si="62"/>
        <v>0</v>
      </c>
    </row>
    <row r="549" spans="1:15" ht="13.5" x14ac:dyDescent="0.2">
      <c r="A549" s="199" t="s">
        <v>194</v>
      </c>
      <c r="B549" s="148" t="s">
        <v>477</v>
      </c>
      <c r="C549" s="149" t="s">
        <v>147</v>
      </c>
      <c r="D549" s="150">
        <v>93.7</v>
      </c>
      <c r="E549" s="185"/>
      <c r="F549" s="145"/>
      <c r="G549" s="146">
        <f t="shared" si="62"/>
        <v>0</v>
      </c>
      <c r="I549" s="22">
        <f>4.08*4+3.82*4</f>
        <v>31.6</v>
      </c>
      <c r="J549" s="22">
        <f>I549*2.965</f>
        <v>93.694000000000003</v>
      </c>
    </row>
    <row r="550" spans="1:15" ht="13.5" x14ac:dyDescent="0.2">
      <c r="A550" s="147" t="s">
        <v>195</v>
      </c>
      <c r="B550" s="212" t="s">
        <v>307</v>
      </c>
      <c r="C550" s="149" t="s">
        <v>147</v>
      </c>
      <c r="D550" s="150">
        <v>22</v>
      </c>
      <c r="E550" s="185"/>
      <c r="F550" s="145"/>
      <c r="G550" s="146">
        <f t="shared" si="62"/>
        <v>0</v>
      </c>
      <c r="I550" s="22">
        <f>2.915+2.815+1.4*2</f>
        <v>8.5300000000000011</v>
      </c>
      <c r="J550" s="22">
        <f>I550*3.2</f>
        <v>27.296000000000006</v>
      </c>
      <c r="K550" s="22">
        <f>0.78*2*3</f>
        <v>4.68</v>
      </c>
      <c r="L550" s="22">
        <f>0.85*2</f>
        <v>1.7</v>
      </c>
      <c r="M550" s="22">
        <f>K550+L550</f>
        <v>6.38</v>
      </c>
      <c r="N550" s="22">
        <f>J550-M550</f>
        <v>20.916000000000007</v>
      </c>
      <c r="O550" s="22">
        <f>N550*105%</f>
        <v>21.961800000000007</v>
      </c>
    </row>
    <row r="551" spans="1:15" x14ac:dyDescent="0.2">
      <c r="A551" s="147"/>
      <c r="B551" s="212"/>
      <c r="C551" s="149"/>
      <c r="D551" s="150"/>
      <c r="E551" s="185"/>
      <c r="F551" s="145"/>
      <c r="G551" s="146"/>
      <c r="K551" s="31"/>
      <c r="L551" s="31"/>
    </row>
    <row r="552" spans="1:15" x14ac:dyDescent="0.2">
      <c r="A552" s="133" t="s">
        <v>159</v>
      </c>
      <c r="B552" s="210" t="s">
        <v>456</v>
      </c>
      <c r="C552" s="135"/>
      <c r="D552" s="136"/>
      <c r="E552" s="137"/>
      <c r="F552" s="138"/>
      <c r="G552" s="139"/>
      <c r="K552" s="31"/>
      <c r="L552" s="31"/>
    </row>
    <row r="553" spans="1:15" x14ac:dyDescent="0.2">
      <c r="A553" s="151" t="s">
        <v>171</v>
      </c>
      <c r="B553" s="211" t="s">
        <v>306</v>
      </c>
      <c r="C553" s="153"/>
      <c r="D553" s="154"/>
      <c r="E553" s="155"/>
      <c r="F553" s="156"/>
      <c r="G553" s="146">
        <f t="shared" ref="G553:G558" si="63">(D553*E553)+(D553*F553)</f>
        <v>0</v>
      </c>
    </row>
    <row r="554" spans="1:15" ht="13.5" x14ac:dyDescent="0.2">
      <c r="A554" s="199" t="s">
        <v>194</v>
      </c>
      <c r="B554" s="148" t="s">
        <v>477</v>
      </c>
      <c r="C554" s="149" t="s">
        <v>147</v>
      </c>
      <c r="D554" s="150">
        <v>130.69999999999999</v>
      </c>
      <c r="E554" s="185"/>
      <c r="F554" s="145"/>
      <c r="G554" s="146">
        <f t="shared" si="63"/>
        <v>0</v>
      </c>
      <c r="I554" s="22">
        <f>6.2*6+3.87*2+3.93*2+4.25+2.815+2.815</f>
        <v>62.68</v>
      </c>
      <c r="J554" s="22">
        <f>I554*2.965</f>
        <v>185.84619999999998</v>
      </c>
      <c r="K554" s="22">
        <v>58.95</v>
      </c>
      <c r="L554" s="22">
        <f>J554-K554</f>
        <v>126.89619999999998</v>
      </c>
      <c r="M554" s="22">
        <f>L554*103%</f>
        <v>130.70308599999998</v>
      </c>
      <c r="N554" s="22">
        <f>1.3*1.3</f>
        <v>1.6900000000000002</v>
      </c>
    </row>
    <row r="555" spans="1:15" ht="24" x14ac:dyDescent="0.2">
      <c r="A555" s="199" t="s">
        <v>195</v>
      </c>
      <c r="B555" s="148" t="s">
        <v>308</v>
      </c>
      <c r="C555" s="149" t="s">
        <v>147</v>
      </c>
      <c r="D555" s="150">
        <v>5.45</v>
      </c>
      <c r="E555" s="185"/>
      <c r="F555" s="145"/>
      <c r="G555" s="146">
        <f t="shared" si="63"/>
        <v>0</v>
      </c>
      <c r="I555" s="22">
        <f>0.45*1.725*7</f>
        <v>5.4337500000000007</v>
      </c>
    </row>
    <row r="556" spans="1:15" x14ac:dyDescent="0.2">
      <c r="A556" s="151" t="s">
        <v>172</v>
      </c>
      <c r="B556" s="211" t="s">
        <v>305</v>
      </c>
      <c r="C556" s="153"/>
      <c r="D556" s="154"/>
      <c r="E556" s="155"/>
      <c r="F556" s="156"/>
      <c r="G556" s="146">
        <f t="shared" si="63"/>
        <v>0</v>
      </c>
    </row>
    <row r="557" spans="1:15" ht="13.5" x14ac:dyDescent="0.2">
      <c r="A557" s="199" t="s">
        <v>194</v>
      </c>
      <c r="B557" s="148" t="s">
        <v>477</v>
      </c>
      <c r="C557" s="149" t="s">
        <v>147</v>
      </c>
      <c r="D557" s="150">
        <v>93.7</v>
      </c>
      <c r="E557" s="185"/>
      <c r="F557" s="145"/>
      <c r="G557" s="146">
        <f t="shared" si="63"/>
        <v>0</v>
      </c>
      <c r="I557" s="22">
        <f>4.08*4+3.82*4</f>
        <v>31.6</v>
      </c>
      <c r="J557" s="22">
        <f>I557*2.965</f>
        <v>93.694000000000003</v>
      </c>
    </row>
    <row r="558" spans="1:15" ht="13.5" x14ac:dyDescent="0.2">
      <c r="A558" s="147" t="s">
        <v>195</v>
      </c>
      <c r="B558" s="212" t="s">
        <v>307</v>
      </c>
      <c r="C558" s="149" t="s">
        <v>147</v>
      </c>
      <c r="D558" s="150">
        <v>22</v>
      </c>
      <c r="E558" s="185"/>
      <c r="F558" s="145"/>
      <c r="G558" s="146">
        <f t="shared" si="63"/>
        <v>0</v>
      </c>
      <c r="I558" s="22">
        <f>2.915+2.815+1.4*2</f>
        <v>8.5300000000000011</v>
      </c>
      <c r="J558" s="22">
        <f>I558*3.2</f>
        <v>27.296000000000006</v>
      </c>
      <c r="K558" s="22">
        <f>0.78*2*3</f>
        <v>4.68</v>
      </c>
      <c r="L558" s="22">
        <f>0.85*2</f>
        <v>1.7</v>
      </c>
      <c r="M558" s="22">
        <f>K558+L558</f>
        <v>6.38</v>
      </c>
      <c r="N558" s="22">
        <f>J558-M558</f>
        <v>20.916000000000007</v>
      </c>
      <c r="O558" s="22">
        <f>N558*105%</f>
        <v>21.961800000000007</v>
      </c>
    </row>
    <row r="559" spans="1:15" x14ac:dyDescent="0.2">
      <c r="A559" s="147"/>
      <c r="B559" s="212"/>
      <c r="C559" s="149"/>
      <c r="D559" s="150"/>
      <c r="E559" s="185"/>
      <c r="F559" s="145"/>
      <c r="G559" s="146"/>
      <c r="K559" s="31"/>
      <c r="L559" s="31"/>
    </row>
    <row r="560" spans="1:15" x14ac:dyDescent="0.2">
      <c r="A560" s="133" t="s">
        <v>159</v>
      </c>
      <c r="B560" s="210" t="s">
        <v>309</v>
      </c>
      <c r="C560" s="135"/>
      <c r="D560" s="136"/>
      <c r="E560" s="137"/>
      <c r="F560" s="138"/>
      <c r="G560" s="139"/>
      <c r="K560" s="31"/>
    </row>
    <row r="561" spans="1:19" x14ac:dyDescent="0.2">
      <c r="A561" s="151" t="s">
        <v>171</v>
      </c>
      <c r="B561" s="211" t="s">
        <v>310</v>
      </c>
      <c r="C561" s="153"/>
      <c r="D561" s="154"/>
      <c r="E561" s="155"/>
      <c r="F561" s="156"/>
      <c r="G561" s="146">
        <f t="shared" ref="G561:G562" si="64">(D561*E561)+(D561*F561)</f>
        <v>0</v>
      </c>
      <c r="K561" s="31"/>
    </row>
    <row r="562" spans="1:19" ht="14.25" thickBot="1" x14ac:dyDescent="0.25">
      <c r="A562" s="158"/>
      <c r="B562" s="577" t="s">
        <v>304</v>
      </c>
      <c r="C562" s="209" t="s">
        <v>147</v>
      </c>
      <c r="D562" s="159">
        <v>24.6</v>
      </c>
      <c r="E562" s="206"/>
      <c r="F562" s="161"/>
      <c r="G562" s="162">
        <f t="shared" si="64"/>
        <v>0</v>
      </c>
      <c r="I562" s="22">
        <f>(5.487+1.95)*2</f>
        <v>14.874000000000001</v>
      </c>
      <c r="J562" s="22">
        <f>I562*3.5</f>
        <v>52.059000000000005</v>
      </c>
      <c r="K562" s="31">
        <v>2.88</v>
      </c>
      <c r="L562" s="31">
        <f>J562-K562</f>
        <v>49.179000000000002</v>
      </c>
    </row>
    <row r="563" spans="1:19" x14ac:dyDescent="0.2">
      <c r="A563" s="147"/>
      <c r="B563" s="212"/>
      <c r="C563" s="149"/>
      <c r="D563" s="150"/>
      <c r="E563" s="185"/>
      <c r="F563" s="145"/>
      <c r="G563" s="146"/>
      <c r="K563" s="31"/>
    </row>
    <row r="564" spans="1:19" x14ac:dyDescent="0.2">
      <c r="A564" s="213">
        <v>4.3</v>
      </c>
      <c r="B564" s="214" t="s">
        <v>102</v>
      </c>
      <c r="C564" s="215"/>
      <c r="D564" s="216"/>
      <c r="E564" s="217"/>
      <c r="F564" s="216"/>
      <c r="G564" s="218"/>
      <c r="K564" s="31"/>
    </row>
    <row r="565" spans="1:19" ht="58.5" customHeight="1" x14ac:dyDescent="0.2">
      <c r="A565" s="140"/>
      <c r="B565" s="622" t="s">
        <v>209</v>
      </c>
      <c r="C565" s="623"/>
      <c r="D565" s="623"/>
      <c r="E565" s="623"/>
      <c r="F565" s="624"/>
      <c r="G565" s="220"/>
    </row>
    <row r="566" spans="1:19" ht="30" customHeight="1" x14ac:dyDescent="0.2">
      <c r="A566" s="140"/>
      <c r="B566" s="622" t="s">
        <v>163</v>
      </c>
      <c r="C566" s="623"/>
      <c r="D566" s="623"/>
      <c r="E566" s="623"/>
      <c r="F566" s="624"/>
      <c r="G566" s="220"/>
    </row>
    <row r="567" spans="1:19" ht="30.75" customHeight="1" x14ac:dyDescent="0.2">
      <c r="A567" s="140"/>
      <c r="B567" s="622" t="s">
        <v>279</v>
      </c>
      <c r="C567" s="623"/>
      <c r="D567" s="623"/>
      <c r="E567" s="623"/>
      <c r="F567" s="624"/>
      <c r="G567" s="220"/>
    </row>
    <row r="568" spans="1:19" x14ac:dyDescent="0.2">
      <c r="A568" s="163" t="s">
        <v>156</v>
      </c>
      <c r="B568" s="592" t="s">
        <v>141</v>
      </c>
      <c r="C568" s="165"/>
      <c r="D568" s="166"/>
      <c r="E568" s="167"/>
      <c r="F568" s="168"/>
      <c r="G568" s="169"/>
    </row>
    <row r="569" spans="1:19" x14ac:dyDescent="0.2">
      <c r="A569" s="147" t="s">
        <v>171</v>
      </c>
      <c r="B569" s="222" t="s">
        <v>266</v>
      </c>
      <c r="C569" s="153"/>
      <c r="D569" s="154"/>
      <c r="E569" s="155"/>
      <c r="F569" s="156"/>
      <c r="G569" s="146"/>
    </row>
    <row r="570" spans="1:19" ht="13.5" x14ac:dyDescent="0.2">
      <c r="A570" s="147"/>
      <c r="B570" s="212" t="s">
        <v>265</v>
      </c>
      <c r="C570" s="149" t="s">
        <v>147</v>
      </c>
      <c r="D570" s="150">
        <f>D527*2</f>
        <v>169.86</v>
      </c>
      <c r="E570" s="185"/>
      <c r="F570" s="145"/>
      <c r="G570" s="146">
        <f t="shared" ref="G570" si="65">(D570*E570)+(D570*F570)</f>
        <v>0</v>
      </c>
    </row>
    <row r="571" spans="1:19" x14ac:dyDescent="0.2">
      <c r="A571" s="133" t="s">
        <v>157</v>
      </c>
      <c r="B571" s="210" t="s">
        <v>64</v>
      </c>
      <c r="C571" s="135"/>
      <c r="D571" s="136"/>
      <c r="E571" s="137"/>
      <c r="F571" s="138"/>
      <c r="G571" s="139"/>
    </row>
    <row r="572" spans="1:19" s="49" customFormat="1" ht="15" customHeight="1" x14ac:dyDescent="0.2">
      <c r="A572" s="151" t="s">
        <v>171</v>
      </c>
      <c r="B572" s="211" t="s">
        <v>262</v>
      </c>
      <c r="C572" s="153"/>
      <c r="D572" s="154"/>
      <c r="E572" s="155"/>
      <c r="F572" s="223"/>
      <c r="G572" s="146">
        <f t="shared" ref="G572:G573" si="66">(D572*E572)+(D572*F572)</f>
        <v>0</v>
      </c>
      <c r="I572" s="22">
        <f>19.4*2+8.7*2+4.25+2.815</f>
        <v>63.264999999999993</v>
      </c>
      <c r="J572" s="22">
        <f>I572*3.74</f>
        <v>236.61109999999999</v>
      </c>
      <c r="K572" s="22">
        <v>57.59</v>
      </c>
      <c r="L572" s="22">
        <f>J572-K572</f>
        <v>179.02109999999999</v>
      </c>
      <c r="M572" s="22">
        <f>1.21*1.22</f>
        <v>1.4762</v>
      </c>
      <c r="N572" s="22">
        <f>L572-M572</f>
        <v>177.54489999999998</v>
      </c>
      <c r="O572" s="22">
        <f>15.15+4+3.015</f>
        <v>22.164999999999999</v>
      </c>
      <c r="P572" s="22">
        <f>O572*0.6</f>
        <v>13.298999999999999</v>
      </c>
      <c r="Q572" s="22">
        <f>1.03*2.915*6</f>
        <v>18.014700000000001</v>
      </c>
      <c r="R572" s="22"/>
      <c r="S572" s="22"/>
    </row>
    <row r="573" spans="1:19" ht="13.5" x14ac:dyDescent="0.2">
      <c r="A573" s="147"/>
      <c r="B573" s="212" t="s">
        <v>486</v>
      </c>
      <c r="C573" s="149" t="s">
        <v>147</v>
      </c>
      <c r="D573" s="150">
        <v>219.3</v>
      </c>
      <c r="E573" s="185"/>
      <c r="F573" s="145"/>
      <c r="G573" s="146">
        <f t="shared" si="66"/>
        <v>0</v>
      </c>
      <c r="I573" s="22">
        <f>N572+P572+Q572</f>
        <v>208.8586</v>
      </c>
      <c r="J573" s="22">
        <f>I573*105%</f>
        <v>219.30153000000001</v>
      </c>
    </row>
    <row r="574" spans="1:19" x14ac:dyDescent="0.2">
      <c r="A574" s="198" t="s">
        <v>172</v>
      </c>
      <c r="B574" s="202" t="s">
        <v>263</v>
      </c>
      <c r="C574" s="153"/>
      <c r="D574" s="154"/>
      <c r="E574" s="155"/>
      <c r="F574" s="156"/>
      <c r="G574" s="146">
        <f t="shared" ref="G574:G575" si="67">(D574*E574)+(D574*F574)</f>
        <v>0</v>
      </c>
    </row>
    <row r="575" spans="1:19" ht="25.5" customHeight="1" x14ac:dyDescent="0.2">
      <c r="A575" s="147"/>
      <c r="B575" s="148" t="s">
        <v>264</v>
      </c>
      <c r="C575" s="149" t="s">
        <v>147</v>
      </c>
      <c r="D575" s="150">
        <v>267.60000000000002</v>
      </c>
      <c r="E575" s="185"/>
      <c r="F575" s="145"/>
      <c r="G575" s="146">
        <f t="shared" si="67"/>
        <v>0</v>
      </c>
      <c r="I575" s="22">
        <f>8.3*6+6.2*6</f>
        <v>87</v>
      </c>
      <c r="J575" s="22">
        <f>I575*3.215</f>
        <v>279.70499999999998</v>
      </c>
      <c r="K575" s="22">
        <f>J575-K572</f>
        <v>222.11499999999998</v>
      </c>
      <c r="L575" s="22">
        <v>4.25</v>
      </c>
      <c r="M575" s="22">
        <f>L575*3.215*2</f>
        <v>27.327500000000001</v>
      </c>
      <c r="N575" s="22">
        <f>1.8*0.75*4</f>
        <v>5.4</v>
      </c>
      <c r="O575" s="22">
        <f>K575+M575+N575</f>
        <v>254.8425</v>
      </c>
      <c r="P575" s="22">
        <f>O575*105%</f>
        <v>267.58462500000002</v>
      </c>
    </row>
    <row r="576" spans="1:19" ht="12.75" customHeight="1" x14ac:dyDescent="0.2">
      <c r="A576" s="198"/>
      <c r="B576" s="202"/>
      <c r="C576" s="153"/>
      <c r="D576" s="154"/>
      <c r="E576" s="155"/>
      <c r="F576" s="156"/>
      <c r="G576" s="146"/>
    </row>
    <row r="577" spans="1:17" x14ac:dyDescent="0.2">
      <c r="A577" s="133" t="s">
        <v>55</v>
      </c>
      <c r="B577" s="210" t="s">
        <v>66</v>
      </c>
      <c r="C577" s="135"/>
      <c r="D577" s="136"/>
      <c r="E577" s="137"/>
      <c r="F577" s="138"/>
      <c r="G577" s="139"/>
    </row>
    <row r="578" spans="1:17" x14ac:dyDescent="0.2">
      <c r="A578" s="151" t="s">
        <v>171</v>
      </c>
      <c r="B578" s="211" t="s">
        <v>262</v>
      </c>
      <c r="C578" s="153"/>
      <c r="D578" s="154"/>
      <c r="E578" s="155"/>
      <c r="F578" s="223"/>
      <c r="G578" s="146">
        <f t="shared" ref="G578:G581" si="68">(D578*E578)+(D578*F578)</f>
        <v>0</v>
      </c>
      <c r="I578" s="22">
        <f>19.4*2+8.7*2+3.415*2+4.25+3.5+4.25</f>
        <v>75.03</v>
      </c>
      <c r="J578" s="22">
        <f>I578*3.365</f>
        <v>252.47595000000001</v>
      </c>
      <c r="K578" s="22">
        <v>58.95</v>
      </c>
      <c r="L578" s="22">
        <f>J578-K578</f>
        <v>193.52595000000002</v>
      </c>
      <c r="M578" s="22">
        <f>L578*103%</f>
        <v>199.33172850000003</v>
      </c>
      <c r="N578" s="22">
        <f>15.15+4+3.015</f>
        <v>22.164999999999999</v>
      </c>
      <c r="O578" s="22">
        <f>N578*0.6</f>
        <v>13.298999999999999</v>
      </c>
      <c r="P578" s="22">
        <f>1.03*2.915*6</f>
        <v>18.014700000000001</v>
      </c>
    </row>
    <row r="579" spans="1:17" ht="13.5" x14ac:dyDescent="0.2">
      <c r="A579" s="147"/>
      <c r="B579" s="212" t="s">
        <v>418</v>
      </c>
      <c r="C579" s="149" t="s">
        <v>147</v>
      </c>
      <c r="D579" s="150">
        <v>259.85000000000002</v>
      </c>
      <c r="E579" s="185"/>
      <c r="F579" s="145"/>
      <c r="G579" s="146">
        <f t="shared" si="68"/>
        <v>0</v>
      </c>
      <c r="I579" s="22">
        <f>0.45*1.725*7</f>
        <v>5.4337500000000007</v>
      </c>
      <c r="M579" s="22">
        <f>L578+O578+P578</f>
        <v>224.83965000000003</v>
      </c>
      <c r="N579" s="22">
        <f>13.3*1.7</f>
        <v>22.61</v>
      </c>
      <c r="O579" s="22">
        <f>M579+N579</f>
        <v>247.44965000000002</v>
      </c>
      <c r="P579" s="22">
        <f>O579*105%</f>
        <v>259.82213250000001</v>
      </c>
      <c r="Q579" s="48"/>
    </row>
    <row r="580" spans="1:17" x14ac:dyDescent="0.2">
      <c r="A580" s="198" t="s">
        <v>172</v>
      </c>
      <c r="B580" s="202" t="s">
        <v>263</v>
      </c>
      <c r="C580" s="153"/>
      <c r="D580" s="154"/>
      <c r="E580" s="155"/>
      <c r="F580" s="156"/>
      <c r="G580" s="146">
        <f t="shared" si="68"/>
        <v>0</v>
      </c>
      <c r="I580" s="22">
        <f>4.08*4+3.82*4</f>
        <v>31.6</v>
      </c>
      <c r="J580" s="22">
        <f>I580*2.965</f>
        <v>93.694000000000003</v>
      </c>
    </row>
    <row r="581" spans="1:17" ht="24" x14ac:dyDescent="0.2">
      <c r="A581" s="147"/>
      <c r="B581" s="148" t="s">
        <v>264</v>
      </c>
      <c r="C581" s="149" t="s">
        <v>147</v>
      </c>
      <c r="D581" s="150">
        <v>408.8</v>
      </c>
      <c r="E581" s="185"/>
      <c r="F581" s="145"/>
      <c r="G581" s="146">
        <f t="shared" si="68"/>
        <v>0</v>
      </c>
      <c r="I581" s="22">
        <f>8.3*6+6.2*6+3.5+1.4*4+3.3*2+2.915*4+3.415+2.915+4.25*2</f>
        <v>129.19</v>
      </c>
      <c r="J581" s="22">
        <f>I581*3.215</f>
        <v>415.34584999999998</v>
      </c>
      <c r="K581" s="22">
        <f>J581-K578</f>
        <v>356.39585</v>
      </c>
      <c r="L581" s="22">
        <v>4.25</v>
      </c>
      <c r="M581" s="22">
        <f>L581*3.215*2</f>
        <v>27.327500000000001</v>
      </c>
      <c r="N581" s="22">
        <f>1.8*0.75*4</f>
        <v>5.4</v>
      </c>
      <c r="O581" s="22">
        <f>K581+M581+N581</f>
        <v>389.12334999999996</v>
      </c>
      <c r="P581" s="22">
        <f>O581*105%</f>
        <v>408.57951749999995</v>
      </c>
    </row>
    <row r="582" spans="1:17" x14ac:dyDescent="0.2">
      <c r="A582" s="147"/>
      <c r="B582" s="148"/>
      <c r="C582" s="149"/>
      <c r="D582" s="150"/>
      <c r="E582" s="185"/>
      <c r="F582" s="145"/>
      <c r="G582" s="146"/>
    </row>
    <row r="583" spans="1:17" x14ac:dyDescent="0.2">
      <c r="A583" s="133" t="s">
        <v>158</v>
      </c>
      <c r="B583" s="210" t="s">
        <v>454</v>
      </c>
      <c r="C583" s="135"/>
      <c r="D583" s="136"/>
      <c r="E583" s="137"/>
      <c r="F583" s="138"/>
      <c r="G583" s="139"/>
    </row>
    <row r="584" spans="1:17" x14ac:dyDescent="0.2">
      <c r="A584" s="151" t="s">
        <v>171</v>
      </c>
      <c r="B584" s="211" t="s">
        <v>262</v>
      </c>
      <c r="C584" s="153"/>
      <c r="D584" s="154"/>
      <c r="E584" s="155"/>
      <c r="F584" s="223"/>
      <c r="G584" s="146">
        <f t="shared" ref="G584:G587" si="69">(D584*E584)+(D584*F584)</f>
        <v>0</v>
      </c>
      <c r="I584" s="22">
        <f>19.4*2+8.7*2+3.415*2+4.25+3.5+4.25</f>
        <v>75.03</v>
      </c>
      <c r="J584" s="22">
        <f>I584*3.365</f>
        <v>252.47595000000001</v>
      </c>
      <c r="K584" s="22">
        <v>58.95</v>
      </c>
      <c r="L584" s="22">
        <f>J584-K584</f>
        <v>193.52595000000002</v>
      </c>
      <c r="M584" s="22">
        <f>L584*103%</f>
        <v>199.33172850000003</v>
      </c>
    </row>
    <row r="585" spans="1:17" ht="13.5" x14ac:dyDescent="0.2">
      <c r="A585" s="147"/>
      <c r="B585" s="212" t="s">
        <v>418</v>
      </c>
      <c r="C585" s="149" t="s">
        <v>147</v>
      </c>
      <c r="D585" s="150">
        <v>259.85000000000002</v>
      </c>
      <c r="E585" s="185"/>
      <c r="F585" s="145"/>
      <c r="G585" s="146">
        <f t="shared" si="69"/>
        <v>0</v>
      </c>
      <c r="I585" s="22">
        <f>0.45*1.725*7</f>
        <v>5.4337500000000007</v>
      </c>
    </row>
    <row r="586" spans="1:17" x14ac:dyDescent="0.2">
      <c r="A586" s="198" t="s">
        <v>172</v>
      </c>
      <c r="B586" s="202" t="s">
        <v>263</v>
      </c>
      <c r="C586" s="153"/>
      <c r="D586" s="154"/>
      <c r="E586" s="155"/>
      <c r="F586" s="156"/>
      <c r="G586" s="146">
        <f t="shared" si="69"/>
        <v>0</v>
      </c>
      <c r="I586" s="22">
        <f>4.08*4+3.82*4</f>
        <v>31.6</v>
      </c>
      <c r="J586" s="22">
        <f>I586*2.965</f>
        <v>93.694000000000003</v>
      </c>
    </row>
    <row r="587" spans="1:17" ht="24" x14ac:dyDescent="0.2">
      <c r="A587" s="147"/>
      <c r="B587" s="148" t="s">
        <v>264</v>
      </c>
      <c r="C587" s="149" t="s">
        <v>147</v>
      </c>
      <c r="D587" s="150">
        <v>408.8</v>
      </c>
      <c r="E587" s="185"/>
      <c r="F587" s="145"/>
      <c r="G587" s="146">
        <f t="shared" si="69"/>
        <v>0</v>
      </c>
      <c r="I587" s="22">
        <f>8.3*6+6.2*6+3.5+1.4*4+3.3*2+2.915*4+3.415+2.915+4.25*2</f>
        <v>129.19</v>
      </c>
      <c r="J587" s="22">
        <f>I587*3.215</f>
        <v>415.34584999999998</v>
      </c>
      <c r="K587" s="22">
        <f>J587-K584</f>
        <v>356.39585</v>
      </c>
      <c r="L587" s="22">
        <v>4.25</v>
      </c>
      <c r="M587" s="22">
        <f>L587*3.215*2</f>
        <v>27.327500000000001</v>
      </c>
      <c r="N587" s="22">
        <f>1.8*0.75*4</f>
        <v>5.4</v>
      </c>
      <c r="O587" s="22">
        <f>K587+M587+N587</f>
        <v>389.12334999999996</v>
      </c>
      <c r="P587" s="22">
        <f>O587*105%</f>
        <v>408.57951749999995</v>
      </c>
    </row>
    <row r="588" spans="1:17" x14ac:dyDescent="0.2">
      <c r="A588" s="147"/>
      <c r="B588" s="148"/>
      <c r="C588" s="149"/>
      <c r="D588" s="150"/>
      <c r="E588" s="185"/>
      <c r="F588" s="145"/>
      <c r="G588" s="146"/>
      <c r="N588" s="48"/>
      <c r="O588" s="48"/>
    </row>
    <row r="589" spans="1:17" x14ac:dyDescent="0.2">
      <c r="A589" s="133" t="s">
        <v>159</v>
      </c>
      <c r="B589" s="210" t="s">
        <v>456</v>
      </c>
      <c r="C589" s="135"/>
      <c r="D589" s="136"/>
      <c r="E589" s="137"/>
      <c r="F589" s="138"/>
      <c r="G589" s="139"/>
      <c r="N589" s="48"/>
      <c r="O589" s="48"/>
    </row>
    <row r="590" spans="1:17" x14ac:dyDescent="0.2">
      <c r="A590" s="151" t="s">
        <v>171</v>
      </c>
      <c r="B590" s="211" t="s">
        <v>262</v>
      </c>
      <c r="C590" s="153"/>
      <c r="D590" s="154"/>
      <c r="E590" s="155"/>
      <c r="F590" s="223"/>
      <c r="G590" s="146">
        <f t="shared" ref="G590:G593" si="70">(D590*E590)+(D590*F590)</f>
        <v>0</v>
      </c>
      <c r="I590" s="22">
        <f>19.4*2+8.7*2+3.415*2+4.25+3.5+4.25</f>
        <v>75.03</v>
      </c>
      <c r="J590" s="22">
        <f>I590*3.365</f>
        <v>252.47595000000001</v>
      </c>
      <c r="K590" s="22">
        <v>58.95</v>
      </c>
      <c r="L590" s="22">
        <f>J590-K590</f>
        <v>193.52595000000002</v>
      </c>
      <c r="M590" s="22">
        <f>L590*103%</f>
        <v>199.33172850000003</v>
      </c>
    </row>
    <row r="591" spans="1:17" ht="13.5" x14ac:dyDescent="0.2">
      <c r="A591" s="147"/>
      <c r="B591" s="212" t="s">
        <v>418</v>
      </c>
      <c r="C591" s="149" t="s">
        <v>147</v>
      </c>
      <c r="D591" s="150">
        <v>259.85000000000002</v>
      </c>
      <c r="E591" s="185"/>
      <c r="F591" s="145"/>
      <c r="G591" s="146">
        <f t="shared" si="70"/>
        <v>0</v>
      </c>
      <c r="I591" s="22">
        <f>0.45*1.725*7</f>
        <v>5.4337500000000007</v>
      </c>
    </row>
    <row r="592" spans="1:17" x14ac:dyDescent="0.2">
      <c r="A592" s="198" t="s">
        <v>172</v>
      </c>
      <c r="B592" s="202" t="s">
        <v>263</v>
      </c>
      <c r="C592" s="153"/>
      <c r="D592" s="154"/>
      <c r="E592" s="155"/>
      <c r="F592" s="156"/>
      <c r="G592" s="146">
        <f t="shared" si="70"/>
        <v>0</v>
      </c>
      <c r="I592" s="22">
        <f>4.08*4+3.82*4</f>
        <v>31.6</v>
      </c>
      <c r="J592" s="22">
        <f>I592*2.965</f>
        <v>93.694000000000003</v>
      </c>
    </row>
    <row r="593" spans="1:16" ht="24" x14ac:dyDescent="0.2">
      <c r="A593" s="147"/>
      <c r="B593" s="148" t="s">
        <v>264</v>
      </c>
      <c r="C593" s="149" t="s">
        <v>147</v>
      </c>
      <c r="D593" s="150">
        <v>428.95</v>
      </c>
      <c r="E593" s="185"/>
      <c r="F593" s="145"/>
      <c r="G593" s="146">
        <f t="shared" si="70"/>
        <v>0</v>
      </c>
      <c r="I593" s="22">
        <f>8.3*6+6.2*6+3.5+1.4*4+3.3*2+2.915*4+3.415+2.915+4.25*2</f>
        <v>129.19</v>
      </c>
      <c r="J593" s="22">
        <f>I593*3.365</f>
        <v>434.72435000000002</v>
      </c>
      <c r="K593" s="22">
        <f>J593-K590</f>
        <v>375.77435000000003</v>
      </c>
      <c r="L593" s="22">
        <v>4.25</v>
      </c>
      <c r="M593" s="22">
        <f>L593*3.215*2</f>
        <v>27.327500000000001</v>
      </c>
      <c r="N593" s="22">
        <f>1.8*0.75*4</f>
        <v>5.4</v>
      </c>
      <c r="O593" s="22">
        <f>K593+M593+N593</f>
        <v>408.50184999999999</v>
      </c>
      <c r="P593" s="22">
        <f>O593*105%</f>
        <v>428.9269425</v>
      </c>
    </row>
    <row r="594" spans="1:16" x14ac:dyDescent="0.2">
      <c r="A594" s="147"/>
      <c r="B594" s="148"/>
      <c r="C594" s="149"/>
      <c r="D594" s="150"/>
      <c r="E594" s="185"/>
      <c r="F594" s="145"/>
      <c r="G594" s="146"/>
      <c r="N594" s="48"/>
      <c r="O594" s="48"/>
    </row>
    <row r="595" spans="1:16" x14ac:dyDescent="0.2">
      <c r="A595" s="133" t="s">
        <v>158</v>
      </c>
      <c r="B595" s="210" t="s">
        <v>281</v>
      </c>
      <c r="C595" s="135"/>
      <c r="D595" s="136"/>
      <c r="E595" s="137"/>
      <c r="F595" s="138"/>
      <c r="G595" s="139"/>
      <c r="K595" s="31"/>
    </row>
    <row r="596" spans="1:16" x14ac:dyDescent="0.2">
      <c r="A596" s="151" t="s">
        <v>171</v>
      </c>
      <c r="B596" s="211" t="s">
        <v>262</v>
      </c>
      <c r="C596" s="153"/>
      <c r="D596" s="154"/>
      <c r="E596" s="155"/>
      <c r="F596" s="223"/>
      <c r="G596" s="146">
        <f t="shared" ref="G596:G599" si="71">(D596*E596)+(D596*F596)</f>
        <v>0</v>
      </c>
      <c r="K596" s="31"/>
    </row>
    <row r="597" spans="1:16" ht="13.5" x14ac:dyDescent="0.2">
      <c r="A597" s="147"/>
      <c r="B597" s="212" t="s">
        <v>143</v>
      </c>
      <c r="C597" s="149" t="s">
        <v>147</v>
      </c>
      <c r="D597" s="150">
        <f>D562</f>
        <v>24.6</v>
      </c>
      <c r="E597" s="185"/>
      <c r="F597" s="145"/>
      <c r="G597" s="146">
        <f t="shared" si="71"/>
        <v>0</v>
      </c>
      <c r="K597" s="31"/>
      <c r="L597" s="31"/>
      <c r="O597" s="31"/>
    </row>
    <row r="598" spans="1:16" x14ac:dyDescent="0.2">
      <c r="A598" s="198" t="s">
        <v>172</v>
      </c>
      <c r="B598" s="202" t="s">
        <v>263</v>
      </c>
      <c r="C598" s="153"/>
      <c r="D598" s="154"/>
      <c r="E598" s="155"/>
      <c r="F598" s="156"/>
      <c r="G598" s="146">
        <f t="shared" si="71"/>
        <v>0</v>
      </c>
      <c r="K598" s="31"/>
    </row>
    <row r="599" spans="1:16" ht="13.5" x14ac:dyDescent="0.2">
      <c r="A599" s="147"/>
      <c r="B599" s="148" t="s">
        <v>311</v>
      </c>
      <c r="C599" s="149" t="s">
        <v>147</v>
      </c>
      <c r="D599" s="150">
        <f>D562</f>
        <v>24.6</v>
      </c>
      <c r="E599" s="185"/>
      <c r="F599" s="145"/>
      <c r="G599" s="146">
        <f t="shared" si="71"/>
        <v>0</v>
      </c>
      <c r="L599" s="31"/>
      <c r="M599" s="31"/>
      <c r="N599" s="31"/>
    </row>
    <row r="600" spans="1:16" x14ac:dyDescent="0.2">
      <c r="A600" s="147"/>
      <c r="B600" s="148"/>
      <c r="C600" s="149"/>
      <c r="D600" s="150"/>
      <c r="E600" s="185"/>
      <c r="F600" s="145"/>
      <c r="G600" s="146"/>
      <c r="L600" s="31"/>
      <c r="M600" s="31"/>
      <c r="N600" s="31"/>
    </row>
    <row r="601" spans="1:16" x14ac:dyDescent="0.2">
      <c r="A601" s="198"/>
      <c r="B601" s="202"/>
      <c r="C601" s="149"/>
      <c r="D601" s="150"/>
      <c r="E601" s="185"/>
      <c r="F601" s="145"/>
      <c r="G601" s="146"/>
    </row>
    <row r="602" spans="1:16" x14ac:dyDescent="0.2">
      <c r="A602" s="198"/>
      <c r="B602" s="202"/>
      <c r="C602" s="149"/>
      <c r="D602" s="150"/>
      <c r="E602" s="185"/>
      <c r="F602" s="145"/>
      <c r="G602" s="146"/>
    </row>
    <row r="603" spans="1:16" x14ac:dyDescent="0.2">
      <c r="A603" s="198"/>
      <c r="B603" s="202"/>
      <c r="C603" s="149"/>
      <c r="D603" s="150"/>
      <c r="E603" s="185"/>
      <c r="F603" s="145"/>
      <c r="G603" s="146"/>
    </row>
    <row r="604" spans="1:16" x14ac:dyDescent="0.2">
      <c r="A604" s="198"/>
      <c r="B604" s="202"/>
      <c r="C604" s="149"/>
      <c r="D604" s="150"/>
      <c r="E604" s="185"/>
      <c r="F604" s="145"/>
      <c r="G604" s="146"/>
    </row>
    <row r="605" spans="1:16" x14ac:dyDescent="0.2">
      <c r="A605" s="198"/>
      <c r="B605" s="202"/>
      <c r="C605" s="149"/>
      <c r="D605" s="150"/>
      <c r="E605" s="185"/>
      <c r="F605" s="145"/>
      <c r="G605" s="146"/>
    </row>
    <row r="606" spans="1:16" x14ac:dyDescent="0.2">
      <c r="A606" s="198"/>
      <c r="B606" s="202"/>
      <c r="C606" s="149"/>
      <c r="D606" s="150"/>
      <c r="E606" s="185"/>
      <c r="F606" s="145"/>
      <c r="G606" s="146"/>
    </row>
    <row r="607" spans="1:16" ht="12.75" thickBot="1" x14ac:dyDescent="0.25">
      <c r="A607" s="198"/>
      <c r="B607" s="202"/>
      <c r="C607" s="149"/>
      <c r="D607" s="150"/>
      <c r="E607" s="185"/>
      <c r="F607" s="145"/>
      <c r="G607" s="146"/>
    </row>
    <row r="608" spans="1:16" x14ac:dyDescent="0.2">
      <c r="A608" s="117"/>
      <c r="B608" s="118" t="s">
        <v>154</v>
      </c>
      <c r="C608" s="130"/>
      <c r="D608" s="120"/>
      <c r="E608" s="121"/>
      <c r="F608" s="224"/>
      <c r="G608" s="171"/>
    </row>
    <row r="609" spans="1:13" ht="12.75" thickBot="1" x14ac:dyDescent="0.25">
      <c r="A609" s="123"/>
      <c r="B609" s="106" t="s">
        <v>210</v>
      </c>
      <c r="C609" s="131"/>
      <c r="D609" s="125"/>
      <c r="E609" s="126"/>
      <c r="F609" s="225"/>
      <c r="G609" s="110">
        <f>SUM(G526:G582)</f>
        <v>0</v>
      </c>
    </row>
    <row r="610" spans="1:13" x14ac:dyDescent="0.2">
      <c r="A610" s="61"/>
      <c r="B610" s="557"/>
      <c r="C610" s="130"/>
      <c r="D610" s="120"/>
      <c r="E610" s="121"/>
      <c r="F610" s="170"/>
      <c r="G610" s="75"/>
    </row>
    <row r="611" spans="1:13" x14ac:dyDescent="0.2">
      <c r="A611" s="83"/>
      <c r="B611" s="558" t="s">
        <v>103</v>
      </c>
      <c r="C611" s="84"/>
      <c r="D611" s="63"/>
      <c r="E611" s="85"/>
      <c r="F611" s="46"/>
      <c r="G611" s="67"/>
    </row>
    <row r="612" spans="1:13" x14ac:dyDescent="0.2">
      <c r="A612" s="83"/>
      <c r="B612" s="559" t="s">
        <v>104</v>
      </c>
      <c r="C612" s="560"/>
      <c r="D612" s="561"/>
      <c r="E612" s="562"/>
      <c r="F612" s="563"/>
      <c r="G612" s="67"/>
    </row>
    <row r="613" spans="1:13" x14ac:dyDescent="0.2">
      <c r="A613" s="549" t="s">
        <v>105</v>
      </c>
      <c r="B613" s="551" t="s">
        <v>40</v>
      </c>
      <c r="C613" s="552"/>
      <c r="D613" s="553"/>
      <c r="E613" s="554"/>
      <c r="F613" s="556"/>
      <c r="G613" s="555"/>
    </row>
    <row r="614" spans="1:13" ht="27.75" customHeight="1" x14ac:dyDescent="0.2">
      <c r="A614" s="550"/>
      <c r="B614" s="634" t="s">
        <v>144</v>
      </c>
      <c r="C614" s="635"/>
      <c r="D614" s="635"/>
      <c r="E614" s="635"/>
      <c r="F614" s="636"/>
      <c r="G614" s="251"/>
    </row>
    <row r="615" spans="1:13" x14ac:dyDescent="0.2">
      <c r="A615" s="226" t="s">
        <v>149</v>
      </c>
      <c r="B615" s="227" t="s">
        <v>215</v>
      </c>
      <c r="C615" s="228"/>
      <c r="D615" s="229"/>
      <c r="E615" s="230"/>
      <c r="F615" s="231"/>
      <c r="G615" s="232"/>
    </row>
    <row r="616" spans="1:13" ht="12.75" x14ac:dyDescent="0.2">
      <c r="A616" s="233"/>
      <c r="B616" s="234" t="s">
        <v>229</v>
      </c>
      <c r="C616" s="235"/>
      <c r="D616" s="236"/>
      <c r="E616" s="237"/>
      <c r="F616" s="196"/>
      <c r="G616" s="197"/>
    </row>
    <row r="617" spans="1:13" ht="12.75" x14ac:dyDescent="0.2">
      <c r="A617" s="238" t="s">
        <v>156</v>
      </c>
      <c r="B617" s="239" t="s">
        <v>64</v>
      </c>
      <c r="C617" s="240"/>
      <c r="D617" s="241"/>
      <c r="E617" s="181"/>
      <c r="F617" s="182"/>
      <c r="G617" s="183">
        <f t="shared" ref="G617:G620" si="72">(D617*E617)+(D617*F617)</f>
        <v>0</v>
      </c>
    </row>
    <row r="618" spans="1:13" ht="15.75" x14ac:dyDescent="0.2">
      <c r="A618" s="233"/>
      <c r="B618" s="242" t="s">
        <v>312</v>
      </c>
      <c r="C618" s="235" t="s">
        <v>230</v>
      </c>
      <c r="D618" s="236">
        <v>154.4</v>
      </c>
      <c r="E618" s="195"/>
      <c r="F618" s="196"/>
      <c r="G618" s="197">
        <f t="shared" si="72"/>
        <v>0</v>
      </c>
      <c r="I618" s="22">
        <f>51.46*3</f>
        <v>154.38</v>
      </c>
    </row>
    <row r="619" spans="1:13" ht="15.75" x14ac:dyDescent="0.2">
      <c r="A619" s="233"/>
      <c r="B619" s="242" t="s">
        <v>492</v>
      </c>
      <c r="C619" s="235" t="s">
        <v>230</v>
      </c>
      <c r="D619" s="236">
        <v>67.515000000000001</v>
      </c>
      <c r="E619" s="195"/>
      <c r="F619" s="196"/>
      <c r="G619" s="197">
        <f t="shared" si="72"/>
        <v>0</v>
      </c>
      <c r="I619" s="22">
        <f>25.8*2.025</f>
        <v>52.244999999999997</v>
      </c>
      <c r="J619" s="22">
        <f>8.5*1.35</f>
        <v>11.475000000000001</v>
      </c>
      <c r="K619" s="22">
        <f>1.65*0.8</f>
        <v>1.32</v>
      </c>
      <c r="L619" s="22">
        <f>1.65*1.5</f>
        <v>2.4749999999999996</v>
      </c>
      <c r="M619" s="22">
        <f>SUM(I619:L619)</f>
        <v>67.514999999999986</v>
      </c>
    </row>
    <row r="620" spans="1:13" ht="15.75" x14ac:dyDescent="0.2">
      <c r="A620" s="233"/>
      <c r="B620" s="242" t="s">
        <v>314</v>
      </c>
      <c r="C620" s="235" t="s">
        <v>230</v>
      </c>
      <c r="D620" s="236">
        <v>18</v>
      </c>
      <c r="E620" s="195"/>
      <c r="F620" s="196"/>
      <c r="G620" s="197">
        <f t="shared" si="72"/>
        <v>0</v>
      </c>
      <c r="I620" s="31">
        <f>4.4*2.915</f>
        <v>12.826000000000001</v>
      </c>
      <c r="J620" s="22">
        <f>1.425*0.169*20</f>
        <v>4.8165000000000004</v>
      </c>
      <c r="K620" s="31"/>
      <c r="L620" s="31">
        <f>SUM(I620:K620)</f>
        <v>17.642500000000002</v>
      </c>
    </row>
    <row r="621" spans="1:13" ht="15.75" x14ac:dyDescent="0.2">
      <c r="A621" s="233"/>
      <c r="B621" s="242" t="s">
        <v>315</v>
      </c>
      <c r="C621" s="235" t="s">
        <v>230</v>
      </c>
      <c r="D621" s="236">
        <v>10.56</v>
      </c>
      <c r="E621" s="195"/>
      <c r="F621" s="196"/>
      <c r="G621" s="197">
        <f t="shared" ref="G621" si="73">(D621*E621)+(D621*F621)</f>
        <v>0</v>
      </c>
      <c r="I621" s="31">
        <f>6.4+2+6.6+2.6</f>
        <v>17.600000000000001</v>
      </c>
      <c r="J621" s="48">
        <f>0.6*I621</f>
        <v>10.56</v>
      </c>
      <c r="K621" s="31"/>
    </row>
    <row r="622" spans="1:13" ht="12.75" x14ac:dyDescent="0.2">
      <c r="A622" s="233"/>
      <c r="B622" s="242"/>
      <c r="C622" s="235"/>
      <c r="D622" s="236"/>
      <c r="E622" s="195"/>
      <c r="F622" s="196"/>
      <c r="G622" s="197"/>
      <c r="I622" s="31"/>
    </row>
    <row r="623" spans="1:13" ht="12.75" x14ac:dyDescent="0.2">
      <c r="A623" s="238" t="s">
        <v>157</v>
      </c>
      <c r="B623" s="239" t="s">
        <v>66</v>
      </c>
      <c r="C623" s="240"/>
      <c r="D623" s="241"/>
      <c r="E623" s="181"/>
      <c r="F623" s="182"/>
      <c r="G623" s="183">
        <f t="shared" ref="G623:G625" si="74">(D623*E623)+(D623*F623)</f>
        <v>0</v>
      </c>
    </row>
    <row r="624" spans="1:13" ht="15.75" x14ac:dyDescent="0.2">
      <c r="A624" s="233"/>
      <c r="B624" s="242" t="s">
        <v>312</v>
      </c>
      <c r="C624" s="235" t="s">
        <v>230</v>
      </c>
      <c r="D624" s="236">
        <f>D618</f>
        <v>154.4</v>
      </c>
      <c r="E624" s="195"/>
      <c r="F624" s="196"/>
      <c r="G624" s="197">
        <f t="shared" si="74"/>
        <v>0</v>
      </c>
      <c r="I624" s="22">
        <f>51.46*2</f>
        <v>102.92</v>
      </c>
      <c r="L624" s="22">
        <f>SUM(I624:K624)</f>
        <v>102.92</v>
      </c>
    </row>
    <row r="625" spans="1:13" ht="15.75" x14ac:dyDescent="0.2">
      <c r="A625" s="233"/>
      <c r="B625" s="242" t="s">
        <v>313</v>
      </c>
      <c r="C625" s="235" t="s">
        <v>230</v>
      </c>
      <c r="D625" s="236">
        <v>40.85</v>
      </c>
      <c r="E625" s="195"/>
      <c r="F625" s="196"/>
      <c r="G625" s="197">
        <f t="shared" si="74"/>
        <v>0</v>
      </c>
      <c r="I625" s="22">
        <f>25.8*1.85</f>
        <v>47.730000000000004</v>
      </c>
      <c r="J625" s="22">
        <f>8.5*1.35</f>
        <v>11.475000000000001</v>
      </c>
      <c r="K625" s="22">
        <f>1.65*0.8</f>
        <v>1.32</v>
      </c>
      <c r="L625" s="22">
        <f>1.65*1.5</f>
        <v>2.4749999999999996</v>
      </c>
      <c r="M625" s="22">
        <f>SUM(I625:L625)</f>
        <v>63.000000000000007</v>
      </c>
    </row>
    <row r="626" spans="1:13" ht="15.75" x14ac:dyDescent="0.2">
      <c r="A626" s="233"/>
      <c r="B626" s="242" t="s">
        <v>490</v>
      </c>
      <c r="C626" s="235" t="s">
        <v>230</v>
      </c>
      <c r="D626" s="236">
        <v>9.15</v>
      </c>
      <c r="E626" s="195"/>
      <c r="F626" s="196"/>
      <c r="G626" s="197">
        <f>(D626*E626)+(D626*F626)</f>
        <v>0</v>
      </c>
      <c r="I626" s="31">
        <f>3.15*2.915</f>
        <v>9.1822499999999998</v>
      </c>
      <c r="K626" s="31"/>
    </row>
    <row r="627" spans="1:13" ht="15.75" x14ac:dyDescent="0.2">
      <c r="A627" s="233"/>
      <c r="B627" s="242" t="s">
        <v>314</v>
      </c>
      <c r="C627" s="235" t="s">
        <v>230</v>
      </c>
      <c r="D627" s="236">
        <v>18</v>
      </c>
      <c r="E627" s="195"/>
      <c r="F627" s="196"/>
      <c r="G627" s="197">
        <f t="shared" ref="G627" si="75">(D627*E627)+(D627*F627)</f>
        <v>0</v>
      </c>
      <c r="I627" s="31"/>
      <c r="K627" s="31"/>
    </row>
    <row r="628" spans="1:13" ht="15.75" x14ac:dyDescent="0.2">
      <c r="A628" s="233"/>
      <c r="B628" s="242" t="s">
        <v>491</v>
      </c>
      <c r="C628" s="235" t="s">
        <v>230</v>
      </c>
      <c r="D628" s="236">
        <v>5.85</v>
      </c>
      <c r="E628" s="195"/>
      <c r="F628" s="196"/>
      <c r="G628" s="197">
        <f t="shared" ref="G628" si="76">(D628*E628)+(D628*F628)</f>
        <v>0</v>
      </c>
      <c r="I628" s="31">
        <f>2.915*2</f>
        <v>5.83</v>
      </c>
      <c r="K628" s="31"/>
    </row>
    <row r="629" spans="1:13" ht="12.75" x14ac:dyDescent="0.2">
      <c r="A629" s="233"/>
      <c r="B629" s="242"/>
      <c r="C629" s="235"/>
      <c r="D629" s="236"/>
      <c r="E629" s="195"/>
      <c r="F629" s="196"/>
      <c r="G629" s="197"/>
      <c r="I629" s="31"/>
      <c r="K629" s="31"/>
    </row>
    <row r="630" spans="1:13" ht="12.75" x14ac:dyDescent="0.2">
      <c r="A630" s="238" t="s">
        <v>55</v>
      </c>
      <c r="B630" s="239" t="s">
        <v>454</v>
      </c>
      <c r="C630" s="240"/>
      <c r="D630" s="241"/>
      <c r="E630" s="181"/>
      <c r="F630" s="182"/>
      <c r="G630" s="183">
        <f t="shared" ref="G630:G632" si="77">(D630*E630)+(D630*F630)</f>
        <v>0</v>
      </c>
      <c r="I630" s="31"/>
      <c r="K630" s="31"/>
    </row>
    <row r="631" spans="1:13" ht="15.75" x14ac:dyDescent="0.2">
      <c r="A631" s="233"/>
      <c r="B631" s="242" t="s">
        <v>312</v>
      </c>
      <c r="C631" s="235" t="s">
        <v>230</v>
      </c>
      <c r="D631" s="236">
        <v>154.4</v>
      </c>
      <c r="E631" s="195"/>
      <c r="F631" s="196"/>
      <c r="G631" s="197">
        <f t="shared" si="77"/>
        <v>0</v>
      </c>
      <c r="I631" s="31"/>
      <c r="K631" s="31"/>
    </row>
    <row r="632" spans="1:13" ht="15.75" x14ac:dyDescent="0.2">
      <c r="A632" s="233"/>
      <c r="B632" s="242" t="s">
        <v>313</v>
      </c>
      <c r="C632" s="235" t="s">
        <v>230</v>
      </c>
      <c r="D632" s="236">
        <v>40.85</v>
      </c>
      <c r="E632" s="195"/>
      <c r="F632" s="196"/>
      <c r="G632" s="197">
        <f t="shared" si="77"/>
        <v>0</v>
      </c>
    </row>
    <row r="633" spans="1:13" ht="15.75" x14ac:dyDescent="0.2">
      <c r="A633" s="233"/>
      <c r="B633" s="242" t="s">
        <v>490</v>
      </c>
      <c r="C633" s="235" t="s">
        <v>230</v>
      </c>
      <c r="D633" s="236">
        <v>9.15</v>
      </c>
      <c r="E633" s="195"/>
      <c r="F633" s="196"/>
      <c r="G633" s="197">
        <f>(D633*E633)+(D633*F633)</f>
        <v>0</v>
      </c>
    </row>
    <row r="634" spans="1:13" ht="15.75" x14ac:dyDescent="0.2">
      <c r="A634" s="233"/>
      <c r="B634" s="242" t="s">
        <v>314</v>
      </c>
      <c r="C634" s="235" t="s">
        <v>230</v>
      </c>
      <c r="D634" s="236">
        <v>18</v>
      </c>
      <c r="E634" s="195"/>
      <c r="F634" s="196"/>
      <c r="G634" s="197">
        <f t="shared" ref="G634:G638" si="78">(D634*E634)+(D634*F634)</f>
        <v>0</v>
      </c>
    </row>
    <row r="635" spans="1:13" ht="15.75" x14ac:dyDescent="0.2">
      <c r="A635" s="233"/>
      <c r="B635" s="242" t="s">
        <v>491</v>
      </c>
      <c r="C635" s="235" t="s">
        <v>230</v>
      </c>
      <c r="D635" s="236">
        <v>5.85</v>
      </c>
      <c r="E635" s="195"/>
      <c r="F635" s="196"/>
      <c r="G635" s="197">
        <f t="shared" si="78"/>
        <v>0</v>
      </c>
    </row>
    <row r="636" spans="1:13" ht="12.75" x14ac:dyDescent="0.2">
      <c r="A636" s="238" t="s">
        <v>158</v>
      </c>
      <c r="B636" s="239" t="s">
        <v>456</v>
      </c>
      <c r="C636" s="240"/>
      <c r="D636" s="241"/>
      <c r="E636" s="181"/>
      <c r="F636" s="182"/>
      <c r="G636" s="183">
        <f t="shared" si="78"/>
        <v>0</v>
      </c>
    </row>
    <row r="637" spans="1:13" ht="15.75" x14ac:dyDescent="0.2">
      <c r="A637" s="233"/>
      <c r="B637" s="242" t="s">
        <v>312</v>
      </c>
      <c r="C637" s="235" t="s">
        <v>230</v>
      </c>
      <c r="D637" s="236">
        <f>D631</f>
        <v>154.4</v>
      </c>
      <c r="E637" s="195"/>
      <c r="F637" s="196"/>
      <c r="G637" s="197">
        <f t="shared" si="78"/>
        <v>0</v>
      </c>
    </row>
    <row r="638" spans="1:13" ht="15.75" x14ac:dyDescent="0.2">
      <c r="A638" s="233"/>
      <c r="B638" s="242" t="s">
        <v>313</v>
      </c>
      <c r="C638" s="235" t="s">
        <v>230</v>
      </c>
      <c r="D638" s="236">
        <v>40.85</v>
      </c>
      <c r="E638" s="195"/>
      <c r="F638" s="196"/>
      <c r="G638" s="197">
        <f t="shared" si="78"/>
        <v>0</v>
      </c>
    </row>
    <row r="639" spans="1:13" ht="15.75" x14ac:dyDescent="0.2">
      <c r="A639" s="233"/>
      <c r="B639" s="242" t="s">
        <v>490</v>
      </c>
      <c r="C639" s="235" t="s">
        <v>230</v>
      </c>
      <c r="D639" s="236">
        <v>9.15</v>
      </c>
      <c r="E639" s="195"/>
      <c r="F639" s="196"/>
      <c r="G639" s="197">
        <f>(D639*E639)+(D639*F639)</f>
        <v>0</v>
      </c>
    </row>
    <row r="640" spans="1:13" ht="15.75" x14ac:dyDescent="0.2">
      <c r="A640" s="233"/>
      <c r="B640" s="242" t="s">
        <v>491</v>
      </c>
      <c r="C640" s="235" t="s">
        <v>230</v>
      </c>
      <c r="D640" s="236">
        <v>5.85</v>
      </c>
      <c r="E640" s="195"/>
      <c r="F640" s="196"/>
      <c r="G640" s="197">
        <f t="shared" ref="G640" si="79">(D640*E640)+(D640*F640)</f>
        <v>0</v>
      </c>
    </row>
    <row r="641" spans="1:7" ht="12.75" x14ac:dyDescent="0.2">
      <c r="A641" s="566" t="s">
        <v>159</v>
      </c>
      <c r="B641" s="239" t="s">
        <v>281</v>
      </c>
      <c r="C641" s="240"/>
      <c r="D641" s="241"/>
      <c r="E641" s="258"/>
      <c r="F641" s="182"/>
      <c r="G641" s="183"/>
    </row>
    <row r="642" spans="1:7" ht="15.75" x14ac:dyDescent="0.2">
      <c r="A642" s="233"/>
      <c r="B642" s="242" t="s">
        <v>494</v>
      </c>
      <c r="C642" s="235" t="s">
        <v>230</v>
      </c>
      <c r="D642" s="236">
        <v>73.75</v>
      </c>
      <c r="E642" s="195"/>
      <c r="F642" s="196"/>
      <c r="G642" s="197">
        <f t="shared" ref="G642" si="80">(D642*E642)+(D642*F642)</f>
        <v>0</v>
      </c>
    </row>
    <row r="643" spans="1:7" ht="12.75" x14ac:dyDescent="0.2">
      <c r="A643" s="233"/>
      <c r="B643" s="242"/>
      <c r="C643" s="235"/>
      <c r="D643" s="236"/>
      <c r="E643" s="195"/>
      <c r="F643" s="196"/>
      <c r="G643" s="197"/>
    </row>
    <row r="644" spans="1:7" ht="12.75" x14ac:dyDescent="0.2">
      <c r="A644" s="233"/>
      <c r="B644" s="242"/>
      <c r="C644" s="235"/>
      <c r="D644" s="236"/>
      <c r="E644" s="195"/>
      <c r="F644" s="196"/>
      <c r="G644" s="197"/>
    </row>
    <row r="645" spans="1:7" ht="12.75" x14ac:dyDescent="0.2">
      <c r="A645" s="233"/>
      <c r="B645" s="242"/>
      <c r="C645" s="235"/>
      <c r="D645" s="236"/>
      <c r="E645" s="195"/>
      <c r="F645" s="196"/>
      <c r="G645" s="197"/>
    </row>
    <row r="646" spans="1:7" ht="12.75" x14ac:dyDescent="0.2">
      <c r="A646" s="233"/>
      <c r="B646" s="242"/>
      <c r="C646" s="235"/>
      <c r="D646" s="236"/>
      <c r="E646" s="195"/>
      <c r="F646" s="196"/>
      <c r="G646" s="197"/>
    </row>
    <row r="647" spans="1:7" ht="12.75" x14ac:dyDescent="0.2">
      <c r="A647" s="233"/>
      <c r="B647" s="242"/>
      <c r="C647" s="235"/>
      <c r="D647" s="236"/>
      <c r="E647" s="195"/>
      <c r="F647" s="196"/>
      <c r="G647" s="197"/>
    </row>
    <row r="648" spans="1:7" ht="12.75" x14ac:dyDescent="0.2">
      <c r="A648" s="233"/>
      <c r="B648" s="242"/>
      <c r="C648" s="235"/>
      <c r="D648" s="236"/>
      <c r="E648" s="195"/>
      <c r="F648" s="196"/>
      <c r="G648" s="197"/>
    </row>
    <row r="649" spans="1:7" ht="12.75" x14ac:dyDescent="0.2">
      <c r="A649" s="233"/>
      <c r="B649" s="242"/>
      <c r="C649" s="235"/>
      <c r="D649" s="236"/>
      <c r="E649" s="195"/>
      <c r="F649" s="196"/>
      <c r="G649" s="197"/>
    </row>
    <row r="650" spans="1:7" ht="12.75" x14ac:dyDescent="0.2">
      <c r="A650" s="233"/>
      <c r="B650" s="242"/>
      <c r="C650" s="235"/>
      <c r="D650" s="236"/>
      <c r="E650" s="195"/>
      <c r="F650" s="196"/>
      <c r="G650" s="197"/>
    </row>
    <row r="651" spans="1:7" ht="12.75" x14ac:dyDescent="0.2">
      <c r="A651" s="233"/>
      <c r="B651" s="242"/>
      <c r="C651" s="235"/>
      <c r="D651" s="236"/>
      <c r="E651" s="195"/>
      <c r="F651" s="196"/>
      <c r="G651" s="197"/>
    </row>
    <row r="652" spans="1:7" ht="12.75" x14ac:dyDescent="0.2">
      <c r="A652" s="233"/>
      <c r="B652" s="242"/>
      <c r="C652" s="235"/>
      <c r="D652" s="236"/>
      <c r="E652" s="195"/>
      <c r="F652" s="196"/>
      <c r="G652" s="197"/>
    </row>
    <row r="653" spans="1:7" ht="12.75" x14ac:dyDescent="0.2">
      <c r="A653" s="233"/>
      <c r="B653" s="242"/>
      <c r="C653" s="235"/>
      <c r="D653" s="236"/>
      <c r="E653" s="195"/>
      <c r="F653" s="196"/>
      <c r="G653" s="197"/>
    </row>
    <row r="654" spans="1:7" ht="12.75" x14ac:dyDescent="0.2">
      <c r="A654" s="233"/>
      <c r="B654" s="242"/>
      <c r="C654" s="235"/>
      <c r="D654" s="236"/>
      <c r="E654" s="195"/>
      <c r="F654" s="196"/>
      <c r="G654" s="197"/>
    </row>
    <row r="655" spans="1:7" ht="12.75" x14ac:dyDescent="0.2">
      <c r="A655" s="233"/>
      <c r="B655" s="242"/>
      <c r="C655" s="235"/>
      <c r="D655" s="236"/>
      <c r="E655" s="195"/>
      <c r="F655" s="196"/>
      <c r="G655" s="197"/>
    </row>
    <row r="656" spans="1:7" ht="12.75" x14ac:dyDescent="0.2">
      <c r="A656" s="233"/>
      <c r="B656" s="242"/>
      <c r="C656" s="235"/>
      <c r="D656" s="236"/>
      <c r="E656" s="195"/>
      <c r="F656" s="196"/>
      <c r="G656" s="197"/>
    </row>
    <row r="657" spans="1:18" ht="12.75" x14ac:dyDescent="0.2">
      <c r="A657" s="233"/>
      <c r="B657" s="242"/>
      <c r="C657" s="235"/>
      <c r="D657" s="236"/>
      <c r="E657" s="195"/>
      <c r="F657" s="196"/>
      <c r="G657" s="197"/>
    </row>
    <row r="658" spans="1:18" ht="12.75" x14ac:dyDescent="0.2">
      <c r="A658" s="233"/>
      <c r="B658" s="242"/>
      <c r="C658" s="235"/>
      <c r="D658" s="236"/>
      <c r="E658" s="195"/>
      <c r="F658" s="196"/>
      <c r="G658" s="197"/>
    </row>
    <row r="659" spans="1:18" ht="13.5" thickBot="1" x14ac:dyDescent="0.25">
      <c r="A659" s="477"/>
      <c r="B659" s="478"/>
      <c r="C659" s="479"/>
      <c r="D659" s="480"/>
      <c r="E659" s="207"/>
      <c r="F659" s="208"/>
      <c r="G659" s="481"/>
    </row>
    <row r="660" spans="1:18" ht="12.75" x14ac:dyDescent="0.2">
      <c r="A660" s="243"/>
      <c r="B660" s="244"/>
      <c r="C660" s="245"/>
      <c r="D660" s="246"/>
      <c r="E660" s="247"/>
      <c r="F660" s="248"/>
      <c r="G660" s="249"/>
    </row>
    <row r="661" spans="1:18" x14ac:dyDescent="0.2">
      <c r="A661" s="86" t="s">
        <v>150</v>
      </c>
      <c r="B661" s="87" t="s">
        <v>151</v>
      </c>
      <c r="C661" s="91"/>
      <c r="D661" s="92"/>
      <c r="E661" s="88"/>
      <c r="F661" s="89"/>
      <c r="G661" s="90"/>
    </row>
    <row r="662" spans="1:18" ht="33" customHeight="1" x14ac:dyDescent="0.2">
      <c r="A662" s="549"/>
      <c r="B662" s="637" t="s">
        <v>247</v>
      </c>
      <c r="C662" s="637"/>
      <c r="D662" s="637"/>
      <c r="E662" s="637"/>
      <c r="F662" s="637"/>
      <c r="G662" s="250"/>
    </row>
    <row r="663" spans="1:18" ht="13.5" customHeight="1" x14ac:dyDescent="0.2">
      <c r="A663" s="564"/>
      <c r="B663" s="629" t="s">
        <v>249</v>
      </c>
      <c r="C663" s="629"/>
      <c r="D663" s="629"/>
      <c r="E663" s="629"/>
      <c r="F663" s="629"/>
      <c r="G663" s="77"/>
    </row>
    <row r="664" spans="1:18" ht="27" customHeight="1" x14ac:dyDescent="0.2">
      <c r="A664" s="564"/>
      <c r="B664" s="629" t="s">
        <v>248</v>
      </c>
      <c r="C664" s="629"/>
      <c r="D664" s="629"/>
      <c r="E664" s="629"/>
      <c r="F664" s="629"/>
      <c r="G664" s="77"/>
    </row>
    <row r="665" spans="1:18" ht="26.25" customHeight="1" x14ac:dyDescent="0.2">
      <c r="A665" s="565"/>
      <c r="B665" s="638" t="s">
        <v>317</v>
      </c>
      <c r="C665" s="638"/>
      <c r="D665" s="638"/>
      <c r="E665" s="638"/>
      <c r="F665" s="638"/>
      <c r="G665" s="251"/>
    </row>
    <row r="666" spans="1:18" ht="12" customHeight="1" x14ac:dyDescent="0.2">
      <c r="A666" s="564"/>
      <c r="B666" s="603"/>
      <c r="C666" s="603"/>
      <c r="D666" s="603"/>
      <c r="E666" s="603"/>
      <c r="F666" s="603"/>
      <c r="G666" s="77"/>
    </row>
    <row r="667" spans="1:18" ht="12.75" x14ac:dyDescent="0.2">
      <c r="A667" s="252" t="s">
        <v>156</v>
      </c>
      <c r="B667" s="253" t="s">
        <v>64</v>
      </c>
      <c r="C667" s="254"/>
      <c r="D667" s="255"/>
      <c r="E667" s="256"/>
      <c r="F667" s="177"/>
      <c r="G667" s="178"/>
    </row>
    <row r="668" spans="1:18" ht="12.75" x14ac:dyDescent="0.2">
      <c r="A668" s="233" t="s">
        <v>250</v>
      </c>
      <c r="B668" s="257" t="s">
        <v>244</v>
      </c>
      <c r="C668" s="235"/>
      <c r="D668" s="236"/>
      <c r="E668" s="195"/>
      <c r="F668" s="196"/>
      <c r="G668" s="197"/>
      <c r="I668" s="47"/>
      <c r="J668" s="29"/>
      <c r="K668" s="27"/>
    </row>
    <row r="669" spans="1:18" ht="12.75" x14ac:dyDescent="0.2">
      <c r="A669" s="233" t="s">
        <v>171</v>
      </c>
      <c r="B669" s="257" t="s">
        <v>267</v>
      </c>
      <c r="C669" s="235"/>
      <c r="D669" s="236"/>
      <c r="E669" s="195"/>
      <c r="F669" s="196"/>
      <c r="G669" s="197"/>
      <c r="I669" s="56"/>
      <c r="J669" s="29"/>
      <c r="K669" s="27"/>
    </row>
    <row r="670" spans="1:18" ht="15.75" x14ac:dyDescent="0.2">
      <c r="A670" s="233"/>
      <c r="B670" s="242" t="s">
        <v>312</v>
      </c>
      <c r="C670" s="235" t="s">
        <v>230</v>
      </c>
      <c r="D670" s="236">
        <f>D618</f>
        <v>154.4</v>
      </c>
      <c r="E670" s="195"/>
      <c r="F670" s="196"/>
      <c r="G670" s="197">
        <f t="shared" ref="G670" si="81">(D670*E670)+(D670*F670)</f>
        <v>0</v>
      </c>
      <c r="I670" s="47"/>
      <c r="J670" s="29"/>
      <c r="K670" s="27"/>
    </row>
    <row r="671" spans="1:18" ht="12.75" x14ac:dyDescent="0.2">
      <c r="A671" s="233" t="s">
        <v>172</v>
      </c>
      <c r="B671" s="257" t="s">
        <v>289</v>
      </c>
      <c r="C671" s="235"/>
      <c r="D671" s="236"/>
      <c r="E671" s="195"/>
      <c r="F671" s="196"/>
      <c r="G671" s="197"/>
      <c r="I671" s="56"/>
      <c r="J671" s="29"/>
      <c r="K671" s="27"/>
    </row>
    <row r="672" spans="1:18" ht="15.75" x14ac:dyDescent="0.2">
      <c r="A672" s="233"/>
      <c r="B672" s="242" t="s">
        <v>492</v>
      </c>
      <c r="C672" s="235" t="s">
        <v>230</v>
      </c>
      <c r="D672" s="236">
        <f>D619</f>
        <v>67.515000000000001</v>
      </c>
      <c r="E672" s="195"/>
      <c r="F672" s="196"/>
      <c r="G672" s="197">
        <f t="shared" ref="G672" si="82">(D672*E672)+(D672*F672)</f>
        <v>0</v>
      </c>
      <c r="I672" s="47"/>
      <c r="J672" s="29"/>
      <c r="K672" s="27"/>
      <c r="M672" s="48"/>
      <c r="O672" s="48"/>
      <c r="Q672" s="48"/>
      <c r="R672" s="48"/>
    </row>
    <row r="673" spans="1:13" ht="12.75" x14ac:dyDescent="0.2">
      <c r="A673" s="233" t="s">
        <v>185</v>
      </c>
      <c r="B673" s="257" t="s">
        <v>268</v>
      </c>
      <c r="C673" s="235"/>
      <c r="D673" s="236"/>
      <c r="E673" s="195"/>
      <c r="F673" s="196"/>
      <c r="G673" s="197"/>
    </row>
    <row r="674" spans="1:13" ht="15.75" x14ac:dyDescent="0.2">
      <c r="A674" s="233"/>
      <c r="B674" s="242" t="s">
        <v>276</v>
      </c>
      <c r="C674" s="235" t="s">
        <v>230</v>
      </c>
      <c r="D674" s="236">
        <f>D620</f>
        <v>18</v>
      </c>
      <c r="E674" s="195"/>
      <c r="F674" s="196"/>
      <c r="G674" s="197">
        <f t="shared" ref="G674" si="83">(D674*E674)+(D674*F674)</f>
        <v>0</v>
      </c>
    </row>
    <row r="675" spans="1:13" ht="15.75" x14ac:dyDescent="0.2">
      <c r="A675" s="233"/>
      <c r="B675" s="242" t="s">
        <v>315</v>
      </c>
      <c r="C675" s="235" t="s">
        <v>230</v>
      </c>
      <c r="D675" s="236">
        <f>D621</f>
        <v>10.56</v>
      </c>
      <c r="E675" s="195"/>
      <c r="F675" s="196"/>
      <c r="G675" s="197">
        <f t="shared" ref="G675" si="84">(D675*E675)+(D675*F675)</f>
        <v>0</v>
      </c>
    </row>
    <row r="676" spans="1:13" ht="12.75" x14ac:dyDescent="0.2">
      <c r="A676" s="233" t="s">
        <v>252</v>
      </c>
      <c r="B676" s="257" t="s">
        <v>246</v>
      </c>
      <c r="C676" s="235"/>
      <c r="D676" s="236"/>
      <c r="E676" s="195"/>
      <c r="F676" s="196"/>
      <c r="G676" s="197"/>
      <c r="I676" s="52"/>
      <c r="J676" s="29"/>
      <c r="K676" s="27"/>
      <c r="L676" s="27"/>
    </row>
    <row r="677" spans="1:13" ht="12.75" x14ac:dyDescent="0.2">
      <c r="A677" s="233" t="s">
        <v>171</v>
      </c>
      <c r="B677" s="242" t="s">
        <v>271</v>
      </c>
      <c r="C677" s="235" t="s">
        <v>124</v>
      </c>
      <c r="D677" s="236">
        <v>127</v>
      </c>
      <c r="E677" s="195"/>
      <c r="F677" s="196"/>
      <c r="G677" s="197">
        <f t="shared" ref="G677" si="85">(D677*E677)+(D677*F677)</f>
        <v>0</v>
      </c>
      <c r="I677" s="22">
        <f>8.3*6+6.2*6+19.4+4.25*4+2.915</f>
        <v>126.31500000000001</v>
      </c>
      <c r="J677" s="22">
        <f>0.55*6</f>
        <v>3.3000000000000003</v>
      </c>
      <c r="K677" s="22">
        <f>I677-J677</f>
        <v>123.01500000000001</v>
      </c>
      <c r="M677" s="22">
        <f>I677-L677</f>
        <v>126.31500000000001</v>
      </c>
    </row>
    <row r="678" spans="1:13" ht="12.75" x14ac:dyDescent="0.2">
      <c r="A678" s="238" t="s">
        <v>157</v>
      </c>
      <c r="B678" s="239" t="s">
        <v>66</v>
      </c>
      <c r="C678" s="240"/>
      <c r="D678" s="241"/>
      <c r="E678" s="258"/>
      <c r="F678" s="182"/>
      <c r="G678" s="183"/>
    </row>
    <row r="679" spans="1:13" ht="12.75" x14ac:dyDescent="0.2">
      <c r="A679" s="233" t="s">
        <v>250</v>
      </c>
      <c r="B679" s="257" t="s">
        <v>244</v>
      </c>
      <c r="C679" s="235"/>
      <c r="D679" s="236"/>
      <c r="E679" s="195"/>
      <c r="F679" s="196"/>
      <c r="G679" s="197"/>
    </row>
    <row r="680" spans="1:13" ht="12.75" x14ac:dyDescent="0.2">
      <c r="A680" s="233" t="s">
        <v>171</v>
      </c>
      <c r="B680" s="257" t="s">
        <v>267</v>
      </c>
      <c r="C680" s="235"/>
      <c r="D680" s="236"/>
      <c r="E680" s="195"/>
      <c r="F680" s="196"/>
      <c r="G680" s="197"/>
      <c r="I680" s="22">
        <f>12.5+2.95+3.05+3.05+2.95</f>
        <v>24.5</v>
      </c>
    </row>
    <row r="681" spans="1:13" ht="15.75" x14ac:dyDescent="0.2">
      <c r="A681" s="233"/>
      <c r="B681" s="242" t="s">
        <v>312</v>
      </c>
      <c r="C681" s="235" t="s">
        <v>230</v>
      </c>
      <c r="D681" s="236">
        <v>154.4</v>
      </c>
      <c r="E681" s="195"/>
      <c r="F681" s="196"/>
      <c r="G681" s="197">
        <f t="shared" ref="G681" si="86">(D681*E681)+(D681*F681)</f>
        <v>0</v>
      </c>
      <c r="I681" s="22">
        <v>28.7</v>
      </c>
    </row>
    <row r="682" spans="1:13" ht="12.75" x14ac:dyDescent="0.2">
      <c r="A682" s="233" t="s">
        <v>172</v>
      </c>
      <c r="B682" s="257" t="s">
        <v>270</v>
      </c>
      <c r="C682" s="235"/>
      <c r="D682" s="236"/>
      <c r="E682" s="195"/>
      <c r="F682" s="196"/>
      <c r="G682" s="197"/>
    </row>
    <row r="683" spans="1:13" ht="15.75" x14ac:dyDescent="0.2">
      <c r="A683" s="233"/>
      <c r="B683" s="242" t="s">
        <v>492</v>
      </c>
      <c r="C683" s="235" t="s">
        <v>230</v>
      </c>
      <c r="D683" s="236">
        <v>46.7</v>
      </c>
      <c r="E683" s="195"/>
      <c r="F683" s="196"/>
      <c r="G683" s="197">
        <f t="shared" ref="G683" si="87">(D683*E683)+(D683*F683)</f>
        <v>0</v>
      </c>
      <c r="I683" s="22">
        <f>19.1*1.85</f>
        <v>35.335000000000001</v>
      </c>
      <c r="J683" s="22">
        <f>4.28*3.2</f>
        <v>13.696000000000002</v>
      </c>
      <c r="K683" s="22">
        <f>SUM(I683:J683)</f>
        <v>49.031000000000006</v>
      </c>
    </row>
    <row r="684" spans="1:13" ht="12.75" x14ac:dyDescent="0.2">
      <c r="A684" s="233" t="s">
        <v>185</v>
      </c>
      <c r="B684" s="257" t="s">
        <v>269</v>
      </c>
      <c r="C684" s="235"/>
      <c r="D684" s="236"/>
      <c r="E684" s="195"/>
      <c r="F684" s="196"/>
      <c r="G684" s="197"/>
    </row>
    <row r="685" spans="1:13" ht="15.75" x14ac:dyDescent="0.2">
      <c r="A685" s="233"/>
      <c r="B685" s="242" t="s">
        <v>421</v>
      </c>
      <c r="C685" s="235" t="s">
        <v>230</v>
      </c>
      <c r="D685" s="236">
        <v>9.15</v>
      </c>
      <c r="E685" s="195"/>
      <c r="F685" s="196"/>
      <c r="G685" s="197">
        <f t="shared" ref="G685" si="88">(D685*E685)+(D685*F685)</f>
        <v>0</v>
      </c>
    </row>
    <row r="686" spans="1:13" ht="12.75" x14ac:dyDescent="0.2">
      <c r="A686" s="233" t="s">
        <v>186</v>
      </c>
      <c r="B686" s="257" t="s">
        <v>268</v>
      </c>
      <c r="C686" s="235"/>
      <c r="D686" s="236"/>
      <c r="E686" s="195"/>
      <c r="F686" s="196"/>
      <c r="G686" s="197"/>
    </row>
    <row r="687" spans="1:13" ht="15.75" x14ac:dyDescent="0.2">
      <c r="A687" s="233"/>
      <c r="B687" s="242" t="s">
        <v>276</v>
      </c>
      <c r="C687" s="235" t="s">
        <v>230</v>
      </c>
      <c r="D687" s="236">
        <v>18</v>
      </c>
      <c r="E687" s="195"/>
      <c r="F687" s="196"/>
      <c r="G687" s="197">
        <f t="shared" ref="G687" si="89">(D687*E687)+(D687*F687)</f>
        <v>0</v>
      </c>
    </row>
    <row r="688" spans="1:13" ht="12.75" x14ac:dyDescent="0.2">
      <c r="A688" s="233" t="s">
        <v>251</v>
      </c>
      <c r="B688" s="257" t="s">
        <v>245</v>
      </c>
      <c r="C688" s="235"/>
      <c r="D688" s="236"/>
      <c r="E688" s="195"/>
      <c r="F688" s="196"/>
      <c r="G688" s="197"/>
    </row>
    <row r="689" spans="1:14" ht="43.5" customHeight="1" x14ac:dyDescent="0.2">
      <c r="A689" s="233"/>
      <c r="B689" s="257" t="s">
        <v>277</v>
      </c>
      <c r="C689" s="235"/>
      <c r="D689" s="236"/>
      <c r="E689" s="195"/>
      <c r="F689" s="196"/>
      <c r="G689" s="197"/>
    </row>
    <row r="690" spans="1:14" ht="15.75" x14ac:dyDescent="0.2">
      <c r="A690" s="233"/>
      <c r="B690" s="242" t="s">
        <v>316</v>
      </c>
      <c r="C690" s="235" t="s">
        <v>230</v>
      </c>
      <c r="D690" s="236">
        <v>38.200000000000003</v>
      </c>
      <c r="E690" s="195"/>
      <c r="F690" s="196"/>
      <c r="G690" s="197">
        <f t="shared" ref="G690:G692" si="90">(D690*E690)+(D690*F690)</f>
        <v>0</v>
      </c>
      <c r="I690" s="31">
        <f>1.4*6+0.922*6</f>
        <v>13.931999999999999</v>
      </c>
      <c r="J690" s="48">
        <f>I690*3</f>
        <v>41.795999999999992</v>
      </c>
      <c r="K690" s="48">
        <f>0.6*2*3</f>
        <v>3.5999999999999996</v>
      </c>
      <c r="L690" s="48">
        <f>J690-K690</f>
        <v>38.195999999999991</v>
      </c>
    </row>
    <row r="691" spans="1:14" ht="15.75" x14ac:dyDescent="0.2">
      <c r="A691" s="233"/>
      <c r="B691" s="242" t="s">
        <v>419</v>
      </c>
      <c r="C691" s="235" t="s">
        <v>230</v>
      </c>
      <c r="D691" s="236">
        <v>13.4</v>
      </c>
      <c r="E691" s="195"/>
      <c r="F691" s="196"/>
      <c r="G691" s="197">
        <f t="shared" si="90"/>
        <v>0</v>
      </c>
      <c r="I691" s="31">
        <f>2.915*2+1.65*2</f>
        <v>9.129999999999999</v>
      </c>
      <c r="J691" s="48">
        <f>I691*1.8</f>
        <v>16.433999999999997</v>
      </c>
      <c r="K691" s="48">
        <f>0.6*1.7*3</f>
        <v>3.06</v>
      </c>
      <c r="L691" s="48">
        <f>J691-K691</f>
        <v>13.373999999999997</v>
      </c>
      <c r="M691" s="48">
        <f>SUM(K691:L691)</f>
        <v>16.433999999999997</v>
      </c>
      <c r="N691" s="48">
        <f>M691-2.4</f>
        <v>14.033999999999997</v>
      </c>
    </row>
    <row r="692" spans="1:14" ht="15.75" x14ac:dyDescent="0.2">
      <c r="A692" s="233"/>
      <c r="B692" s="242" t="s">
        <v>420</v>
      </c>
      <c r="C692" s="235" t="s">
        <v>230</v>
      </c>
      <c r="D692" s="236">
        <v>2.1</v>
      </c>
      <c r="E692" s="195"/>
      <c r="F692" s="196"/>
      <c r="G692" s="197">
        <f t="shared" si="90"/>
        <v>0</v>
      </c>
      <c r="I692" s="48">
        <f>1.5*1.4</f>
        <v>2.0999999999999996</v>
      </c>
      <c r="J692" s="48"/>
      <c r="K692" s="48"/>
      <c r="L692" s="48"/>
      <c r="M692" s="48"/>
      <c r="N692" s="48"/>
    </row>
    <row r="693" spans="1:14" ht="12.75" x14ac:dyDescent="0.2">
      <c r="A693" s="233" t="s">
        <v>252</v>
      </c>
      <c r="B693" s="257" t="s">
        <v>246</v>
      </c>
      <c r="C693" s="235"/>
      <c r="D693" s="236"/>
      <c r="E693" s="195"/>
      <c r="F693" s="196"/>
      <c r="G693" s="197"/>
      <c r="I693" s="56"/>
      <c r="J693" s="29"/>
      <c r="K693" s="27"/>
      <c r="L693" s="27"/>
    </row>
    <row r="694" spans="1:14" ht="12.75" x14ac:dyDescent="0.2">
      <c r="A694" s="233" t="s">
        <v>171</v>
      </c>
      <c r="B694" s="242" t="s">
        <v>271</v>
      </c>
      <c r="C694" s="235" t="s">
        <v>124</v>
      </c>
      <c r="D694" s="236">
        <v>167</v>
      </c>
      <c r="E694" s="195"/>
      <c r="F694" s="196"/>
      <c r="G694" s="197">
        <f t="shared" ref="G694" si="91">(D694*E694)+(D694*F694)</f>
        <v>0</v>
      </c>
      <c r="I694" s="22">
        <f>8.3*6+6.2*6+3+4.25*2+2.915*2+13.3+3.5+19.4+25.5+4</f>
        <v>170.03</v>
      </c>
      <c r="J694" s="22">
        <f>0.55*6</f>
        <v>3.3000000000000003</v>
      </c>
      <c r="K694" s="22">
        <f>I694-J694</f>
        <v>166.73</v>
      </c>
    </row>
    <row r="695" spans="1:14" ht="12.75" x14ac:dyDescent="0.2">
      <c r="A695" s="233"/>
      <c r="B695" s="242"/>
      <c r="C695" s="235"/>
      <c r="D695" s="236"/>
      <c r="E695" s="195"/>
      <c r="F695" s="196"/>
      <c r="G695" s="197"/>
    </row>
    <row r="696" spans="1:14" ht="12.75" x14ac:dyDescent="0.2">
      <c r="A696" s="238" t="s">
        <v>55</v>
      </c>
      <c r="B696" s="239" t="s">
        <v>454</v>
      </c>
      <c r="C696" s="240"/>
      <c r="D696" s="241"/>
      <c r="E696" s="258"/>
      <c r="F696" s="182"/>
      <c r="G696" s="183"/>
    </row>
    <row r="697" spans="1:14" ht="12.75" x14ac:dyDescent="0.2">
      <c r="A697" s="233" t="s">
        <v>250</v>
      </c>
      <c r="B697" s="257" t="s">
        <v>244</v>
      </c>
      <c r="C697" s="235"/>
      <c r="D697" s="236"/>
      <c r="E697" s="195"/>
      <c r="F697" s="196"/>
      <c r="G697" s="197"/>
    </row>
    <row r="698" spans="1:14" ht="12.75" x14ac:dyDescent="0.2">
      <c r="A698" s="233" t="s">
        <v>171</v>
      </c>
      <c r="B698" s="257" t="s">
        <v>267</v>
      </c>
      <c r="C698" s="235"/>
      <c r="D698" s="236"/>
      <c r="E698" s="195"/>
      <c r="F698" s="196"/>
      <c r="G698" s="197"/>
    </row>
    <row r="699" spans="1:14" ht="15.75" x14ac:dyDescent="0.2">
      <c r="A699" s="233"/>
      <c r="B699" s="242" t="s">
        <v>312</v>
      </c>
      <c r="C699" s="235" t="s">
        <v>230</v>
      </c>
      <c r="D699" s="236">
        <v>154.4</v>
      </c>
      <c r="E699" s="195"/>
      <c r="F699" s="196"/>
      <c r="G699" s="197">
        <f t="shared" ref="G699" si="92">(D699*E699)+(D699*F699)</f>
        <v>0</v>
      </c>
    </row>
    <row r="700" spans="1:14" ht="12.75" x14ac:dyDescent="0.2">
      <c r="A700" s="233" t="s">
        <v>172</v>
      </c>
      <c r="B700" s="257" t="s">
        <v>270</v>
      </c>
      <c r="C700" s="235"/>
      <c r="D700" s="236"/>
      <c r="E700" s="195"/>
      <c r="F700" s="196"/>
      <c r="G700" s="197"/>
    </row>
    <row r="701" spans="1:14" ht="15.75" x14ac:dyDescent="0.2">
      <c r="A701" s="233"/>
      <c r="B701" s="242" t="s">
        <v>492</v>
      </c>
      <c r="C701" s="235" t="s">
        <v>230</v>
      </c>
      <c r="D701" s="236">
        <v>46.7</v>
      </c>
      <c r="E701" s="195"/>
      <c r="F701" s="196"/>
      <c r="G701" s="197">
        <f t="shared" ref="G701" si="93">(D701*E701)+(D701*F701)</f>
        <v>0</v>
      </c>
    </row>
    <row r="702" spans="1:14" ht="12.75" x14ac:dyDescent="0.2">
      <c r="A702" s="233" t="s">
        <v>185</v>
      </c>
      <c r="B702" s="257" t="s">
        <v>269</v>
      </c>
      <c r="C702" s="235"/>
      <c r="D702" s="236"/>
      <c r="E702" s="195"/>
      <c r="F702" s="196"/>
      <c r="G702" s="197"/>
    </row>
    <row r="703" spans="1:14" ht="15.75" x14ac:dyDescent="0.2">
      <c r="A703" s="233"/>
      <c r="B703" s="242" t="s">
        <v>421</v>
      </c>
      <c r="C703" s="235" t="s">
        <v>230</v>
      </c>
      <c r="D703" s="236">
        <v>9.15</v>
      </c>
      <c r="E703" s="195"/>
      <c r="F703" s="196"/>
      <c r="G703" s="197">
        <f t="shared" ref="G703" si="94">(D703*E703)+(D703*F703)</f>
        <v>0</v>
      </c>
    </row>
    <row r="704" spans="1:14" ht="12.75" x14ac:dyDescent="0.2">
      <c r="A704" s="233" t="s">
        <v>186</v>
      </c>
      <c r="B704" s="257" t="s">
        <v>268</v>
      </c>
      <c r="C704" s="235"/>
      <c r="D704" s="236"/>
      <c r="E704" s="195"/>
      <c r="F704" s="196"/>
      <c r="G704" s="197"/>
    </row>
    <row r="705" spans="1:7" ht="16.5" thickBot="1" x14ac:dyDescent="0.25">
      <c r="A705" s="477"/>
      <c r="B705" s="478" t="s">
        <v>276</v>
      </c>
      <c r="C705" s="479" t="s">
        <v>230</v>
      </c>
      <c r="D705" s="480">
        <v>18</v>
      </c>
      <c r="E705" s="207"/>
      <c r="F705" s="208"/>
      <c r="G705" s="481">
        <f t="shared" ref="G705" si="95">(D705*E705)+(D705*F705)</f>
        <v>0</v>
      </c>
    </row>
    <row r="706" spans="1:7" ht="12.75" x14ac:dyDescent="0.2">
      <c r="A706" s="233" t="s">
        <v>251</v>
      </c>
      <c r="B706" s="257" t="s">
        <v>245</v>
      </c>
      <c r="C706" s="235"/>
      <c r="D706" s="236"/>
      <c r="E706" s="195"/>
      <c r="F706" s="196"/>
      <c r="G706" s="197"/>
    </row>
    <row r="707" spans="1:7" ht="45" customHeight="1" x14ac:dyDescent="0.2">
      <c r="A707" s="233"/>
      <c r="B707" s="257" t="s">
        <v>277</v>
      </c>
      <c r="C707" s="235"/>
      <c r="D707" s="236"/>
      <c r="E707" s="195"/>
      <c r="F707" s="196"/>
      <c r="G707" s="197"/>
    </row>
    <row r="708" spans="1:7" ht="15.75" x14ac:dyDescent="0.2">
      <c r="A708" s="233"/>
      <c r="B708" s="242" t="s">
        <v>316</v>
      </c>
      <c r="C708" s="235" t="s">
        <v>230</v>
      </c>
      <c r="D708" s="236">
        <v>38.200000000000003</v>
      </c>
      <c r="E708" s="195"/>
      <c r="F708" s="196"/>
      <c r="G708" s="197">
        <f t="shared" ref="G708:G710" si="96">(D708*E708)+(D708*F708)</f>
        <v>0</v>
      </c>
    </row>
    <row r="709" spans="1:7" ht="15.75" x14ac:dyDescent="0.2">
      <c r="A709" s="233"/>
      <c r="B709" s="242" t="s">
        <v>419</v>
      </c>
      <c r="C709" s="235" t="s">
        <v>230</v>
      </c>
      <c r="D709" s="236">
        <v>13.4</v>
      </c>
      <c r="E709" s="195"/>
      <c r="F709" s="196"/>
      <c r="G709" s="197">
        <f t="shared" si="96"/>
        <v>0</v>
      </c>
    </row>
    <row r="710" spans="1:7" ht="15.75" x14ac:dyDescent="0.2">
      <c r="A710" s="233"/>
      <c r="B710" s="242" t="s">
        <v>420</v>
      </c>
      <c r="C710" s="235" t="s">
        <v>230</v>
      </c>
      <c r="D710" s="236">
        <v>2.1</v>
      </c>
      <c r="E710" s="195"/>
      <c r="F710" s="196"/>
      <c r="G710" s="197">
        <f t="shared" si="96"/>
        <v>0</v>
      </c>
    </row>
    <row r="711" spans="1:7" ht="12.75" x14ac:dyDescent="0.2">
      <c r="A711" s="233" t="s">
        <v>252</v>
      </c>
      <c r="B711" s="257" t="s">
        <v>246</v>
      </c>
      <c r="C711" s="235"/>
      <c r="D711" s="236"/>
      <c r="E711" s="195"/>
      <c r="F711" s="196"/>
      <c r="G711" s="197"/>
    </row>
    <row r="712" spans="1:7" ht="12.75" x14ac:dyDescent="0.2">
      <c r="A712" s="233" t="s">
        <v>171</v>
      </c>
      <c r="B712" s="242" t="s">
        <v>271</v>
      </c>
      <c r="C712" s="235" t="s">
        <v>124</v>
      </c>
      <c r="D712" s="236">
        <v>167</v>
      </c>
      <c r="E712" s="195"/>
      <c r="F712" s="196"/>
      <c r="G712" s="197">
        <f t="shared" ref="G712" si="97">(D712*E712)+(D712*F712)</f>
        <v>0</v>
      </c>
    </row>
    <row r="713" spans="1:7" ht="12.75" x14ac:dyDescent="0.2">
      <c r="A713" s="566" t="s">
        <v>158</v>
      </c>
      <c r="B713" s="239" t="s">
        <v>456</v>
      </c>
      <c r="C713" s="240"/>
      <c r="D713" s="241"/>
      <c r="E713" s="258"/>
      <c r="F713" s="182"/>
      <c r="G713" s="183"/>
    </row>
    <row r="714" spans="1:7" ht="12.75" x14ac:dyDescent="0.2">
      <c r="A714" s="233" t="s">
        <v>250</v>
      </c>
      <c r="B714" s="257" t="s">
        <v>244</v>
      </c>
      <c r="C714" s="235"/>
      <c r="D714" s="236"/>
      <c r="E714" s="195"/>
      <c r="F714" s="196"/>
      <c r="G714" s="197"/>
    </row>
    <row r="715" spans="1:7" ht="12.75" x14ac:dyDescent="0.2">
      <c r="A715" s="233" t="s">
        <v>171</v>
      </c>
      <c r="B715" s="257" t="s">
        <v>267</v>
      </c>
      <c r="C715" s="235"/>
      <c r="D715" s="236"/>
      <c r="E715" s="195"/>
      <c r="F715" s="196"/>
      <c r="G715" s="197"/>
    </row>
    <row r="716" spans="1:7" ht="15.75" x14ac:dyDescent="0.2">
      <c r="A716" s="233"/>
      <c r="B716" s="242" t="s">
        <v>312</v>
      </c>
      <c r="C716" s="235" t="s">
        <v>230</v>
      </c>
      <c r="D716" s="236">
        <v>154.4</v>
      </c>
      <c r="E716" s="195"/>
      <c r="F716" s="196"/>
      <c r="G716" s="197">
        <f t="shared" ref="G716" si="98">(D716*E716)+(D716*F716)</f>
        <v>0</v>
      </c>
    </row>
    <row r="717" spans="1:7" ht="12.75" x14ac:dyDescent="0.2">
      <c r="A717" s="233" t="s">
        <v>172</v>
      </c>
      <c r="B717" s="257" t="s">
        <v>270</v>
      </c>
      <c r="C717" s="235"/>
      <c r="D717" s="236"/>
      <c r="E717" s="195"/>
      <c r="F717" s="196"/>
      <c r="G717" s="197"/>
    </row>
    <row r="718" spans="1:7" ht="15.75" x14ac:dyDescent="0.2">
      <c r="A718" s="233"/>
      <c r="B718" s="242" t="s">
        <v>492</v>
      </c>
      <c r="C718" s="235" t="s">
        <v>230</v>
      </c>
      <c r="D718" s="236">
        <v>46.7</v>
      </c>
      <c r="E718" s="195"/>
      <c r="F718" s="196"/>
      <c r="G718" s="197">
        <f t="shared" ref="G718" si="99">(D718*E718)+(D718*F718)</f>
        <v>0</v>
      </c>
    </row>
    <row r="719" spans="1:7" ht="12.75" x14ac:dyDescent="0.2">
      <c r="A719" s="233" t="s">
        <v>185</v>
      </c>
      <c r="B719" s="257" t="s">
        <v>269</v>
      </c>
      <c r="C719" s="235"/>
      <c r="D719" s="236"/>
      <c r="E719" s="195"/>
      <c r="F719" s="196"/>
      <c r="G719" s="197"/>
    </row>
    <row r="720" spans="1:7" ht="15.75" x14ac:dyDescent="0.2">
      <c r="A720" s="233"/>
      <c r="B720" s="242" t="s">
        <v>421</v>
      </c>
      <c r="C720" s="235" t="s">
        <v>230</v>
      </c>
      <c r="D720" s="236">
        <v>9.15</v>
      </c>
      <c r="E720" s="195"/>
      <c r="F720" s="196"/>
      <c r="G720" s="197">
        <f t="shared" ref="G720" si="100">(D720*E720)+(D720*F720)</f>
        <v>0</v>
      </c>
    </row>
    <row r="721" spans="1:9" ht="12.75" x14ac:dyDescent="0.2">
      <c r="A721" s="233" t="s">
        <v>186</v>
      </c>
      <c r="B721" s="257" t="s">
        <v>268</v>
      </c>
      <c r="C721" s="235"/>
      <c r="D721" s="236"/>
      <c r="E721" s="195"/>
      <c r="F721" s="196"/>
      <c r="G721" s="197"/>
    </row>
    <row r="722" spans="1:9" ht="15.75" x14ac:dyDescent="0.2">
      <c r="A722" s="233"/>
      <c r="B722" s="242" t="s">
        <v>276</v>
      </c>
      <c r="C722" s="235" t="s">
        <v>230</v>
      </c>
      <c r="D722" s="236">
        <v>18</v>
      </c>
      <c r="E722" s="195"/>
      <c r="F722" s="196"/>
      <c r="G722" s="197">
        <f t="shared" ref="G722" si="101">(D722*E722)+(D722*F722)</f>
        <v>0</v>
      </c>
    </row>
    <row r="723" spans="1:9" ht="12.75" x14ac:dyDescent="0.2">
      <c r="A723" s="233" t="s">
        <v>251</v>
      </c>
      <c r="B723" s="257" t="s">
        <v>245</v>
      </c>
      <c r="C723" s="235"/>
      <c r="D723" s="236"/>
      <c r="E723" s="195"/>
      <c r="F723" s="196"/>
      <c r="G723" s="197"/>
    </row>
    <row r="724" spans="1:9" ht="51" x14ac:dyDescent="0.2">
      <c r="A724" s="233"/>
      <c r="B724" s="257" t="s">
        <v>277</v>
      </c>
      <c r="C724" s="235"/>
      <c r="D724" s="236"/>
      <c r="E724" s="195"/>
      <c r="F724" s="196"/>
      <c r="G724" s="197"/>
    </row>
    <row r="725" spans="1:9" ht="15.75" x14ac:dyDescent="0.2">
      <c r="A725" s="233"/>
      <c r="B725" s="242" t="s">
        <v>316</v>
      </c>
      <c r="C725" s="235" t="s">
        <v>230</v>
      </c>
      <c r="D725" s="236">
        <v>38.200000000000003</v>
      </c>
      <c r="E725" s="195"/>
      <c r="F725" s="196"/>
      <c r="G725" s="197">
        <f t="shared" ref="G725:G727" si="102">(D725*E725)+(D725*F725)</f>
        <v>0</v>
      </c>
    </row>
    <row r="726" spans="1:9" ht="15.75" x14ac:dyDescent="0.2">
      <c r="A726" s="233"/>
      <c r="B726" s="242" t="s">
        <v>419</v>
      </c>
      <c r="C726" s="235" t="s">
        <v>230</v>
      </c>
      <c r="D726" s="236">
        <v>13.4</v>
      </c>
      <c r="E726" s="195"/>
      <c r="F726" s="196"/>
      <c r="G726" s="197">
        <f t="shared" si="102"/>
        <v>0</v>
      </c>
    </row>
    <row r="727" spans="1:9" ht="15.75" x14ac:dyDescent="0.2">
      <c r="A727" s="233"/>
      <c r="B727" s="242" t="s">
        <v>420</v>
      </c>
      <c r="C727" s="235" t="s">
        <v>230</v>
      </c>
      <c r="D727" s="236">
        <v>2.1</v>
      </c>
      <c r="E727" s="195"/>
      <c r="F727" s="196"/>
      <c r="G727" s="197">
        <f t="shared" si="102"/>
        <v>0</v>
      </c>
    </row>
    <row r="728" spans="1:9" ht="12.75" x14ac:dyDescent="0.2">
      <c r="A728" s="233" t="s">
        <v>252</v>
      </c>
      <c r="B728" s="257" t="s">
        <v>246</v>
      </c>
      <c r="C728" s="235"/>
      <c r="D728" s="236"/>
      <c r="E728" s="195"/>
      <c r="F728" s="196"/>
      <c r="G728" s="197"/>
    </row>
    <row r="729" spans="1:9" ht="12.75" x14ac:dyDescent="0.2">
      <c r="A729" s="233" t="s">
        <v>171</v>
      </c>
      <c r="B729" s="242" t="s">
        <v>271</v>
      </c>
      <c r="C729" s="235" t="s">
        <v>124</v>
      </c>
      <c r="D729" s="236">
        <v>167</v>
      </c>
      <c r="E729" s="195"/>
      <c r="F729" s="196"/>
      <c r="G729" s="197">
        <f t="shared" ref="G729" si="103">(D729*E729)+(D729*F729)</f>
        <v>0</v>
      </c>
    </row>
    <row r="730" spans="1:9" ht="12.75" x14ac:dyDescent="0.2">
      <c r="A730" s="566" t="s">
        <v>159</v>
      </c>
      <c r="B730" s="239" t="s">
        <v>281</v>
      </c>
      <c r="C730" s="240"/>
      <c r="D730" s="241"/>
      <c r="E730" s="258"/>
      <c r="F730" s="182"/>
      <c r="G730" s="183"/>
    </row>
    <row r="731" spans="1:9" ht="12.75" x14ac:dyDescent="0.2">
      <c r="A731" s="233" t="s">
        <v>250</v>
      </c>
      <c r="B731" s="257" t="s">
        <v>244</v>
      </c>
      <c r="C731" s="235"/>
      <c r="D731" s="236"/>
      <c r="E731" s="195"/>
      <c r="F731" s="196"/>
      <c r="G731" s="197"/>
    </row>
    <row r="732" spans="1:9" ht="12.75" x14ac:dyDescent="0.2">
      <c r="A732" s="233" t="s">
        <v>171</v>
      </c>
      <c r="B732" s="257" t="s">
        <v>270</v>
      </c>
      <c r="C732" s="235"/>
      <c r="D732" s="236"/>
      <c r="E732" s="195"/>
      <c r="F732" s="196"/>
      <c r="G732" s="197"/>
    </row>
    <row r="733" spans="1:9" ht="15.75" x14ac:dyDescent="0.2">
      <c r="A733" s="233"/>
      <c r="B733" s="242" t="s">
        <v>494</v>
      </c>
      <c r="C733" s="235" t="s">
        <v>230</v>
      </c>
      <c r="D733" s="236">
        <v>73.75</v>
      </c>
      <c r="E733" s="195"/>
      <c r="F733" s="196"/>
      <c r="G733" s="197">
        <f t="shared" ref="G733" si="104">(D733*E733)+(D733*F733)</f>
        <v>0</v>
      </c>
    </row>
    <row r="734" spans="1:9" ht="12.75" x14ac:dyDescent="0.2">
      <c r="A734" s="566" t="s">
        <v>160</v>
      </c>
      <c r="B734" s="239" t="s">
        <v>500</v>
      </c>
      <c r="C734" s="240"/>
      <c r="D734" s="241"/>
      <c r="E734" s="258"/>
      <c r="F734" s="182"/>
      <c r="G734" s="183"/>
    </row>
    <row r="735" spans="1:9" ht="12.75" x14ac:dyDescent="0.2">
      <c r="A735" s="233" t="s">
        <v>250</v>
      </c>
      <c r="B735" s="257" t="s">
        <v>501</v>
      </c>
      <c r="C735" s="235"/>
      <c r="D735" s="236"/>
      <c r="E735" s="195"/>
      <c r="F735" s="196"/>
      <c r="G735" s="197"/>
    </row>
    <row r="736" spans="1:9" ht="13.5" x14ac:dyDescent="0.2">
      <c r="A736" s="233"/>
      <c r="B736" s="311" t="s">
        <v>502</v>
      </c>
      <c r="C736" s="312" t="s">
        <v>148</v>
      </c>
      <c r="D736" s="143">
        <v>1.85</v>
      </c>
      <c r="E736" s="144"/>
      <c r="F736" s="145"/>
      <c r="G736" s="146">
        <f>(D736*E736)+(D736*F736)</f>
        <v>0</v>
      </c>
      <c r="I736" s="22">
        <f>1.41*1.3</f>
        <v>1.833</v>
      </c>
    </row>
    <row r="737" spans="1:13" ht="13.5" x14ac:dyDescent="0.2">
      <c r="A737" s="233"/>
      <c r="B737" s="311" t="s">
        <v>503</v>
      </c>
      <c r="C737" s="312" t="s">
        <v>148</v>
      </c>
      <c r="D737" s="143">
        <v>4.7</v>
      </c>
      <c r="E737" s="144"/>
      <c r="F737" s="145"/>
      <c r="G737" s="146">
        <f t="shared" ref="G737:G739" si="105">(D737*E737)+(D737*F737)</f>
        <v>0</v>
      </c>
      <c r="I737" s="22">
        <f>1.41*1.3</f>
        <v>1.833</v>
      </c>
      <c r="J737" s="22">
        <f>2.385*1.2</f>
        <v>2.8619999999999997</v>
      </c>
      <c r="K737" s="22">
        <f>SUM(I737:J737)</f>
        <v>4.6949999999999994</v>
      </c>
    </row>
    <row r="738" spans="1:13" ht="13.5" x14ac:dyDescent="0.2">
      <c r="A738" s="233"/>
      <c r="B738" s="311" t="s">
        <v>504</v>
      </c>
      <c r="C738" s="312" t="s">
        <v>148</v>
      </c>
      <c r="D738" s="143">
        <v>4.7</v>
      </c>
      <c r="E738" s="144"/>
      <c r="F738" s="145"/>
      <c r="G738" s="146">
        <f t="shared" si="105"/>
        <v>0</v>
      </c>
    </row>
    <row r="739" spans="1:13" ht="13.5" x14ac:dyDescent="0.2">
      <c r="A739" s="233"/>
      <c r="B739" s="311" t="s">
        <v>505</v>
      </c>
      <c r="C739" s="312" t="s">
        <v>148</v>
      </c>
      <c r="D739" s="143">
        <v>4.7</v>
      </c>
      <c r="E739" s="144"/>
      <c r="F739" s="145"/>
      <c r="G739" s="146">
        <f t="shared" si="105"/>
        <v>0</v>
      </c>
    </row>
    <row r="740" spans="1:13" x14ac:dyDescent="0.2">
      <c r="A740" s="259" t="s">
        <v>175</v>
      </c>
      <c r="B740" s="260" t="s">
        <v>216</v>
      </c>
      <c r="C740" s="215"/>
      <c r="D740" s="216"/>
      <c r="E740" s="217"/>
      <c r="F740" s="261"/>
      <c r="G740" s="262"/>
    </row>
    <row r="741" spans="1:13" ht="36" x14ac:dyDescent="0.2">
      <c r="A741" s="263"/>
      <c r="B741" s="264" t="s">
        <v>218</v>
      </c>
      <c r="C741" s="265"/>
      <c r="D741" s="143"/>
      <c r="E741" s="195"/>
      <c r="F741" s="196"/>
      <c r="G741" s="197"/>
    </row>
    <row r="742" spans="1:13" ht="13.5" x14ac:dyDescent="0.2">
      <c r="A742" s="263"/>
      <c r="B742" s="264" t="s">
        <v>217</v>
      </c>
      <c r="C742" s="193" t="s">
        <v>147</v>
      </c>
      <c r="D742" s="143">
        <f>9.15*3</f>
        <v>27.450000000000003</v>
      </c>
      <c r="E742" s="195"/>
      <c r="F742" s="196"/>
      <c r="G742" s="197">
        <f>(D742*E742)+(D742*F742)</f>
        <v>0</v>
      </c>
      <c r="I742" s="48">
        <f>D742/2.5</f>
        <v>10.98</v>
      </c>
      <c r="J742" s="48">
        <f>I742*800</f>
        <v>8784</v>
      </c>
      <c r="K742" s="48">
        <f>J742/D742</f>
        <v>319.99999999999994</v>
      </c>
    </row>
    <row r="743" spans="1:13" ht="13.5" x14ac:dyDescent="0.2">
      <c r="A743" s="263"/>
      <c r="B743" s="264" t="s">
        <v>313</v>
      </c>
      <c r="C743" s="193" t="s">
        <v>147</v>
      </c>
      <c r="D743" s="143">
        <f>D619+D625+D628+D632+D635+D638+D640</f>
        <v>207.61499999999998</v>
      </c>
      <c r="E743" s="195"/>
      <c r="F743" s="196"/>
      <c r="G743" s="197">
        <f>(D743*E743)+(D743*F743)</f>
        <v>0</v>
      </c>
      <c r="I743" s="31"/>
      <c r="L743" s="31"/>
    </row>
    <row r="744" spans="1:13" ht="13.5" x14ac:dyDescent="0.2">
      <c r="A744" s="263"/>
      <c r="B744" s="264" t="s">
        <v>493</v>
      </c>
      <c r="C744" s="193" t="s">
        <v>147</v>
      </c>
      <c r="D744" s="143">
        <f>D258</f>
        <v>73.75</v>
      </c>
      <c r="E744" s="195"/>
      <c r="F744" s="196"/>
      <c r="G744" s="197">
        <f>(D744*E744)+(D744*F744)</f>
        <v>0</v>
      </c>
    </row>
    <row r="745" spans="1:13" x14ac:dyDescent="0.2">
      <c r="A745" s="259" t="s">
        <v>176</v>
      </c>
      <c r="B745" s="260" t="s">
        <v>231</v>
      </c>
      <c r="C745" s="215"/>
      <c r="D745" s="216"/>
      <c r="E745" s="217"/>
      <c r="F745" s="261"/>
      <c r="G745" s="262"/>
    </row>
    <row r="746" spans="1:13" ht="27" customHeight="1" x14ac:dyDescent="0.2">
      <c r="A746" s="266" t="s">
        <v>171</v>
      </c>
      <c r="B746" s="264" t="s">
        <v>259</v>
      </c>
      <c r="C746" s="193" t="s">
        <v>15</v>
      </c>
      <c r="D746" s="143">
        <v>1</v>
      </c>
      <c r="E746" s="195"/>
      <c r="F746" s="196"/>
      <c r="G746" s="197">
        <f>(D746*E746)+(D746*F746)</f>
        <v>0</v>
      </c>
      <c r="J746" s="48" t="e">
        <f>D670+D672+#REF!+#REF!+D674+#REF!+#REF!+#REF!+D681+#REF!+#REF!+D683+D685+D690+#REF!+#REF!+#REF!+#REF!+#REF!+#REF!+#REF!+#REF!+#REF!+#REF!+#REF!+#REF!+#REF!+#REF!+#REF!+#REF!+#REF!</f>
        <v>#REF!</v>
      </c>
      <c r="K746" s="48" t="e">
        <f>J746/3</f>
        <v>#REF!</v>
      </c>
      <c r="L746" s="48" t="e">
        <f>K746*235</f>
        <v>#REF!</v>
      </c>
      <c r="M746" s="48" t="e">
        <f>L746*2</f>
        <v>#REF!</v>
      </c>
    </row>
    <row r="747" spans="1:13" ht="12.75" thickBot="1" x14ac:dyDescent="0.25">
      <c r="A747" s="263"/>
      <c r="B747" s="264"/>
      <c r="C747" s="193"/>
      <c r="D747" s="143"/>
      <c r="E747" s="195"/>
      <c r="F747" s="196"/>
      <c r="G747" s="197"/>
    </row>
    <row r="748" spans="1:13" x14ac:dyDescent="0.2">
      <c r="A748" s="117"/>
      <c r="B748" s="118" t="s">
        <v>152</v>
      </c>
      <c r="C748" s="130"/>
      <c r="D748" s="120"/>
      <c r="E748" s="121"/>
      <c r="F748" s="224"/>
      <c r="G748" s="172"/>
    </row>
    <row r="749" spans="1:13" ht="12.75" thickBot="1" x14ac:dyDescent="0.25">
      <c r="A749" s="123"/>
      <c r="B749" s="106" t="s">
        <v>153</v>
      </c>
      <c r="C749" s="131"/>
      <c r="D749" s="125"/>
      <c r="E749" s="126"/>
      <c r="F749" s="225"/>
      <c r="G749" s="173">
        <f>SUM(G617:G748)</f>
        <v>0</v>
      </c>
    </row>
    <row r="750" spans="1:13" x14ac:dyDescent="0.2">
      <c r="A750" s="61"/>
      <c r="B750" s="557"/>
      <c r="C750" s="130"/>
      <c r="D750" s="120"/>
      <c r="E750" s="121"/>
      <c r="F750" s="224"/>
      <c r="G750" s="75"/>
    </row>
    <row r="751" spans="1:13" x14ac:dyDescent="0.2">
      <c r="A751" s="61"/>
      <c r="B751" s="567" t="s">
        <v>198</v>
      </c>
      <c r="C751" s="66"/>
      <c r="D751" s="57"/>
      <c r="E751" s="64"/>
      <c r="F751" s="547"/>
      <c r="G751" s="67"/>
    </row>
    <row r="752" spans="1:13" x14ac:dyDescent="0.2">
      <c r="A752" s="61"/>
      <c r="B752" s="546" t="s">
        <v>106</v>
      </c>
      <c r="C752" s="66"/>
      <c r="D752" s="57"/>
      <c r="E752" s="64"/>
      <c r="F752" s="547"/>
      <c r="G752" s="67"/>
    </row>
    <row r="753" spans="1:12" x14ac:dyDescent="0.2">
      <c r="A753" s="80" t="s">
        <v>177</v>
      </c>
      <c r="B753" s="568" t="s">
        <v>40</v>
      </c>
      <c r="C753" s="569"/>
      <c r="D753" s="570"/>
      <c r="E753" s="571"/>
      <c r="F753" s="572"/>
      <c r="G753" s="67"/>
    </row>
    <row r="754" spans="1:12" ht="33" customHeight="1" x14ac:dyDescent="0.2">
      <c r="A754" s="533"/>
      <c r="B754" s="662" t="s">
        <v>284</v>
      </c>
      <c r="C754" s="663"/>
      <c r="D754" s="663"/>
      <c r="E754" s="663"/>
      <c r="F754" s="664"/>
      <c r="G754" s="534"/>
    </row>
    <row r="755" spans="1:12" ht="33.75" customHeight="1" x14ac:dyDescent="0.2">
      <c r="A755" s="140"/>
      <c r="B755" s="665" t="s">
        <v>283</v>
      </c>
      <c r="C755" s="666"/>
      <c r="D755" s="666"/>
      <c r="E755" s="666"/>
      <c r="F755" s="667"/>
      <c r="G755" s="220"/>
    </row>
    <row r="756" spans="1:12" ht="12" customHeight="1" x14ac:dyDescent="0.2">
      <c r="A756" s="140"/>
      <c r="B756" s="647" t="s">
        <v>479</v>
      </c>
      <c r="C756" s="647"/>
      <c r="D756" s="647"/>
      <c r="E756" s="647"/>
      <c r="F756" s="647"/>
      <c r="G756" s="220"/>
    </row>
    <row r="757" spans="1:12" ht="28.5" customHeight="1" x14ac:dyDescent="0.2">
      <c r="A757" s="140"/>
      <c r="B757" s="647" t="s">
        <v>282</v>
      </c>
      <c r="C757" s="647"/>
      <c r="D757" s="647"/>
      <c r="E757" s="647"/>
      <c r="F757" s="647"/>
      <c r="G757" s="220"/>
    </row>
    <row r="758" spans="1:12" ht="13.5" customHeight="1" x14ac:dyDescent="0.2">
      <c r="A758" s="525"/>
      <c r="B758" s="649" t="s">
        <v>228</v>
      </c>
      <c r="C758" s="650"/>
      <c r="D758" s="650"/>
      <c r="E758" s="650"/>
      <c r="F758" s="650"/>
      <c r="G758" s="651"/>
    </row>
    <row r="759" spans="1:12" x14ac:dyDescent="0.2">
      <c r="A759" s="277" t="s">
        <v>156</v>
      </c>
      <c r="B759" s="278" t="s">
        <v>108</v>
      </c>
      <c r="C759" s="279"/>
      <c r="D759" s="280"/>
      <c r="E759" s="256"/>
      <c r="F759" s="177"/>
      <c r="G759" s="178"/>
    </row>
    <row r="760" spans="1:12" x14ac:dyDescent="0.2">
      <c r="A760" s="281"/>
      <c r="B760" s="282" t="s">
        <v>384</v>
      </c>
      <c r="C760" s="283"/>
      <c r="D760" s="284"/>
      <c r="E760" s="285"/>
      <c r="F760" s="286"/>
      <c r="G760" s="287"/>
    </row>
    <row r="761" spans="1:12" s="49" customFormat="1" ht="40.5" customHeight="1" x14ac:dyDescent="0.2">
      <c r="A761" s="288" t="s">
        <v>171</v>
      </c>
      <c r="B761" s="289" t="s">
        <v>480</v>
      </c>
      <c r="C761" s="290" t="s">
        <v>109</v>
      </c>
      <c r="D761" s="143">
        <v>6</v>
      </c>
      <c r="E761" s="144"/>
      <c r="F761" s="291"/>
      <c r="G761" s="292">
        <f t="shared" ref="G761" si="106">(D761*E761)+(D761*F761)</f>
        <v>0</v>
      </c>
      <c r="I761" s="58">
        <f>0.95*2.785</f>
        <v>2.64575</v>
      </c>
      <c r="J761" s="55">
        <f>I761*D761</f>
        <v>15.874500000000001</v>
      </c>
      <c r="K761" s="58"/>
    </row>
    <row r="762" spans="1:12" ht="12" customHeight="1" x14ac:dyDescent="0.2">
      <c r="A762" s="281"/>
      <c r="B762" s="282" t="s">
        <v>383</v>
      </c>
      <c r="C762" s="283"/>
      <c r="D762" s="284"/>
      <c r="E762" s="285"/>
      <c r="F762" s="286"/>
      <c r="G762" s="287"/>
      <c r="I762" s="31"/>
      <c r="J762" s="55"/>
      <c r="K762" s="48"/>
      <c r="L762" s="48"/>
    </row>
    <row r="763" spans="1:12" ht="38.25" customHeight="1" x14ac:dyDescent="0.2">
      <c r="A763" s="288" t="s">
        <v>171</v>
      </c>
      <c r="B763" s="289" t="s">
        <v>405</v>
      </c>
      <c r="C763" s="290" t="s">
        <v>109</v>
      </c>
      <c r="D763" s="143">
        <v>6</v>
      </c>
      <c r="E763" s="144"/>
      <c r="F763" s="291"/>
      <c r="G763" s="292">
        <f t="shared" ref="G763:G764" si="107">(D763*E763)+(D763*F763)</f>
        <v>0</v>
      </c>
      <c r="I763" s="31">
        <f>2.45*1.69</f>
        <v>4.1405000000000003</v>
      </c>
      <c r="J763" s="55">
        <f>I763*D763</f>
        <v>24.843000000000004</v>
      </c>
      <c r="K763" s="48"/>
    </row>
    <row r="764" spans="1:12" ht="37.5" customHeight="1" x14ac:dyDescent="0.2">
      <c r="A764" s="288" t="s">
        <v>172</v>
      </c>
      <c r="B764" s="289" t="s">
        <v>482</v>
      </c>
      <c r="C764" s="290" t="s">
        <v>109</v>
      </c>
      <c r="D764" s="143">
        <v>6</v>
      </c>
      <c r="E764" s="144"/>
      <c r="F764" s="291"/>
      <c r="G764" s="292">
        <f t="shared" si="107"/>
        <v>0</v>
      </c>
      <c r="I764" s="31">
        <f>1.575*1.785</f>
        <v>2.811375</v>
      </c>
      <c r="J764" s="55">
        <f t="shared" ref="J764" si="108">I764*D764</f>
        <v>16.86825</v>
      </c>
      <c r="K764" s="48"/>
    </row>
    <row r="765" spans="1:12" ht="12" customHeight="1" x14ac:dyDescent="0.2">
      <c r="A765" s="281"/>
      <c r="B765" s="282" t="s">
        <v>382</v>
      </c>
      <c r="C765" s="283"/>
      <c r="D765" s="284"/>
      <c r="E765" s="285"/>
      <c r="F765" s="286"/>
      <c r="G765" s="287"/>
      <c r="I765" s="31"/>
      <c r="J765" s="55">
        <f>SUM(J761:J764)</f>
        <v>57.585750000000004</v>
      </c>
      <c r="K765" s="48"/>
      <c r="L765" s="48"/>
    </row>
    <row r="766" spans="1:12" ht="30" customHeight="1" x14ac:dyDescent="0.2">
      <c r="A766" s="288" t="s">
        <v>171</v>
      </c>
      <c r="B766" s="289" t="s">
        <v>406</v>
      </c>
      <c r="C766" s="290" t="s">
        <v>109</v>
      </c>
      <c r="D766" s="143">
        <v>4</v>
      </c>
      <c r="E766" s="144"/>
      <c r="F766" s="291"/>
      <c r="G766" s="292">
        <f t="shared" ref="G766:G767" si="109">(D766*E766)+(D766*F766)</f>
        <v>0</v>
      </c>
      <c r="I766" s="31"/>
      <c r="J766" s="55"/>
      <c r="K766" s="48"/>
    </row>
    <row r="767" spans="1:12" ht="25.5" customHeight="1" x14ac:dyDescent="0.2">
      <c r="A767" s="288" t="s">
        <v>172</v>
      </c>
      <c r="B767" s="289" t="s">
        <v>407</v>
      </c>
      <c r="C767" s="290" t="s">
        <v>109</v>
      </c>
      <c r="D767" s="143">
        <v>1</v>
      </c>
      <c r="E767" s="144"/>
      <c r="F767" s="291"/>
      <c r="G767" s="292">
        <f t="shared" si="109"/>
        <v>0</v>
      </c>
      <c r="I767" s="31"/>
      <c r="J767" s="55"/>
      <c r="K767" s="48"/>
    </row>
    <row r="768" spans="1:12" ht="12" customHeight="1" x14ac:dyDescent="0.2">
      <c r="A768" s="288"/>
      <c r="B768" s="289"/>
      <c r="C768" s="290"/>
      <c r="D768" s="143"/>
      <c r="E768" s="144"/>
      <c r="F768" s="291"/>
      <c r="G768" s="292"/>
      <c r="I768" s="31"/>
      <c r="J768" s="55"/>
      <c r="K768" s="48"/>
    </row>
    <row r="769" spans="1:12" x14ac:dyDescent="0.2">
      <c r="A769" s="293" t="s">
        <v>157</v>
      </c>
      <c r="B769" s="294" t="s">
        <v>66</v>
      </c>
      <c r="C769" s="295"/>
      <c r="D769" s="296"/>
      <c r="E769" s="258"/>
      <c r="F769" s="182"/>
      <c r="G769" s="183"/>
      <c r="J769" s="31"/>
      <c r="K769" s="31"/>
    </row>
    <row r="770" spans="1:12" x14ac:dyDescent="0.2">
      <c r="A770" s="281"/>
      <c r="B770" s="282" t="s">
        <v>384</v>
      </c>
      <c r="C770" s="283"/>
      <c r="D770" s="284"/>
      <c r="E770" s="285"/>
      <c r="F770" s="286"/>
      <c r="G770" s="287"/>
      <c r="K770" s="31"/>
    </row>
    <row r="771" spans="1:12" ht="36" x14ac:dyDescent="0.2">
      <c r="A771" s="288" t="s">
        <v>171</v>
      </c>
      <c r="B771" s="289" t="s">
        <v>480</v>
      </c>
      <c r="C771" s="290" t="s">
        <v>109</v>
      </c>
      <c r="D771" s="143">
        <v>6</v>
      </c>
      <c r="E771" s="144"/>
      <c r="F771" s="291"/>
      <c r="G771" s="292">
        <f t="shared" ref="G771:G773" si="110">(D771*E771)+(D771*F771)</f>
        <v>0</v>
      </c>
      <c r="H771" s="49"/>
      <c r="I771" s="55">
        <f>0.95*2.785</f>
        <v>2.64575</v>
      </c>
      <c r="J771" s="55">
        <f t="shared" ref="J771:J774" si="111">I771*D771</f>
        <v>15.874500000000001</v>
      </c>
      <c r="K771" s="58"/>
      <c r="L771" s="49"/>
    </row>
    <row r="772" spans="1:12" ht="24" x14ac:dyDescent="0.2">
      <c r="A772" s="288" t="s">
        <v>172</v>
      </c>
      <c r="B772" s="289" t="s">
        <v>481</v>
      </c>
      <c r="C772" s="290" t="s">
        <v>109</v>
      </c>
      <c r="D772" s="143">
        <v>1</v>
      </c>
      <c r="E772" s="144"/>
      <c r="F772" s="291"/>
      <c r="G772" s="292">
        <f t="shared" si="110"/>
        <v>0</v>
      </c>
      <c r="H772" s="49"/>
      <c r="I772" s="55">
        <f>0.85*2</f>
        <v>1.7</v>
      </c>
      <c r="J772" s="55">
        <f t="shared" si="111"/>
        <v>1.7</v>
      </c>
      <c r="K772" s="58"/>
      <c r="L772" s="49"/>
    </row>
    <row r="773" spans="1:12" ht="24" x14ac:dyDescent="0.2">
      <c r="A773" s="288" t="s">
        <v>185</v>
      </c>
      <c r="B773" s="289" t="s">
        <v>404</v>
      </c>
      <c r="C773" s="290" t="s">
        <v>109</v>
      </c>
      <c r="D773" s="143">
        <v>3</v>
      </c>
      <c r="E773" s="144"/>
      <c r="F773" s="291"/>
      <c r="G773" s="292">
        <f t="shared" si="110"/>
        <v>0</v>
      </c>
      <c r="H773" s="49"/>
      <c r="I773" s="55">
        <f>0.78*2</f>
        <v>1.56</v>
      </c>
      <c r="J773" s="55">
        <f t="shared" si="111"/>
        <v>4.68</v>
      </c>
      <c r="K773" s="58"/>
      <c r="L773" s="49"/>
    </row>
    <row r="774" spans="1:12" ht="12" customHeight="1" x14ac:dyDescent="0.2">
      <c r="A774" s="281"/>
      <c r="B774" s="282" t="s">
        <v>383</v>
      </c>
      <c r="C774" s="283"/>
      <c r="D774" s="284"/>
      <c r="E774" s="285"/>
      <c r="F774" s="286"/>
      <c r="G774" s="287"/>
      <c r="I774" s="31"/>
      <c r="J774" s="55">
        <f t="shared" si="111"/>
        <v>0</v>
      </c>
      <c r="K774" s="58"/>
      <c r="L774" s="49"/>
    </row>
    <row r="775" spans="1:12" ht="36" x14ac:dyDescent="0.2">
      <c r="A775" s="288" t="s">
        <v>171</v>
      </c>
      <c r="B775" s="289" t="s">
        <v>405</v>
      </c>
      <c r="C775" s="290" t="s">
        <v>109</v>
      </c>
      <c r="D775" s="143">
        <v>6</v>
      </c>
      <c r="E775" s="144"/>
      <c r="F775" s="291"/>
      <c r="G775" s="292">
        <f t="shared" ref="G775:G777" si="112">(D775*E775)+(D775*F775)</f>
        <v>0</v>
      </c>
      <c r="I775" s="31">
        <f>2.45*1.69</f>
        <v>4.1405000000000003</v>
      </c>
      <c r="J775" s="55">
        <f>D775*I775</f>
        <v>24.843000000000004</v>
      </c>
      <c r="K775" s="48"/>
      <c r="L775" s="48">
        <f>J774+I771</f>
        <v>2.64575</v>
      </c>
    </row>
    <row r="776" spans="1:12" ht="39" customHeight="1" x14ac:dyDescent="0.2">
      <c r="A776" s="288" t="s">
        <v>172</v>
      </c>
      <c r="B776" s="289" t="s">
        <v>482</v>
      </c>
      <c r="C776" s="290" t="s">
        <v>109</v>
      </c>
      <c r="D776" s="143">
        <v>6</v>
      </c>
      <c r="E776" s="144"/>
      <c r="F776" s="291"/>
      <c r="G776" s="292">
        <f t="shared" si="112"/>
        <v>0</v>
      </c>
      <c r="I776" s="31">
        <f>1.575*1.785</f>
        <v>2.811375</v>
      </c>
      <c r="J776" s="55">
        <f>I776*D776</f>
        <v>16.86825</v>
      </c>
      <c r="K776" s="48"/>
    </row>
    <row r="777" spans="1:12" ht="24" x14ac:dyDescent="0.2">
      <c r="A777" s="288" t="s">
        <v>185</v>
      </c>
      <c r="B777" s="289" t="s">
        <v>483</v>
      </c>
      <c r="C777" s="290" t="s">
        <v>109</v>
      </c>
      <c r="D777" s="143">
        <v>3</v>
      </c>
      <c r="E777" s="144"/>
      <c r="F777" s="291"/>
      <c r="G777" s="292">
        <f t="shared" si="112"/>
        <v>0</v>
      </c>
      <c r="I777" s="31">
        <f>0.7*0.65</f>
        <v>0.45499999999999996</v>
      </c>
      <c r="J777" s="55">
        <f t="shared" ref="J777" si="113">I777*D777</f>
        <v>1.3649999999999998</v>
      </c>
      <c r="K777" s="48"/>
    </row>
    <row r="778" spans="1:12" ht="12" customHeight="1" x14ac:dyDescent="0.2">
      <c r="A778" s="281"/>
      <c r="B778" s="282" t="s">
        <v>382</v>
      </c>
      <c r="C778" s="283"/>
      <c r="D778" s="284"/>
      <c r="E778" s="285"/>
      <c r="F778" s="286"/>
      <c r="G778" s="287"/>
      <c r="I778" s="31"/>
      <c r="J778" s="55">
        <f>SUM(J771:J777)</f>
        <v>65.330749999999995</v>
      </c>
      <c r="K778" s="48">
        <f>J772+J773</f>
        <v>6.38</v>
      </c>
      <c r="L778" s="48">
        <f>J778-K778</f>
        <v>58.950749999999992</v>
      </c>
    </row>
    <row r="779" spans="1:12" ht="24" customHeight="1" x14ac:dyDescent="0.2">
      <c r="A779" s="288" t="s">
        <v>171</v>
      </c>
      <c r="B779" s="289" t="s">
        <v>385</v>
      </c>
      <c r="C779" s="290" t="s">
        <v>109</v>
      </c>
      <c r="D779" s="143">
        <v>3</v>
      </c>
      <c r="E779" s="144"/>
      <c r="F779" s="291"/>
      <c r="G779" s="292">
        <f t="shared" ref="G779" si="114">(D779*E779)+(D779*F779)</f>
        <v>0</v>
      </c>
      <c r="I779" s="31"/>
      <c r="J779" s="55"/>
      <c r="K779" s="31"/>
    </row>
    <row r="780" spans="1:12" ht="12.75" customHeight="1" x14ac:dyDescent="0.2">
      <c r="A780" s="288"/>
      <c r="B780" s="289"/>
      <c r="C780" s="290"/>
      <c r="D780" s="143"/>
      <c r="E780" s="144"/>
      <c r="F780" s="291"/>
      <c r="G780" s="292"/>
      <c r="I780" s="31"/>
      <c r="J780" s="55"/>
      <c r="K780" s="31"/>
    </row>
    <row r="781" spans="1:12" ht="12.75" customHeight="1" x14ac:dyDescent="0.2">
      <c r="A781" s="288"/>
      <c r="B781" s="289"/>
      <c r="C781" s="290"/>
      <c r="D781" s="143"/>
      <c r="E781" s="144"/>
      <c r="F781" s="291"/>
      <c r="G781" s="292"/>
      <c r="I781" s="31"/>
      <c r="J781" s="55"/>
      <c r="K781" s="31"/>
    </row>
    <row r="782" spans="1:12" ht="12.75" customHeight="1" x14ac:dyDescent="0.2">
      <c r="A782" s="288"/>
      <c r="B782" s="289"/>
      <c r="C782" s="290"/>
      <c r="D782" s="143"/>
      <c r="E782" s="144"/>
      <c r="F782" s="291"/>
      <c r="G782" s="292"/>
      <c r="I782" s="31"/>
      <c r="J782" s="55"/>
      <c r="K782" s="31"/>
    </row>
    <row r="783" spans="1:12" ht="12.75" customHeight="1" thickBot="1" x14ac:dyDescent="0.25">
      <c r="A783" s="593"/>
      <c r="B783" s="364"/>
      <c r="C783" s="594"/>
      <c r="D783" s="276"/>
      <c r="E783" s="160"/>
      <c r="F783" s="595"/>
      <c r="G783" s="596"/>
      <c r="I783" s="31"/>
      <c r="J783" s="55"/>
      <c r="K783" s="31"/>
    </row>
    <row r="784" spans="1:12" ht="12.75" customHeight="1" x14ac:dyDescent="0.2">
      <c r="A784" s="288"/>
      <c r="B784" s="289"/>
      <c r="C784" s="290"/>
      <c r="D784" s="143"/>
      <c r="E784" s="144"/>
      <c r="F784" s="291"/>
      <c r="G784" s="292"/>
      <c r="I784" s="31"/>
      <c r="J784" s="55"/>
      <c r="K784" s="31"/>
    </row>
    <row r="785" spans="1:12" x14ac:dyDescent="0.2">
      <c r="A785" s="293" t="s">
        <v>55</v>
      </c>
      <c r="B785" s="294" t="s">
        <v>454</v>
      </c>
      <c r="C785" s="295"/>
      <c r="D785" s="296"/>
      <c r="E785" s="258"/>
      <c r="F785" s="182"/>
      <c r="G785" s="183"/>
      <c r="J785" s="31"/>
      <c r="K785" s="31"/>
    </row>
    <row r="786" spans="1:12" x14ac:dyDescent="0.2">
      <c r="A786" s="281"/>
      <c r="B786" s="282" t="s">
        <v>384</v>
      </c>
      <c r="C786" s="283"/>
      <c r="D786" s="284"/>
      <c r="E786" s="285"/>
      <c r="F786" s="286"/>
      <c r="G786" s="287"/>
      <c r="K786" s="31"/>
    </row>
    <row r="787" spans="1:12" ht="36" x14ac:dyDescent="0.2">
      <c r="A787" s="288" t="s">
        <v>171</v>
      </c>
      <c r="B787" s="289" t="s">
        <v>480</v>
      </c>
      <c r="C787" s="290" t="s">
        <v>109</v>
      </c>
      <c r="D787" s="143">
        <v>6</v>
      </c>
      <c r="E787" s="144"/>
      <c r="F787" s="291"/>
      <c r="G787" s="292">
        <f t="shared" ref="G787:G789" si="115">(D787*E787)+(D787*F787)</f>
        <v>0</v>
      </c>
      <c r="H787" s="49"/>
      <c r="I787" s="55">
        <f>0.78*2</f>
        <v>1.56</v>
      </c>
      <c r="J787" s="55">
        <f t="shared" ref="J787" si="116">I787*D787</f>
        <v>9.36</v>
      </c>
      <c r="K787" s="58"/>
      <c r="L787" s="49"/>
    </row>
    <row r="788" spans="1:12" ht="24" x14ac:dyDescent="0.2">
      <c r="A788" s="288" t="s">
        <v>172</v>
      </c>
      <c r="B788" s="289" t="s">
        <v>481</v>
      </c>
      <c r="C788" s="290" t="s">
        <v>109</v>
      </c>
      <c r="D788" s="143">
        <v>1</v>
      </c>
      <c r="E788" s="144"/>
      <c r="F788" s="291"/>
      <c r="G788" s="292">
        <f t="shared" si="115"/>
        <v>0</v>
      </c>
      <c r="H788" s="49"/>
      <c r="I788" s="55"/>
      <c r="J788" s="55"/>
      <c r="K788" s="58"/>
      <c r="L788" s="49"/>
    </row>
    <row r="789" spans="1:12" ht="24" x14ac:dyDescent="0.2">
      <c r="A789" s="288" t="s">
        <v>185</v>
      </c>
      <c r="B789" s="289" t="s">
        <v>404</v>
      </c>
      <c r="C789" s="290" t="s">
        <v>109</v>
      </c>
      <c r="D789" s="143">
        <v>3</v>
      </c>
      <c r="E789" s="144"/>
      <c r="F789" s="291"/>
      <c r="G789" s="292">
        <f t="shared" si="115"/>
        <v>0</v>
      </c>
      <c r="H789" s="49"/>
      <c r="I789" s="55"/>
      <c r="J789" s="55"/>
      <c r="K789" s="58"/>
      <c r="L789" s="49"/>
    </row>
    <row r="790" spans="1:12" x14ac:dyDescent="0.2">
      <c r="A790" s="288"/>
      <c r="B790" s="289"/>
      <c r="C790" s="290"/>
      <c r="D790" s="143"/>
      <c r="E790" s="144"/>
      <c r="F790" s="291"/>
      <c r="G790" s="292"/>
      <c r="H790" s="49"/>
      <c r="I790" s="55"/>
      <c r="J790" s="55"/>
      <c r="K790" s="58"/>
      <c r="L790" s="49"/>
    </row>
    <row r="791" spans="1:12" x14ac:dyDescent="0.2">
      <c r="A791" s="281"/>
      <c r="B791" s="282" t="s">
        <v>383</v>
      </c>
      <c r="C791" s="283"/>
      <c r="D791" s="284"/>
      <c r="E791" s="285"/>
      <c r="F791" s="286"/>
      <c r="G791" s="287"/>
      <c r="I791" s="31"/>
      <c r="J791" s="55">
        <f t="shared" ref="J791" si="117">I791*D791</f>
        <v>0</v>
      </c>
      <c r="K791" s="58"/>
      <c r="L791" s="49"/>
    </row>
    <row r="792" spans="1:12" ht="36" x14ac:dyDescent="0.2">
      <c r="A792" s="288" t="s">
        <v>171</v>
      </c>
      <c r="B792" s="289" t="s">
        <v>405</v>
      </c>
      <c r="C792" s="290" t="s">
        <v>109</v>
      </c>
      <c r="D792" s="143">
        <v>6</v>
      </c>
      <c r="E792" s="144"/>
      <c r="F792" s="291"/>
      <c r="G792" s="292">
        <f t="shared" ref="G792:G794" si="118">(D792*E792)+(D792*F792)</f>
        <v>0</v>
      </c>
      <c r="I792" s="31">
        <f>2.45*1.69</f>
        <v>4.1405000000000003</v>
      </c>
      <c r="J792" s="55">
        <f>D792*I792</f>
        <v>24.843000000000004</v>
      </c>
      <c r="K792" s="48"/>
      <c r="L792" s="48">
        <f>J791+I787</f>
        <v>1.56</v>
      </c>
    </row>
    <row r="793" spans="1:12" ht="36" x14ac:dyDescent="0.2">
      <c r="A793" s="288" t="s">
        <v>172</v>
      </c>
      <c r="B793" s="289" t="s">
        <v>482</v>
      </c>
      <c r="C793" s="290" t="s">
        <v>109</v>
      </c>
      <c r="D793" s="143">
        <v>6</v>
      </c>
      <c r="E793" s="144"/>
      <c r="F793" s="291"/>
      <c r="G793" s="292">
        <f t="shared" si="118"/>
        <v>0</v>
      </c>
      <c r="I793" s="31">
        <f>1.575*2</f>
        <v>3.15</v>
      </c>
      <c r="J793" s="55">
        <f>I793*D793</f>
        <v>18.899999999999999</v>
      </c>
      <c r="K793" s="48"/>
    </row>
    <row r="794" spans="1:12" ht="24" x14ac:dyDescent="0.2">
      <c r="A794" s="288" t="s">
        <v>185</v>
      </c>
      <c r="B794" s="289" t="s">
        <v>483</v>
      </c>
      <c r="C794" s="290" t="s">
        <v>109</v>
      </c>
      <c r="D794" s="143">
        <v>3</v>
      </c>
      <c r="E794" s="144"/>
      <c r="F794" s="291"/>
      <c r="G794" s="292">
        <f t="shared" si="118"/>
        <v>0</v>
      </c>
      <c r="I794" s="31">
        <f>0.7*0.55</f>
        <v>0.38500000000000001</v>
      </c>
      <c r="J794" s="55">
        <f t="shared" ref="J794" si="119">I794*D794</f>
        <v>1.155</v>
      </c>
      <c r="K794" s="48"/>
    </row>
    <row r="795" spans="1:12" x14ac:dyDescent="0.2">
      <c r="A795" s="281"/>
      <c r="B795" s="282" t="s">
        <v>382</v>
      </c>
      <c r="C795" s="283"/>
      <c r="D795" s="284"/>
      <c r="E795" s="285"/>
      <c r="F795" s="286"/>
      <c r="G795" s="287"/>
      <c r="I795" s="31"/>
      <c r="J795" s="55">
        <f>SUM(J787:J794)</f>
        <v>54.258000000000003</v>
      </c>
      <c r="K795" s="48">
        <f>J795-J787</f>
        <v>44.898000000000003</v>
      </c>
      <c r="L795" s="48"/>
    </row>
    <row r="796" spans="1:12" ht="24" x14ac:dyDescent="0.2">
      <c r="A796" s="288" t="s">
        <v>171</v>
      </c>
      <c r="B796" s="289" t="s">
        <v>385</v>
      </c>
      <c r="C796" s="290" t="s">
        <v>109</v>
      </c>
      <c r="D796" s="143">
        <v>3</v>
      </c>
      <c r="E796" s="144"/>
      <c r="F796" s="291"/>
      <c r="G796" s="292">
        <f t="shared" ref="G796" si="120">(D796*E796)+(D796*F796)</f>
        <v>0</v>
      </c>
      <c r="I796" s="31"/>
      <c r="J796" s="55"/>
      <c r="K796" s="31"/>
    </row>
    <row r="797" spans="1:12" x14ac:dyDescent="0.2">
      <c r="A797" s="288"/>
      <c r="B797" s="289"/>
      <c r="C797" s="290"/>
      <c r="D797" s="143"/>
      <c r="E797" s="144"/>
      <c r="F797" s="291"/>
      <c r="G797" s="292"/>
      <c r="I797" s="31"/>
      <c r="J797" s="55"/>
      <c r="K797" s="31"/>
    </row>
    <row r="798" spans="1:12" x14ac:dyDescent="0.2">
      <c r="A798" s="293" t="s">
        <v>158</v>
      </c>
      <c r="B798" s="294" t="s">
        <v>456</v>
      </c>
      <c r="C798" s="295"/>
      <c r="D798" s="296"/>
      <c r="E798" s="258"/>
      <c r="F798" s="182"/>
      <c r="G798" s="183"/>
      <c r="J798" s="31"/>
      <c r="K798" s="31"/>
    </row>
    <row r="799" spans="1:12" x14ac:dyDescent="0.2">
      <c r="A799" s="281"/>
      <c r="B799" s="282" t="s">
        <v>384</v>
      </c>
      <c r="C799" s="283"/>
      <c r="D799" s="284"/>
      <c r="E799" s="285"/>
      <c r="F799" s="286"/>
      <c r="G799" s="287"/>
      <c r="K799" s="31"/>
    </row>
    <row r="800" spans="1:12" ht="36" x14ac:dyDescent="0.2">
      <c r="A800" s="288" t="s">
        <v>171</v>
      </c>
      <c r="B800" s="289" t="s">
        <v>480</v>
      </c>
      <c r="C800" s="290" t="s">
        <v>109</v>
      </c>
      <c r="D800" s="143">
        <v>6</v>
      </c>
      <c r="E800" s="144"/>
      <c r="F800" s="291"/>
      <c r="G800" s="292">
        <f t="shared" ref="G800:G802" si="121">(D800*E800)+(D800*F800)</f>
        <v>0</v>
      </c>
      <c r="H800" s="49"/>
      <c r="I800" s="55">
        <f>0.78*2</f>
        <v>1.56</v>
      </c>
      <c r="J800" s="55">
        <f t="shared" ref="J800" si="122">I800*D800</f>
        <v>9.36</v>
      </c>
      <c r="K800" s="58"/>
      <c r="L800" s="49"/>
    </row>
    <row r="801" spans="1:12" ht="24" x14ac:dyDescent="0.2">
      <c r="A801" s="288" t="s">
        <v>172</v>
      </c>
      <c r="B801" s="289" t="s">
        <v>481</v>
      </c>
      <c r="C801" s="290" t="s">
        <v>109</v>
      </c>
      <c r="D801" s="143">
        <v>1</v>
      </c>
      <c r="E801" s="144"/>
      <c r="F801" s="291"/>
      <c r="G801" s="292">
        <f t="shared" si="121"/>
        <v>0</v>
      </c>
      <c r="H801" s="49"/>
      <c r="I801" s="55"/>
      <c r="J801" s="55"/>
      <c r="K801" s="58"/>
      <c r="L801" s="49"/>
    </row>
    <row r="802" spans="1:12" ht="24" x14ac:dyDescent="0.2">
      <c r="A802" s="288" t="s">
        <v>185</v>
      </c>
      <c r="B802" s="289" t="s">
        <v>404</v>
      </c>
      <c r="C802" s="290" t="s">
        <v>109</v>
      </c>
      <c r="D802" s="143">
        <v>3</v>
      </c>
      <c r="E802" s="144"/>
      <c r="F802" s="291"/>
      <c r="G802" s="292">
        <f t="shared" si="121"/>
        <v>0</v>
      </c>
      <c r="H802" s="49"/>
      <c r="I802" s="55"/>
      <c r="J802" s="55"/>
      <c r="K802" s="58"/>
      <c r="L802" s="49"/>
    </row>
    <row r="803" spans="1:12" x14ac:dyDescent="0.2">
      <c r="A803" s="288"/>
      <c r="B803" s="289"/>
      <c r="C803" s="290"/>
      <c r="D803" s="143"/>
      <c r="E803" s="144"/>
      <c r="F803" s="291"/>
      <c r="G803" s="292"/>
      <c r="H803" s="49"/>
      <c r="I803" s="55"/>
      <c r="J803" s="55"/>
      <c r="K803" s="58"/>
      <c r="L803" s="49"/>
    </row>
    <row r="804" spans="1:12" x14ac:dyDescent="0.2">
      <c r="A804" s="281"/>
      <c r="B804" s="282" t="s">
        <v>383</v>
      </c>
      <c r="C804" s="283"/>
      <c r="D804" s="284"/>
      <c r="E804" s="285"/>
      <c r="F804" s="286"/>
      <c r="G804" s="287"/>
      <c r="I804" s="31"/>
      <c r="J804" s="55">
        <f t="shared" ref="J804" si="123">I804*D804</f>
        <v>0</v>
      </c>
      <c r="K804" s="58"/>
      <c r="L804" s="49"/>
    </row>
    <row r="805" spans="1:12" ht="36" x14ac:dyDescent="0.2">
      <c r="A805" s="288" t="s">
        <v>171</v>
      </c>
      <c r="B805" s="289" t="s">
        <v>405</v>
      </c>
      <c r="C805" s="290" t="s">
        <v>109</v>
      </c>
      <c r="D805" s="143">
        <v>6</v>
      </c>
      <c r="E805" s="144"/>
      <c r="F805" s="291"/>
      <c r="G805" s="292">
        <f t="shared" ref="G805:G807" si="124">(D805*E805)+(D805*F805)</f>
        <v>0</v>
      </c>
      <c r="I805" s="31">
        <f>2.45*1.69</f>
        <v>4.1405000000000003</v>
      </c>
      <c r="J805" s="55">
        <f>D805*I805</f>
        <v>24.843000000000004</v>
      </c>
      <c r="K805" s="48"/>
      <c r="L805" s="48">
        <f>J804+I800</f>
        <v>1.56</v>
      </c>
    </row>
    <row r="806" spans="1:12" ht="36" x14ac:dyDescent="0.2">
      <c r="A806" s="288" t="s">
        <v>172</v>
      </c>
      <c r="B806" s="289" t="s">
        <v>482</v>
      </c>
      <c r="C806" s="290" t="s">
        <v>109</v>
      </c>
      <c r="D806" s="143">
        <v>6</v>
      </c>
      <c r="E806" s="144"/>
      <c r="F806" s="291"/>
      <c r="G806" s="292">
        <f t="shared" si="124"/>
        <v>0</v>
      </c>
      <c r="I806" s="31">
        <f>1.575*2</f>
        <v>3.15</v>
      </c>
      <c r="J806" s="55">
        <f>I806*D806</f>
        <v>18.899999999999999</v>
      </c>
      <c r="K806" s="48"/>
    </row>
    <row r="807" spans="1:12" ht="24" x14ac:dyDescent="0.2">
      <c r="A807" s="288" t="s">
        <v>185</v>
      </c>
      <c r="B807" s="289" t="s">
        <v>483</v>
      </c>
      <c r="C807" s="290" t="s">
        <v>109</v>
      </c>
      <c r="D807" s="143">
        <v>3</v>
      </c>
      <c r="E807" s="144"/>
      <c r="F807" s="291"/>
      <c r="G807" s="292">
        <f t="shared" si="124"/>
        <v>0</v>
      </c>
      <c r="I807" s="31">
        <f>0.7*0.55</f>
        <v>0.38500000000000001</v>
      </c>
      <c r="J807" s="55">
        <f t="shared" ref="J807" si="125">I807*D807</f>
        <v>1.155</v>
      </c>
      <c r="K807" s="48"/>
    </row>
    <row r="808" spans="1:12" x14ac:dyDescent="0.2">
      <c r="A808" s="281"/>
      <c r="B808" s="282" t="s">
        <v>382</v>
      </c>
      <c r="C808" s="283"/>
      <c r="D808" s="284"/>
      <c r="E808" s="285"/>
      <c r="F808" s="286"/>
      <c r="G808" s="287"/>
      <c r="I808" s="31"/>
      <c r="J808" s="55">
        <f>SUM(J800:J807)</f>
        <v>54.258000000000003</v>
      </c>
      <c r="K808" s="48">
        <f>J808-J800</f>
        <v>44.898000000000003</v>
      </c>
      <c r="L808" s="48"/>
    </row>
    <row r="809" spans="1:12" ht="24" x14ac:dyDescent="0.2">
      <c r="A809" s="288" t="s">
        <v>171</v>
      </c>
      <c r="B809" s="289" t="s">
        <v>385</v>
      </c>
      <c r="C809" s="290" t="s">
        <v>109</v>
      </c>
      <c r="D809" s="143">
        <v>3</v>
      </c>
      <c r="E809" s="144"/>
      <c r="F809" s="291"/>
      <c r="G809" s="292">
        <f t="shared" ref="G809" si="126">(D809*E809)+(D809*F809)</f>
        <v>0</v>
      </c>
      <c r="I809" s="31"/>
      <c r="J809" s="55"/>
      <c r="K809" s="31"/>
    </row>
    <row r="810" spans="1:12" x14ac:dyDescent="0.2">
      <c r="A810" s="288"/>
      <c r="B810" s="289"/>
      <c r="C810" s="149"/>
      <c r="D810" s="143"/>
      <c r="E810" s="144"/>
      <c r="F810" s="145"/>
      <c r="G810" s="146"/>
      <c r="I810" s="48"/>
      <c r="J810" s="31"/>
    </row>
    <row r="811" spans="1:12" x14ac:dyDescent="0.2">
      <c r="A811" s="288"/>
      <c r="B811" s="289"/>
      <c r="C811" s="149"/>
      <c r="D811" s="143"/>
      <c r="E811" s="144"/>
      <c r="F811" s="145"/>
      <c r="G811" s="146"/>
      <c r="I811" s="48"/>
      <c r="J811" s="31"/>
    </row>
    <row r="812" spans="1:12" x14ac:dyDescent="0.2">
      <c r="A812" s="288"/>
      <c r="B812" s="289"/>
      <c r="C812" s="149"/>
      <c r="D812" s="143"/>
      <c r="E812" s="144"/>
      <c r="F812" s="145"/>
      <c r="G812" s="146"/>
      <c r="I812" s="48"/>
      <c r="J812" s="31"/>
    </row>
    <row r="813" spans="1:12" x14ac:dyDescent="0.2">
      <c r="A813" s="288"/>
      <c r="B813" s="289"/>
      <c r="C813" s="149"/>
      <c r="D813" s="143"/>
      <c r="E813" s="144"/>
      <c r="F813" s="145"/>
      <c r="G813" s="146"/>
      <c r="I813" s="48"/>
      <c r="J813" s="31"/>
    </row>
    <row r="814" spans="1:12" x14ac:dyDescent="0.2">
      <c r="A814" s="288"/>
      <c r="B814" s="289"/>
      <c r="C814" s="149"/>
      <c r="D814" s="143"/>
      <c r="E814" s="144"/>
      <c r="F814" s="145"/>
      <c r="G814" s="146"/>
      <c r="I814" s="48"/>
      <c r="J814" s="31"/>
    </row>
    <row r="815" spans="1:12" x14ac:dyDescent="0.2">
      <c r="A815" s="288"/>
      <c r="B815" s="289"/>
      <c r="C815" s="149"/>
      <c r="D815" s="143"/>
      <c r="E815" s="144"/>
      <c r="F815" s="145"/>
      <c r="G815" s="146"/>
      <c r="I815" s="48"/>
      <c r="J815" s="31"/>
    </row>
    <row r="816" spans="1:12" x14ac:dyDescent="0.2">
      <c r="A816" s="288"/>
      <c r="B816" s="289"/>
      <c r="C816" s="149"/>
      <c r="D816" s="143"/>
      <c r="E816" s="144"/>
      <c r="F816" s="145"/>
      <c r="G816" s="146"/>
      <c r="I816" s="48"/>
      <c r="J816" s="31"/>
    </row>
    <row r="817" spans="1:10" x14ac:dyDescent="0.2">
      <c r="A817" s="288"/>
      <c r="B817" s="289"/>
      <c r="C817" s="149"/>
      <c r="D817" s="143"/>
      <c r="E817" s="144"/>
      <c r="F817" s="145"/>
      <c r="G817" s="146"/>
      <c r="I817" s="48"/>
      <c r="J817" s="31"/>
    </row>
    <row r="818" spans="1:10" x14ac:dyDescent="0.2">
      <c r="A818" s="288"/>
      <c r="B818" s="289"/>
      <c r="C818" s="149"/>
      <c r="D818" s="143"/>
      <c r="E818" s="144"/>
      <c r="F818" s="145"/>
      <c r="G818" s="146"/>
      <c r="I818" s="48"/>
      <c r="J818" s="31"/>
    </row>
    <row r="819" spans="1:10" x14ac:dyDescent="0.2">
      <c r="A819" s="288"/>
      <c r="B819" s="289"/>
      <c r="C819" s="149"/>
      <c r="D819" s="143"/>
      <c r="E819" s="144"/>
      <c r="F819" s="145"/>
      <c r="G819" s="146"/>
      <c r="I819" s="48"/>
      <c r="J819" s="31"/>
    </row>
    <row r="820" spans="1:10" ht="12.75" thickBot="1" x14ac:dyDescent="0.25">
      <c r="A820" s="288"/>
      <c r="B820" s="289"/>
      <c r="C820" s="149"/>
      <c r="D820" s="143"/>
      <c r="E820" s="144"/>
      <c r="F820" s="145"/>
      <c r="G820" s="146"/>
      <c r="I820" s="48"/>
      <c r="J820" s="31"/>
    </row>
    <row r="821" spans="1:10" x14ac:dyDescent="0.2">
      <c r="A821" s="302"/>
      <c r="B821" s="118" t="s">
        <v>199</v>
      </c>
      <c r="C821" s="303"/>
      <c r="D821" s="304"/>
      <c r="E821" s="121"/>
      <c r="F821" s="224"/>
      <c r="G821" s="172"/>
    </row>
    <row r="822" spans="1:10" ht="12.75" thickBot="1" x14ac:dyDescent="0.25">
      <c r="A822" s="305"/>
      <c r="B822" s="106" t="s">
        <v>200</v>
      </c>
      <c r="C822" s="306"/>
      <c r="D822" s="307"/>
      <c r="E822" s="126"/>
      <c r="F822" s="225"/>
      <c r="G822" s="173">
        <f>SUM(G761:G821)</f>
        <v>0</v>
      </c>
    </row>
    <row r="823" spans="1:10" x14ac:dyDescent="0.2">
      <c r="A823" s="528"/>
      <c r="B823" s="118"/>
      <c r="C823" s="303"/>
      <c r="D823" s="304"/>
      <c r="E823" s="121"/>
      <c r="F823" s="170"/>
      <c r="G823" s="398"/>
    </row>
    <row r="824" spans="1:10" x14ac:dyDescent="0.2">
      <c r="A824" s="140"/>
      <c r="B824" s="79" t="s">
        <v>201</v>
      </c>
      <c r="C824" s="66"/>
      <c r="D824" s="57"/>
      <c r="E824" s="64"/>
      <c r="F824" s="46"/>
      <c r="G824" s="67"/>
    </row>
    <row r="825" spans="1:10" x14ac:dyDescent="0.2">
      <c r="A825" s="140"/>
      <c r="B825" s="62" t="s">
        <v>170</v>
      </c>
      <c r="C825" s="66"/>
      <c r="D825" s="57"/>
      <c r="E825" s="64"/>
      <c r="F825" s="46"/>
      <c r="G825" s="67"/>
    </row>
    <row r="826" spans="1:10" x14ac:dyDescent="0.2">
      <c r="A826" s="297" t="s">
        <v>107</v>
      </c>
      <c r="B826" s="70" t="s">
        <v>40</v>
      </c>
      <c r="C826" s="66"/>
      <c r="D826" s="57"/>
      <c r="E826" s="64"/>
      <c r="F826" s="46"/>
      <c r="G826" s="67"/>
    </row>
    <row r="827" spans="1:10" ht="49.5" customHeight="1" x14ac:dyDescent="0.2">
      <c r="A827" s="549"/>
      <c r="B827" s="639" t="s">
        <v>272</v>
      </c>
      <c r="C827" s="639"/>
      <c r="D827" s="639"/>
      <c r="E827" s="640"/>
      <c r="F827" s="536"/>
      <c r="G827" s="537"/>
    </row>
    <row r="828" spans="1:10" ht="27" customHeight="1" x14ac:dyDescent="0.2">
      <c r="A828" s="80"/>
      <c r="B828" s="641" t="s">
        <v>113</v>
      </c>
      <c r="C828" s="642"/>
      <c r="D828" s="642"/>
      <c r="E828" s="643"/>
      <c r="F828" s="94"/>
      <c r="G828" s="95"/>
      <c r="I828" s="31"/>
    </row>
    <row r="829" spans="1:10" ht="25.5" customHeight="1" x14ac:dyDescent="0.2">
      <c r="A829" s="61"/>
      <c r="B829" s="644" t="s">
        <v>253</v>
      </c>
      <c r="C829" s="645"/>
      <c r="D829" s="645"/>
      <c r="E829" s="646"/>
      <c r="F829" s="96"/>
      <c r="G829" s="97"/>
    </row>
    <row r="830" spans="1:10" ht="12" customHeight="1" x14ac:dyDescent="0.2">
      <c r="A830" s="504"/>
      <c r="B830" s="538"/>
      <c r="C830" s="539"/>
      <c r="D830" s="539"/>
      <c r="E830" s="540"/>
      <c r="F830" s="539"/>
      <c r="G830" s="541"/>
    </row>
    <row r="831" spans="1:10" x14ac:dyDescent="0.2">
      <c r="A831" s="213" t="s">
        <v>178</v>
      </c>
      <c r="B831" s="313" t="s">
        <v>88</v>
      </c>
      <c r="C831" s="215"/>
      <c r="D831" s="216"/>
      <c r="E831" s="217"/>
      <c r="F831" s="216"/>
      <c r="G831" s="218"/>
    </row>
    <row r="832" spans="1:10" x14ac:dyDescent="0.2">
      <c r="A832" s="293" t="s">
        <v>156</v>
      </c>
      <c r="B832" s="294" t="s">
        <v>318</v>
      </c>
      <c r="C832" s="308"/>
      <c r="D832" s="309"/>
      <c r="E832" s="310"/>
      <c r="F832" s="182"/>
      <c r="G832" s="183"/>
    </row>
    <row r="833" spans="1:14" ht="13.5" x14ac:dyDescent="0.2">
      <c r="A833" s="297"/>
      <c r="B833" s="311" t="s">
        <v>484</v>
      </c>
      <c r="C833" s="312" t="s">
        <v>148</v>
      </c>
      <c r="D833" s="143">
        <v>131.15</v>
      </c>
      <c r="E833" s="144"/>
      <c r="F833" s="145"/>
      <c r="G833" s="146"/>
      <c r="I833" s="48">
        <f>15.8*8.3</f>
        <v>131.14000000000001</v>
      </c>
    </row>
    <row r="834" spans="1:14" x14ac:dyDescent="0.2">
      <c r="A834" s="297"/>
      <c r="B834" s="311"/>
      <c r="C834" s="312"/>
      <c r="D834" s="143"/>
      <c r="E834" s="144"/>
      <c r="F834" s="145"/>
      <c r="G834" s="146"/>
      <c r="I834" s="48"/>
    </row>
    <row r="835" spans="1:14" x14ac:dyDescent="0.2">
      <c r="A835" s="293" t="s">
        <v>157</v>
      </c>
      <c r="B835" s="294" t="s">
        <v>319</v>
      </c>
      <c r="C835" s="308"/>
      <c r="D835" s="309"/>
      <c r="E835" s="310"/>
      <c r="F835" s="182"/>
      <c r="G835" s="183"/>
      <c r="I835" s="48"/>
    </row>
    <row r="836" spans="1:14" ht="13.5" x14ac:dyDescent="0.2">
      <c r="A836" s="297"/>
      <c r="B836" s="311" t="s">
        <v>495</v>
      </c>
      <c r="C836" s="312" t="s">
        <v>148</v>
      </c>
      <c r="D836" s="143">
        <v>9.15</v>
      </c>
      <c r="E836" s="144"/>
      <c r="F836" s="145"/>
      <c r="G836" s="146">
        <f t="shared" ref="G836:G839" si="127">(D836*E836)+(D836*F836)</f>
        <v>0</v>
      </c>
      <c r="I836" s="48"/>
    </row>
    <row r="837" spans="1:14" ht="13.5" x14ac:dyDescent="0.2">
      <c r="A837" s="297"/>
      <c r="B837" s="311" t="s">
        <v>496</v>
      </c>
      <c r="C837" s="312" t="s">
        <v>148</v>
      </c>
      <c r="D837" s="143">
        <v>9.15</v>
      </c>
      <c r="E837" s="144"/>
      <c r="F837" s="145"/>
      <c r="G837" s="146">
        <f t="shared" ref="G837:G838" si="128">(D837*E837)+(D837*F837)</f>
        <v>0</v>
      </c>
      <c r="I837" s="48"/>
    </row>
    <row r="838" spans="1:14" ht="13.5" x14ac:dyDescent="0.2">
      <c r="A838" s="297"/>
      <c r="B838" s="311" t="s">
        <v>485</v>
      </c>
      <c r="C838" s="312" t="s">
        <v>148</v>
      </c>
      <c r="D838" s="143">
        <v>37.6</v>
      </c>
      <c r="E838" s="144"/>
      <c r="F838" s="145"/>
      <c r="G838" s="146">
        <f t="shared" si="128"/>
        <v>0</v>
      </c>
      <c r="I838" s="48">
        <f>15.8*1.8</f>
        <v>28.44</v>
      </c>
      <c r="J838" s="22">
        <v>9.15</v>
      </c>
      <c r="K838" s="48">
        <f>SUM(I838:J838)</f>
        <v>37.590000000000003</v>
      </c>
    </row>
    <row r="839" spans="1:14" ht="13.5" x14ac:dyDescent="0.2">
      <c r="A839" s="297"/>
      <c r="B839" s="311" t="s">
        <v>320</v>
      </c>
      <c r="C839" s="312" t="s">
        <v>148</v>
      </c>
      <c r="D839" s="143">
        <v>25</v>
      </c>
      <c r="E839" s="144"/>
      <c r="F839" s="145"/>
      <c r="G839" s="146">
        <f t="shared" si="127"/>
        <v>0</v>
      </c>
      <c r="I839" s="22">
        <f>16.1*0.775*2</f>
        <v>24.955000000000002</v>
      </c>
    </row>
    <row r="840" spans="1:14" x14ac:dyDescent="0.2">
      <c r="A840" s="297"/>
      <c r="B840" s="311"/>
      <c r="C840" s="312"/>
      <c r="D840" s="143"/>
      <c r="E840" s="144"/>
      <c r="F840" s="145"/>
      <c r="G840" s="146"/>
    </row>
    <row r="841" spans="1:14" x14ac:dyDescent="0.2">
      <c r="A841" s="213" t="s">
        <v>339</v>
      </c>
      <c r="B841" s="313" t="s">
        <v>340</v>
      </c>
      <c r="C841" s="215"/>
      <c r="D841" s="216"/>
      <c r="E841" s="217"/>
      <c r="F841" s="216"/>
      <c r="G841" s="218"/>
    </row>
    <row r="842" spans="1:14" ht="36" x14ac:dyDescent="0.2">
      <c r="A842" s="140" t="s">
        <v>171</v>
      </c>
      <c r="B842" s="311" t="s">
        <v>341</v>
      </c>
      <c r="C842" s="312" t="s">
        <v>336</v>
      </c>
      <c r="D842" s="143">
        <v>32.5</v>
      </c>
      <c r="E842" s="144"/>
      <c r="F842" s="145"/>
      <c r="G842" s="146"/>
      <c r="I842" s="22">
        <f>16.1*2</f>
        <v>32.200000000000003</v>
      </c>
      <c r="L842" s="22">
        <f>241.1*4</f>
        <v>964.4</v>
      </c>
      <c r="M842" s="22">
        <f>L842*10.764</f>
        <v>10380.801599999999</v>
      </c>
      <c r="N842" s="25"/>
    </row>
    <row r="843" spans="1:14" x14ac:dyDescent="0.2">
      <c r="A843" s="297"/>
      <c r="B843" s="311"/>
      <c r="C843" s="312"/>
      <c r="D843" s="143"/>
      <c r="E843" s="144"/>
      <c r="F843" s="145"/>
      <c r="G843" s="146"/>
    </row>
    <row r="844" spans="1:14" x14ac:dyDescent="0.2">
      <c r="A844" s="297"/>
      <c r="B844" s="311"/>
      <c r="C844" s="312"/>
      <c r="D844" s="143"/>
      <c r="E844" s="144"/>
      <c r="F844" s="145"/>
      <c r="G844" s="146"/>
    </row>
    <row r="845" spans="1:14" x14ac:dyDescent="0.2">
      <c r="A845" s="297"/>
      <c r="B845" s="311"/>
      <c r="C845" s="312"/>
      <c r="D845" s="143"/>
      <c r="E845" s="144"/>
      <c r="F845" s="145"/>
      <c r="G845" s="146"/>
    </row>
    <row r="846" spans="1:14" x14ac:dyDescent="0.2">
      <c r="A846" s="297"/>
      <c r="B846" s="311"/>
      <c r="C846" s="312"/>
      <c r="D846" s="143"/>
      <c r="E846" s="144"/>
      <c r="F846" s="145"/>
      <c r="G846" s="146"/>
    </row>
    <row r="847" spans="1:14" x14ac:dyDescent="0.2">
      <c r="A847" s="297"/>
      <c r="B847" s="311"/>
      <c r="C847" s="312"/>
      <c r="D847" s="143"/>
      <c r="E847" s="144"/>
      <c r="F847" s="145"/>
      <c r="G847" s="146"/>
    </row>
    <row r="848" spans="1:14" x14ac:dyDescent="0.2">
      <c r="A848" s="297"/>
      <c r="B848" s="311"/>
      <c r="C848" s="312"/>
      <c r="D848" s="143"/>
      <c r="E848" s="144"/>
      <c r="F848" s="145"/>
      <c r="G848" s="146"/>
    </row>
    <row r="849" spans="1:7" x14ac:dyDescent="0.2">
      <c r="A849" s="297"/>
      <c r="B849" s="311"/>
      <c r="C849" s="312"/>
      <c r="D849" s="143"/>
      <c r="E849" s="144"/>
      <c r="F849" s="145"/>
      <c r="G849" s="146"/>
    </row>
    <row r="850" spans="1:7" x14ac:dyDescent="0.2">
      <c r="A850" s="297"/>
      <c r="B850" s="311"/>
      <c r="C850" s="312"/>
      <c r="D850" s="143"/>
      <c r="E850" s="144"/>
      <c r="F850" s="145"/>
      <c r="G850" s="146"/>
    </row>
    <row r="851" spans="1:7" x14ac:dyDescent="0.2">
      <c r="A851" s="297"/>
      <c r="B851" s="311"/>
      <c r="C851" s="312"/>
      <c r="D851" s="143"/>
      <c r="E851" s="144"/>
      <c r="F851" s="145"/>
      <c r="G851" s="146"/>
    </row>
    <row r="852" spans="1:7" x14ac:dyDescent="0.2">
      <c r="A852" s="297"/>
      <c r="B852" s="311"/>
      <c r="C852" s="312"/>
      <c r="D852" s="143"/>
      <c r="E852" s="144"/>
      <c r="F852" s="145"/>
      <c r="G852" s="146"/>
    </row>
    <row r="853" spans="1:7" x14ac:dyDescent="0.2">
      <c r="A853" s="297"/>
      <c r="B853" s="311"/>
      <c r="C853" s="312"/>
      <c r="D853" s="143"/>
      <c r="E853" s="144"/>
      <c r="F853" s="145"/>
      <c r="G853" s="146"/>
    </row>
    <row r="854" spans="1:7" x14ac:dyDescent="0.2">
      <c r="A854" s="297"/>
      <c r="B854" s="311"/>
      <c r="C854" s="312"/>
      <c r="D854" s="143"/>
      <c r="E854" s="144"/>
      <c r="F854" s="145"/>
      <c r="G854" s="146"/>
    </row>
    <row r="855" spans="1:7" x14ac:dyDescent="0.2">
      <c r="A855" s="297"/>
      <c r="B855" s="311"/>
      <c r="C855" s="312"/>
      <c r="D855" s="143"/>
      <c r="E855" s="144"/>
      <c r="F855" s="145"/>
      <c r="G855" s="146"/>
    </row>
    <row r="856" spans="1:7" x14ac:dyDescent="0.2">
      <c r="A856" s="297"/>
      <c r="B856" s="311"/>
      <c r="C856" s="312"/>
      <c r="D856" s="143"/>
      <c r="E856" s="144"/>
      <c r="F856" s="145"/>
      <c r="G856" s="146"/>
    </row>
    <row r="857" spans="1:7" x14ac:dyDescent="0.2">
      <c r="A857" s="297"/>
      <c r="B857" s="311"/>
      <c r="C857" s="312"/>
      <c r="D857" s="143"/>
      <c r="E857" s="144"/>
      <c r="F857" s="145"/>
      <c r="G857" s="146"/>
    </row>
    <row r="858" spans="1:7" x14ac:dyDescent="0.2">
      <c r="A858" s="297"/>
      <c r="B858" s="311"/>
      <c r="C858" s="312"/>
      <c r="D858" s="143"/>
      <c r="E858" s="144"/>
      <c r="F858" s="145"/>
      <c r="G858" s="146"/>
    </row>
    <row r="859" spans="1:7" x14ac:dyDescent="0.2">
      <c r="A859" s="297"/>
      <c r="B859" s="311"/>
      <c r="C859" s="312"/>
      <c r="D859" s="143"/>
      <c r="E859" s="144"/>
      <c r="F859" s="145"/>
      <c r="G859" s="146"/>
    </row>
    <row r="860" spans="1:7" x14ac:dyDescent="0.2">
      <c r="A860" s="297"/>
      <c r="B860" s="311"/>
      <c r="C860" s="312"/>
      <c r="D860" s="143"/>
      <c r="E860" s="144"/>
      <c r="F860" s="145"/>
      <c r="G860" s="146"/>
    </row>
    <row r="861" spans="1:7" x14ac:dyDescent="0.2">
      <c r="A861" s="297"/>
      <c r="B861" s="311"/>
      <c r="C861" s="312"/>
      <c r="D861" s="143"/>
      <c r="E861" s="144"/>
      <c r="F861" s="145"/>
      <c r="G861" s="146"/>
    </row>
    <row r="862" spans="1:7" x14ac:dyDescent="0.2">
      <c r="A862" s="297"/>
      <c r="B862" s="311"/>
      <c r="C862" s="312"/>
      <c r="D862" s="143"/>
      <c r="E862" s="144"/>
      <c r="F862" s="145"/>
      <c r="G862" s="146"/>
    </row>
    <row r="863" spans="1:7" x14ac:dyDescent="0.2">
      <c r="A863" s="297"/>
      <c r="B863" s="311"/>
      <c r="C863" s="312"/>
      <c r="D863" s="143"/>
      <c r="E863" s="144"/>
      <c r="F863" s="145"/>
      <c r="G863" s="146"/>
    </row>
    <row r="864" spans="1:7" x14ac:dyDescent="0.2">
      <c r="A864" s="297"/>
      <c r="B864" s="311"/>
      <c r="C864" s="312"/>
      <c r="D864" s="143"/>
      <c r="E864" s="144"/>
      <c r="F864" s="145"/>
      <c r="G864" s="146"/>
    </row>
    <row r="865" spans="1:11" x14ac:dyDescent="0.2">
      <c r="A865" s="297"/>
      <c r="B865" s="311"/>
      <c r="C865" s="312"/>
      <c r="D865" s="143"/>
      <c r="E865" s="144"/>
      <c r="F865" s="145"/>
      <c r="G865" s="146"/>
    </row>
    <row r="866" spans="1:11" x14ac:dyDescent="0.2">
      <c r="A866" s="297"/>
      <c r="B866" s="311"/>
      <c r="C866" s="312"/>
      <c r="D866" s="143"/>
      <c r="E866" s="144"/>
      <c r="F866" s="145"/>
      <c r="G866" s="146"/>
    </row>
    <row r="867" spans="1:11" x14ac:dyDescent="0.2">
      <c r="A867" s="297"/>
      <c r="B867" s="311"/>
      <c r="C867" s="312"/>
      <c r="D867" s="143"/>
      <c r="E867" s="144"/>
      <c r="F867" s="145"/>
      <c r="G867" s="146"/>
    </row>
    <row r="868" spans="1:11" x14ac:dyDescent="0.2">
      <c r="A868" s="297"/>
      <c r="B868" s="311"/>
      <c r="C868" s="312"/>
      <c r="D868" s="143"/>
      <c r="E868" s="144"/>
      <c r="F868" s="145"/>
      <c r="G868" s="146"/>
    </row>
    <row r="869" spans="1:11" x14ac:dyDescent="0.2">
      <c r="A869" s="297"/>
      <c r="B869" s="311"/>
      <c r="C869" s="312"/>
      <c r="D869" s="143"/>
      <c r="E869" s="144"/>
      <c r="F869" s="145"/>
      <c r="G869" s="146"/>
    </row>
    <row r="870" spans="1:11" ht="12.75" thickBot="1" x14ac:dyDescent="0.25">
      <c r="A870" s="297"/>
      <c r="B870" s="311"/>
      <c r="C870" s="312"/>
      <c r="D870" s="143"/>
      <c r="E870" s="144"/>
      <c r="F870" s="145"/>
      <c r="G870" s="146"/>
    </row>
    <row r="871" spans="1:11" x14ac:dyDescent="0.2">
      <c r="A871" s="117"/>
      <c r="B871" s="118" t="s">
        <v>202</v>
      </c>
      <c r="C871" s="130"/>
      <c r="D871" s="120"/>
      <c r="E871" s="121"/>
      <c r="F871" s="224"/>
      <c r="G871" s="171"/>
    </row>
    <row r="872" spans="1:11" ht="12.75" thickBot="1" x14ac:dyDescent="0.25">
      <c r="A872" s="123"/>
      <c r="B872" s="106" t="s">
        <v>110</v>
      </c>
      <c r="C872" s="131"/>
      <c r="D872" s="125"/>
      <c r="E872" s="126"/>
      <c r="F872" s="225"/>
      <c r="G872" s="110">
        <f>SUM(G833:G836)</f>
        <v>0</v>
      </c>
    </row>
    <row r="873" spans="1:11" x14ac:dyDescent="0.2">
      <c r="A873" s="268"/>
      <c r="B873" s="69"/>
      <c r="C873" s="66"/>
      <c r="D873" s="57"/>
      <c r="E873" s="64"/>
      <c r="F873" s="547"/>
      <c r="G873" s="75"/>
    </row>
    <row r="874" spans="1:11" x14ac:dyDescent="0.2">
      <c r="A874" s="140"/>
      <c r="B874" s="567" t="s">
        <v>111</v>
      </c>
      <c r="C874" s="66"/>
      <c r="D874" s="57"/>
      <c r="E874" s="64"/>
      <c r="F874" s="547"/>
      <c r="G874" s="146"/>
    </row>
    <row r="875" spans="1:11" x14ac:dyDescent="0.2">
      <c r="A875" s="140"/>
      <c r="B875" s="546" t="s">
        <v>90</v>
      </c>
      <c r="C875" s="66"/>
      <c r="D875" s="57"/>
      <c r="E875" s="64"/>
      <c r="F875" s="547"/>
      <c r="G875" s="146"/>
    </row>
    <row r="876" spans="1:11" x14ac:dyDescent="0.2">
      <c r="A876" s="297" t="s">
        <v>112</v>
      </c>
      <c r="B876" s="548" t="s">
        <v>40</v>
      </c>
      <c r="C876" s="66" t="s">
        <v>57</v>
      </c>
      <c r="D876" s="57"/>
      <c r="E876" s="64"/>
      <c r="F876" s="547"/>
      <c r="G876" s="146"/>
      <c r="I876" s="33"/>
      <c r="J876" s="30">
        <v>80.599999999999994</v>
      </c>
      <c r="K876" s="30"/>
    </row>
    <row r="877" spans="1:11" s="35" customFormat="1" ht="43.5" customHeight="1" x14ac:dyDescent="0.2">
      <c r="A877" s="288"/>
      <c r="B877" s="632" t="s">
        <v>488</v>
      </c>
      <c r="C877" s="632"/>
      <c r="D877" s="632"/>
      <c r="E877" s="632"/>
      <c r="F877" s="632"/>
      <c r="G877" s="542"/>
      <c r="I877" s="33"/>
      <c r="J877" s="41"/>
      <c r="K877" s="30"/>
    </row>
    <row r="878" spans="1:11" s="35" customFormat="1" ht="17.25" customHeight="1" x14ac:dyDescent="0.2">
      <c r="A878" s="288"/>
      <c r="B878" s="632" t="s">
        <v>489</v>
      </c>
      <c r="C878" s="632"/>
      <c r="D878" s="632"/>
      <c r="E878" s="632"/>
      <c r="F878" s="632"/>
      <c r="G878" s="542"/>
      <c r="I878" s="33"/>
      <c r="J878" s="30">
        <v>168.85</v>
      </c>
      <c r="K878" s="30"/>
    </row>
    <row r="879" spans="1:11" s="35" customFormat="1" ht="27.75" customHeight="1" x14ac:dyDescent="0.2">
      <c r="A879" s="288"/>
      <c r="B879" s="632" t="s">
        <v>288</v>
      </c>
      <c r="C879" s="632"/>
      <c r="D879" s="632"/>
      <c r="E879" s="632"/>
      <c r="F879" s="632"/>
      <c r="G879" s="542"/>
      <c r="I879" s="33"/>
      <c r="J879" s="41"/>
      <c r="K879" s="30"/>
    </row>
    <row r="880" spans="1:11" s="35" customFormat="1" ht="39.75" customHeight="1" x14ac:dyDescent="0.2">
      <c r="A880" s="543"/>
      <c r="B880" s="633" t="s">
        <v>164</v>
      </c>
      <c r="C880" s="633"/>
      <c r="D880" s="633"/>
      <c r="E880" s="633"/>
      <c r="F880" s="633"/>
      <c r="G880" s="544"/>
      <c r="I880" s="39"/>
      <c r="J880" s="30">
        <v>139</v>
      </c>
      <c r="K880" s="40"/>
    </row>
    <row r="881" spans="1:11" x14ac:dyDescent="0.2">
      <c r="A881" s="277" t="s">
        <v>156</v>
      </c>
      <c r="B881" s="278" t="s">
        <v>64</v>
      </c>
      <c r="C881" s="279"/>
      <c r="D881" s="280"/>
      <c r="E881" s="256"/>
      <c r="F881" s="177"/>
      <c r="G881" s="178"/>
      <c r="I881" s="30"/>
      <c r="J881" s="40"/>
      <c r="K881" s="30"/>
    </row>
    <row r="882" spans="1:11" ht="24" x14ac:dyDescent="0.2">
      <c r="A882" s="140"/>
      <c r="B882" s="314" t="s">
        <v>117</v>
      </c>
      <c r="C882" s="315" t="s">
        <v>148</v>
      </c>
      <c r="D882" s="143">
        <f>D573</f>
        <v>219.3</v>
      </c>
      <c r="E882" s="144"/>
      <c r="F882" s="145"/>
      <c r="G882" s="146">
        <f t="shared" ref="G882:G884" si="129">(D882*E882)+(D882*F882)</f>
        <v>0</v>
      </c>
      <c r="I882" s="30"/>
      <c r="J882" s="41"/>
      <c r="K882" s="30"/>
    </row>
    <row r="883" spans="1:11" ht="14.25" customHeight="1" x14ac:dyDescent="0.2">
      <c r="A883" s="140"/>
      <c r="B883" s="314" t="s">
        <v>118</v>
      </c>
      <c r="C883" s="315" t="s">
        <v>148</v>
      </c>
      <c r="D883" s="143">
        <f>D575</f>
        <v>267.60000000000002</v>
      </c>
      <c r="E883" s="144"/>
      <c r="F883" s="145"/>
      <c r="G883" s="146">
        <f t="shared" si="129"/>
        <v>0</v>
      </c>
      <c r="I883" s="30"/>
      <c r="J883" s="30">
        <v>143.19999999999999</v>
      </c>
      <c r="K883" s="30"/>
    </row>
    <row r="884" spans="1:11" ht="13.5" x14ac:dyDescent="0.2">
      <c r="A884" s="140"/>
      <c r="B884" s="314" t="s">
        <v>119</v>
      </c>
      <c r="C884" s="315" t="s">
        <v>148</v>
      </c>
      <c r="D884" s="143">
        <v>228.25</v>
      </c>
      <c r="E884" s="144"/>
      <c r="F884" s="145"/>
      <c r="G884" s="146">
        <f t="shared" si="129"/>
        <v>0</v>
      </c>
      <c r="I884" s="30">
        <f>D624+D625+D626+D627+D628</f>
        <v>228.25</v>
      </c>
      <c r="J884" s="41" t="e">
        <f>I884-#REF!</f>
        <v>#REF!</v>
      </c>
      <c r="K884" s="30" t="e">
        <f>J884+154.1</f>
        <v>#REF!</v>
      </c>
    </row>
    <row r="885" spans="1:11" x14ac:dyDescent="0.2">
      <c r="A885" s="140"/>
      <c r="B885" s="314"/>
      <c r="C885" s="315"/>
      <c r="D885" s="143"/>
      <c r="E885" s="144"/>
      <c r="F885" s="145"/>
      <c r="G885" s="146"/>
      <c r="I885" s="40"/>
      <c r="J885" s="30"/>
      <c r="K885" s="30"/>
    </row>
    <row r="886" spans="1:11" x14ac:dyDescent="0.2">
      <c r="A886" s="293" t="s">
        <v>157</v>
      </c>
      <c r="B886" s="294" t="s">
        <v>66</v>
      </c>
      <c r="C886" s="295"/>
      <c r="D886" s="296"/>
      <c r="E886" s="258"/>
      <c r="F886" s="182"/>
      <c r="G886" s="183"/>
      <c r="I886" s="30"/>
      <c r="J886" s="40"/>
      <c r="K886" s="30"/>
    </row>
    <row r="887" spans="1:11" ht="24" x14ac:dyDescent="0.2">
      <c r="A887" s="140"/>
      <c r="B887" s="314" t="s">
        <v>117</v>
      </c>
      <c r="C887" s="315" t="s">
        <v>148</v>
      </c>
      <c r="D887" s="143">
        <v>259.85000000000002</v>
      </c>
      <c r="E887" s="144"/>
      <c r="F887" s="145"/>
      <c r="G887" s="146">
        <f t="shared" ref="G887:G889" si="130">(D887*E887)+(D887*F887)</f>
        <v>0</v>
      </c>
      <c r="I887" s="30"/>
      <c r="J887" s="41"/>
      <c r="K887" s="30"/>
    </row>
    <row r="888" spans="1:11" ht="13.5" customHeight="1" x14ac:dyDescent="0.2">
      <c r="A888" s="140"/>
      <c r="B888" s="314" t="s">
        <v>118</v>
      </c>
      <c r="C888" s="315" t="s">
        <v>148</v>
      </c>
      <c r="D888" s="143">
        <v>408.8</v>
      </c>
      <c r="E888" s="144"/>
      <c r="F888" s="145"/>
      <c r="G888" s="146">
        <f t="shared" si="130"/>
        <v>0</v>
      </c>
      <c r="I888" s="30"/>
      <c r="J888" s="30">
        <v>143.19999999999999</v>
      </c>
      <c r="K888" s="30"/>
    </row>
    <row r="889" spans="1:11" ht="13.5" x14ac:dyDescent="0.2">
      <c r="A889" s="140"/>
      <c r="B889" s="314" t="s">
        <v>119</v>
      </c>
      <c r="C889" s="315" t="s">
        <v>148</v>
      </c>
      <c r="D889" s="143">
        <v>228.25</v>
      </c>
      <c r="E889" s="144"/>
      <c r="F889" s="145"/>
      <c r="G889" s="146">
        <f t="shared" si="130"/>
        <v>0</v>
      </c>
      <c r="I889" s="48" t="e">
        <f>D625+#REF!+D626+12.5</f>
        <v>#REF!</v>
      </c>
      <c r="J889" s="41" t="e">
        <f>#REF!</f>
        <v>#REF!</v>
      </c>
      <c r="K889" s="30"/>
    </row>
    <row r="890" spans="1:11" x14ac:dyDescent="0.2">
      <c r="A890" s="140"/>
      <c r="B890" s="314"/>
      <c r="C890" s="315"/>
      <c r="D890" s="143"/>
      <c r="E890" s="144"/>
      <c r="F890" s="145"/>
      <c r="G890" s="146"/>
      <c r="I890" s="48"/>
      <c r="J890" s="41"/>
      <c r="K890" s="59"/>
    </row>
    <row r="891" spans="1:11" x14ac:dyDescent="0.2">
      <c r="A891" s="293" t="s">
        <v>55</v>
      </c>
      <c r="B891" s="294" t="s">
        <v>454</v>
      </c>
      <c r="C891" s="295"/>
      <c r="D891" s="296"/>
      <c r="E891" s="258"/>
      <c r="F891" s="182"/>
      <c r="G891" s="183"/>
      <c r="I891" s="48"/>
      <c r="J891" s="41"/>
      <c r="K891" s="59"/>
    </row>
    <row r="892" spans="1:11" ht="24" x14ac:dyDescent="0.2">
      <c r="A892" s="140"/>
      <c r="B892" s="314" t="s">
        <v>117</v>
      </c>
      <c r="C892" s="315" t="s">
        <v>148</v>
      </c>
      <c r="D892" s="143">
        <v>259.85000000000002</v>
      </c>
      <c r="E892" s="144"/>
      <c r="F892" s="145"/>
      <c r="G892" s="146">
        <f t="shared" ref="G892:G894" si="131">(D892*E892)+(D892*F892)</f>
        <v>0</v>
      </c>
      <c r="I892" s="48"/>
      <c r="J892" s="41"/>
      <c r="K892" s="59"/>
    </row>
    <row r="893" spans="1:11" ht="13.5" x14ac:dyDescent="0.2">
      <c r="A893" s="140"/>
      <c r="B893" s="314" t="s">
        <v>118</v>
      </c>
      <c r="C893" s="315" t="s">
        <v>148</v>
      </c>
      <c r="D893" s="143">
        <v>408.8</v>
      </c>
      <c r="E893" s="144"/>
      <c r="F893" s="145"/>
      <c r="G893" s="146">
        <f t="shared" si="131"/>
        <v>0</v>
      </c>
      <c r="I893" s="48"/>
      <c r="J893" s="41"/>
      <c r="K893" s="59"/>
    </row>
    <row r="894" spans="1:11" ht="13.5" x14ac:dyDescent="0.2">
      <c r="A894" s="140"/>
      <c r="B894" s="314" t="s">
        <v>119</v>
      </c>
      <c r="C894" s="315" t="s">
        <v>148</v>
      </c>
      <c r="D894" s="143">
        <v>228.25</v>
      </c>
      <c r="E894" s="144"/>
      <c r="F894" s="145"/>
      <c r="G894" s="146">
        <f t="shared" si="131"/>
        <v>0</v>
      </c>
      <c r="I894" s="48"/>
      <c r="J894" s="41"/>
      <c r="K894" s="59"/>
    </row>
    <row r="895" spans="1:11" x14ac:dyDescent="0.2">
      <c r="A895" s="140"/>
      <c r="B895" s="314"/>
      <c r="C895" s="315"/>
      <c r="D895" s="143"/>
      <c r="E895" s="144"/>
      <c r="F895" s="145"/>
      <c r="G895" s="146"/>
      <c r="I895" s="48"/>
      <c r="J895" s="41"/>
      <c r="K895" s="59"/>
    </row>
    <row r="896" spans="1:11" x14ac:dyDescent="0.2">
      <c r="A896" s="293" t="s">
        <v>158</v>
      </c>
      <c r="B896" s="294" t="s">
        <v>456</v>
      </c>
      <c r="C896" s="295"/>
      <c r="D896" s="296"/>
      <c r="E896" s="258"/>
      <c r="F896" s="182"/>
      <c r="G896" s="183"/>
      <c r="I896" s="48"/>
      <c r="J896" s="41"/>
      <c r="K896" s="59"/>
    </row>
    <row r="897" spans="1:11" ht="24" x14ac:dyDescent="0.2">
      <c r="A897" s="140"/>
      <c r="B897" s="314" t="s">
        <v>117</v>
      </c>
      <c r="C897" s="315" t="s">
        <v>148</v>
      </c>
      <c r="D897" s="143">
        <v>259.85000000000002</v>
      </c>
      <c r="E897" s="144"/>
      <c r="F897" s="145"/>
      <c r="G897" s="146">
        <f t="shared" ref="G897:G899" si="132">(D897*E897)+(D897*F897)</f>
        <v>0</v>
      </c>
      <c r="I897" s="48"/>
      <c r="J897" s="41"/>
      <c r="K897" s="59"/>
    </row>
    <row r="898" spans="1:11" ht="13.5" x14ac:dyDescent="0.2">
      <c r="A898" s="140"/>
      <c r="B898" s="314" t="s">
        <v>118</v>
      </c>
      <c r="C898" s="315" t="s">
        <v>148</v>
      </c>
      <c r="D898" s="143">
        <v>428.95</v>
      </c>
      <c r="E898" s="144"/>
      <c r="F898" s="145"/>
      <c r="G898" s="146">
        <f t="shared" si="132"/>
        <v>0</v>
      </c>
      <c r="I898" s="48"/>
      <c r="J898" s="41"/>
      <c r="K898" s="59"/>
    </row>
    <row r="899" spans="1:11" ht="13.5" x14ac:dyDescent="0.2">
      <c r="A899" s="140"/>
      <c r="B899" s="314" t="s">
        <v>119</v>
      </c>
      <c r="C899" s="315" t="s">
        <v>148</v>
      </c>
      <c r="D899" s="143">
        <f>D642+D838</f>
        <v>111.35</v>
      </c>
      <c r="E899" s="144"/>
      <c r="F899" s="145"/>
      <c r="G899" s="146">
        <f t="shared" si="132"/>
        <v>0</v>
      </c>
      <c r="I899" s="48"/>
      <c r="J899" s="41"/>
      <c r="K899" s="59"/>
    </row>
    <row r="900" spans="1:11" x14ac:dyDescent="0.2">
      <c r="A900" s="140"/>
      <c r="B900" s="314"/>
      <c r="C900" s="315"/>
      <c r="D900" s="143"/>
      <c r="E900" s="144"/>
      <c r="F900" s="145"/>
      <c r="G900" s="146"/>
      <c r="I900" s="48"/>
      <c r="J900" s="41"/>
      <c r="K900" s="59"/>
    </row>
    <row r="901" spans="1:11" x14ac:dyDescent="0.2">
      <c r="A901" s="293" t="s">
        <v>55</v>
      </c>
      <c r="B901" s="294" t="s">
        <v>281</v>
      </c>
      <c r="C901" s="295"/>
      <c r="D901" s="296"/>
      <c r="E901" s="258"/>
      <c r="F901" s="182"/>
      <c r="G901" s="183"/>
      <c r="J901" s="30"/>
    </row>
    <row r="902" spans="1:11" ht="24" x14ac:dyDescent="0.2">
      <c r="A902" s="140"/>
      <c r="B902" s="314" t="s">
        <v>117</v>
      </c>
      <c r="C902" s="315" t="s">
        <v>148</v>
      </c>
      <c r="D902" s="143">
        <f>D597</f>
        <v>24.6</v>
      </c>
      <c r="E902" s="144"/>
      <c r="F902" s="145"/>
      <c r="G902" s="146">
        <f t="shared" ref="G902:G904" si="133">(D902*E902)+(D902*F902)</f>
        <v>0</v>
      </c>
      <c r="J902" s="30"/>
    </row>
    <row r="903" spans="1:11" ht="13.5" x14ac:dyDescent="0.2">
      <c r="A903" s="140"/>
      <c r="B903" s="314" t="s">
        <v>118</v>
      </c>
      <c r="C903" s="315" t="s">
        <v>148</v>
      </c>
      <c r="D903" s="143">
        <f>D599</f>
        <v>24.6</v>
      </c>
      <c r="E903" s="144"/>
      <c r="F903" s="145"/>
      <c r="G903" s="146">
        <f t="shared" si="133"/>
        <v>0</v>
      </c>
      <c r="J903" s="30"/>
    </row>
    <row r="904" spans="1:11" ht="13.5" x14ac:dyDescent="0.2">
      <c r="A904" s="140"/>
      <c r="B904" s="314" t="s">
        <v>322</v>
      </c>
      <c r="C904" s="315" t="s">
        <v>148</v>
      </c>
      <c r="D904" s="143">
        <f>D839</f>
        <v>25</v>
      </c>
      <c r="E904" s="144"/>
      <c r="F904" s="145"/>
      <c r="G904" s="146">
        <f t="shared" si="133"/>
        <v>0</v>
      </c>
      <c r="J904" s="30"/>
    </row>
    <row r="905" spans="1:11" x14ac:dyDescent="0.2">
      <c r="A905" s="140"/>
      <c r="B905" s="314"/>
      <c r="C905" s="315"/>
      <c r="D905" s="143"/>
      <c r="E905" s="144"/>
      <c r="F905" s="145"/>
      <c r="G905" s="146"/>
      <c r="J905" s="59"/>
    </row>
    <row r="906" spans="1:11" x14ac:dyDescent="0.2">
      <c r="A906" s="140"/>
      <c r="B906" s="314"/>
      <c r="C906" s="315"/>
      <c r="D906" s="143"/>
      <c r="E906" s="144"/>
      <c r="F906" s="145"/>
      <c r="G906" s="146"/>
      <c r="J906" s="59"/>
    </row>
    <row r="907" spans="1:11" x14ac:dyDescent="0.2">
      <c r="A907" s="140"/>
      <c r="B907" s="314"/>
      <c r="C907" s="315"/>
      <c r="D907" s="143"/>
      <c r="E907" s="144"/>
      <c r="F907" s="145"/>
      <c r="G907" s="146"/>
      <c r="J907" s="59"/>
    </row>
    <row r="908" spans="1:11" x14ac:dyDescent="0.2">
      <c r="A908" s="140"/>
      <c r="B908" s="314"/>
      <c r="C908" s="315"/>
      <c r="D908" s="143"/>
      <c r="E908" s="144"/>
      <c r="F908" s="145"/>
      <c r="G908" s="146"/>
      <c r="J908" s="59"/>
    </row>
    <row r="909" spans="1:11" x14ac:dyDescent="0.2">
      <c r="A909" s="140"/>
      <c r="B909" s="314"/>
      <c r="C909" s="315"/>
      <c r="D909" s="143"/>
      <c r="E909" s="144"/>
      <c r="F909" s="145"/>
      <c r="G909" s="146"/>
      <c r="J909" s="59"/>
    </row>
    <row r="910" spans="1:11" x14ac:dyDescent="0.2">
      <c r="A910" s="140"/>
      <c r="B910" s="314"/>
      <c r="C910" s="315"/>
      <c r="D910" s="143"/>
      <c r="E910" s="144"/>
      <c r="F910" s="145"/>
      <c r="G910" s="146"/>
      <c r="J910" s="59"/>
    </row>
    <row r="911" spans="1:11" x14ac:dyDescent="0.2">
      <c r="A911" s="140"/>
      <c r="B911" s="314"/>
      <c r="C911" s="315"/>
      <c r="D911" s="143"/>
      <c r="E911" s="144"/>
      <c r="F911" s="145"/>
      <c r="G911" s="146"/>
      <c r="J911" s="59"/>
    </row>
    <row r="912" spans="1:11" x14ac:dyDescent="0.2">
      <c r="A912" s="140"/>
      <c r="B912" s="314"/>
      <c r="C912" s="315"/>
      <c r="D912" s="143"/>
      <c r="E912" s="144"/>
      <c r="F912" s="145"/>
      <c r="G912" s="146"/>
      <c r="J912" s="59"/>
    </row>
    <row r="913" spans="1:10" x14ac:dyDescent="0.2">
      <c r="A913" s="140"/>
      <c r="B913" s="314"/>
      <c r="C913" s="315"/>
      <c r="D913" s="143"/>
      <c r="E913" s="144"/>
      <c r="F913" s="145"/>
      <c r="G913" s="146"/>
      <c r="J913" s="59"/>
    </row>
    <row r="914" spans="1:10" x14ac:dyDescent="0.2">
      <c r="A914" s="140"/>
      <c r="B914" s="314"/>
      <c r="C914" s="315"/>
      <c r="D914" s="143"/>
      <c r="E914" s="144"/>
      <c r="F914" s="145"/>
      <c r="G914" s="146"/>
      <c r="J914" s="59"/>
    </row>
    <row r="915" spans="1:10" ht="12.75" thickBot="1" x14ac:dyDescent="0.25">
      <c r="A915" s="140"/>
      <c r="B915" s="314"/>
      <c r="C915" s="315"/>
      <c r="D915" s="143"/>
      <c r="E915" s="144"/>
      <c r="F915" s="145"/>
      <c r="G915" s="146"/>
      <c r="J915" s="59"/>
    </row>
    <row r="916" spans="1:10" x14ac:dyDescent="0.2">
      <c r="A916" s="117"/>
      <c r="B916" s="118" t="s">
        <v>203</v>
      </c>
      <c r="C916" s="130"/>
      <c r="D916" s="120"/>
      <c r="E916" s="121"/>
      <c r="F916" s="224"/>
      <c r="G916" s="172"/>
    </row>
    <row r="917" spans="1:10" ht="12.75" thickBot="1" x14ac:dyDescent="0.25">
      <c r="A917" s="123"/>
      <c r="B917" s="106" t="s">
        <v>114</v>
      </c>
      <c r="C917" s="131"/>
      <c r="D917" s="125"/>
      <c r="E917" s="126"/>
      <c r="F917" s="225"/>
      <c r="G917" s="173">
        <f>SUM(G882:G889)</f>
        <v>0</v>
      </c>
    </row>
    <row r="918" spans="1:10" x14ac:dyDescent="0.2">
      <c r="A918" s="268"/>
      <c r="B918" s="557"/>
      <c r="C918" s="130"/>
      <c r="D918" s="120"/>
      <c r="E918" s="121"/>
      <c r="F918" s="224"/>
      <c r="G918" s="597"/>
    </row>
    <row r="919" spans="1:10" x14ac:dyDescent="0.2">
      <c r="A919" s="140"/>
      <c r="B919" s="567" t="s">
        <v>115</v>
      </c>
      <c r="C919" s="66"/>
      <c r="D919" s="57"/>
      <c r="E919" s="64"/>
      <c r="F919" s="547"/>
      <c r="G919" s="146"/>
    </row>
    <row r="920" spans="1:10" x14ac:dyDescent="0.2">
      <c r="A920" s="140"/>
      <c r="B920" s="546" t="s">
        <v>92</v>
      </c>
      <c r="C920" s="66"/>
      <c r="D920" s="57"/>
      <c r="E920" s="64"/>
      <c r="F920" s="547"/>
      <c r="G920" s="146"/>
    </row>
    <row r="921" spans="1:10" x14ac:dyDescent="0.2">
      <c r="A921" s="297" t="s">
        <v>116</v>
      </c>
      <c r="B921" s="548" t="s">
        <v>40</v>
      </c>
      <c r="C921" s="66"/>
      <c r="D921" s="57"/>
      <c r="E921" s="64"/>
      <c r="F921" s="547"/>
      <c r="G921" s="146"/>
    </row>
    <row r="922" spans="1:10" s="35" customFormat="1" ht="29.25" customHeight="1" x14ac:dyDescent="0.25">
      <c r="A922" s="543"/>
      <c r="B922" s="613" t="s">
        <v>145</v>
      </c>
      <c r="C922" s="614"/>
      <c r="D922" s="614"/>
      <c r="E922" s="614"/>
      <c r="F922" s="615"/>
      <c r="G922" s="598"/>
    </row>
    <row r="923" spans="1:10" x14ac:dyDescent="0.2">
      <c r="A923" s="316" t="s">
        <v>179</v>
      </c>
      <c r="B923" s="317" t="s">
        <v>123</v>
      </c>
      <c r="C923" s="318"/>
      <c r="D923" s="319"/>
      <c r="E923" s="320"/>
      <c r="F923" s="319"/>
      <c r="G923" s="321"/>
    </row>
    <row r="924" spans="1:10" x14ac:dyDescent="0.2">
      <c r="A924" s="293" t="s">
        <v>156</v>
      </c>
      <c r="B924" s="322" t="s">
        <v>64</v>
      </c>
      <c r="C924" s="323"/>
      <c r="D924" s="296"/>
      <c r="E924" s="258"/>
      <c r="F924" s="296"/>
      <c r="G924" s="324"/>
    </row>
    <row r="925" spans="1:10" x14ac:dyDescent="0.2">
      <c r="A925" s="325" t="s">
        <v>171</v>
      </c>
      <c r="B925" s="326" t="s">
        <v>275</v>
      </c>
      <c r="C925" s="327" t="s">
        <v>109</v>
      </c>
      <c r="D925" s="328"/>
      <c r="E925" s="329"/>
      <c r="F925" s="156"/>
      <c r="G925" s="157"/>
    </row>
    <row r="926" spans="1:10" ht="39.75" customHeight="1" x14ac:dyDescent="0.2">
      <c r="A926" s="297" t="s">
        <v>194</v>
      </c>
      <c r="B926" s="289" t="s">
        <v>487</v>
      </c>
      <c r="C926" s="290" t="s">
        <v>124</v>
      </c>
      <c r="D926" s="143">
        <v>7.4</v>
      </c>
      <c r="E926" s="144"/>
      <c r="F926" s="145"/>
      <c r="G926" s="146">
        <f>(D926*E926)+(D926*F926)</f>
        <v>0</v>
      </c>
    </row>
    <row r="927" spans="1:10" ht="36" customHeight="1" x14ac:dyDescent="0.2">
      <c r="A927" s="297" t="s">
        <v>195</v>
      </c>
      <c r="B927" s="289" t="s">
        <v>356</v>
      </c>
      <c r="C927" s="290" t="s">
        <v>124</v>
      </c>
      <c r="D927" s="143">
        <v>6</v>
      </c>
      <c r="E927" s="144"/>
      <c r="F927" s="145"/>
      <c r="G927" s="146">
        <f>(D927*E927)+(D927*F927)</f>
        <v>0</v>
      </c>
      <c r="I927" s="22">
        <f>3.6*4</f>
        <v>14.4</v>
      </c>
    </row>
    <row r="928" spans="1:10" ht="12" customHeight="1" x14ac:dyDescent="0.2">
      <c r="A928" s="297"/>
      <c r="B928" s="289"/>
      <c r="C928" s="290"/>
      <c r="D928" s="143"/>
      <c r="E928" s="144"/>
      <c r="F928" s="145"/>
      <c r="G928" s="146"/>
    </row>
    <row r="929" spans="1:9" x14ac:dyDescent="0.2">
      <c r="A929" s="293" t="s">
        <v>157</v>
      </c>
      <c r="B929" s="322" t="s">
        <v>66</v>
      </c>
      <c r="C929" s="323"/>
      <c r="D929" s="296"/>
      <c r="E929" s="258"/>
      <c r="F929" s="296"/>
      <c r="G929" s="324"/>
    </row>
    <row r="930" spans="1:9" x14ac:dyDescent="0.2">
      <c r="A930" s="325" t="s">
        <v>171</v>
      </c>
      <c r="B930" s="326" t="s">
        <v>275</v>
      </c>
      <c r="C930" s="327" t="s">
        <v>109</v>
      </c>
      <c r="D930" s="328"/>
      <c r="E930" s="329"/>
      <c r="F930" s="156"/>
      <c r="G930" s="157"/>
    </row>
    <row r="931" spans="1:9" ht="36" x14ac:dyDescent="0.2">
      <c r="A931" s="297" t="s">
        <v>194</v>
      </c>
      <c r="B931" s="289" t="s">
        <v>487</v>
      </c>
      <c r="C931" s="290" t="s">
        <v>124</v>
      </c>
      <c r="D931" s="143">
        <v>7.4</v>
      </c>
      <c r="E931" s="144"/>
      <c r="F931" s="145"/>
      <c r="G931" s="146">
        <f>(D931*E931)+(D931*F931)</f>
        <v>0</v>
      </c>
    </row>
    <row r="932" spans="1:9" ht="36" x14ac:dyDescent="0.2">
      <c r="A932" s="297" t="s">
        <v>195</v>
      </c>
      <c r="B932" s="289" t="s">
        <v>356</v>
      </c>
      <c r="C932" s="290" t="s">
        <v>124</v>
      </c>
      <c r="D932" s="143">
        <v>6</v>
      </c>
      <c r="E932" s="144"/>
      <c r="F932" s="145"/>
      <c r="G932" s="146">
        <f>(D932*E932)+(D932*F932)</f>
        <v>0</v>
      </c>
      <c r="I932" s="22">
        <f>3.6*4</f>
        <v>14.4</v>
      </c>
    </row>
    <row r="933" spans="1:9" ht="11.25" customHeight="1" x14ac:dyDescent="0.2">
      <c r="A933" s="325" t="s">
        <v>172</v>
      </c>
      <c r="B933" s="326" t="s">
        <v>321</v>
      </c>
      <c r="C933" s="327" t="s">
        <v>109</v>
      </c>
      <c r="D933" s="328"/>
      <c r="E933" s="329"/>
      <c r="F933" s="156"/>
      <c r="G933" s="157"/>
    </row>
    <row r="934" spans="1:9" ht="25.5" customHeight="1" x14ac:dyDescent="0.2">
      <c r="A934" s="297"/>
      <c r="B934" s="289" t="s">
        <v>506</v>
      </c>
      <c r="C934" s="290" t="s">
        <v>124</v>
      </c>
      <c r="D934" s="143">
        <v>13.3</v>
      </c>
      <c r="E934" s="144"/>
      <c r="F934" s="145"/>
      <c r="G934" s="146">
        <f>(D934*E934)+(D934*F934)</f>
        <v>0</v>
      </c>
      <c r="I934" s="22">
        <f>7.55+1.8+1.95+2</f>
        <v>13.299999999999999</v>
      </c>
    </row>
    <row r="935" spans="1:9" ht="12" customHeight="1" x14ac:dyDescent="0.2">
      <c r="A935" s="297"/>
      <c r="B935" s="289"/>
      <c r="C935" s="290"/>
      <c r="D935" s="143"/>
      <c r="E935" s="144"/>
      <c r="F935" s="145"/>
      <c r="G935" s="146"/>
    </row>
    <row r="936" spans="1:9" ht="12.75" customHeight="1" x14ac:dyDescent="0.2">
      <c r="A936" s="293" t="s">
        <v>55</v>
      </c>
      <c r="B936" s="322" t="s">
        <v>454</v>
      </c>
      <c r="C936" s="323"/>
      <c r="D936" s="296"/>
      <c r="E936" s="258"/>
      <c r="F936" s="296"/>
      <c r="G936" s="324"/>
    </row>
    <row r="937" spans="1:9" ht="15.75" customHeight="1" x14ac:dyDescent="0.2">
      <c r="A937" s="325" t="s">
        <v>171</v>
      </c>
      <c r="B937" s="326" t="s">
        <v>275</v>
      </c>
      <c r="C937" s="327" t="s">
        <v>109</v>
      </c>
      <c r="D937" s="328"/>
      <c r="E937" s="329"/>
      <c r="F937" s="156"/>
      <c r="G937" s="157"/>
    </row>
    <row r="938" spans="1:9" ht="41.25" customHeight="1" x14ac:dyDescent="0.2">
      <c r="A938" s="297" t="s">
        <v>194</v>
      </c>
      <c r="B938" s="289" t="s">
        <v>487</v>
      </c>
      <c r="C938" s="290" t="s">
        <v>124</v>
      </c>
      <c r="D938" s="143">
        <v>7.4</v>
      </c>
      <c r="E938" s="144"/>
      <c r="F938" s="145"/>
      <c r="G938" s="146">
        <f>(D938*E938)+(D938*F938)</f>
        <v>0</v>
      </c>
    </row>
    <row r="939" spans="1:9" ht="34.5" customHeight="1" x14ac:dyDescent="0.2">
      <c r="A939" s="297" t="s">
        <v>195</v>
      </c>
      <c r="B939" s="289" t="s">
        <v>356</v>
      </c>
      <c r="C939" s="290" t="s">
        <v>124</v>
      </c>
      <c r="D939" s="143">
        <v>6</v>
      </c>
      <c r="E939" s="144"/>
      <c r="F939" s="145"/>
      <c r="G939" s="146">
        <f>(D939*E939)+(D939*F939)</f>
        <v>0</v>
      </c>
      <c r="I939" s="22">
        <f>3.6*4</f>
        <v>14.4</v>
      </c>
    </row>
    <row r="940" spans="1:9" ht="12" customHeight="1" x14ac:dyDescent="0.2">
      <c r="A940" s="325" t="s">
        <v>172</v>
      </c>
      <c r="B940" s="326" t="s">
        <v>321</v>
      </c>
      <c r="C940" s="327" t="s">
        <v>109</v>
      </c>
      <c r="D940" s="328"/>
      <c r="E940" s="329"/>
      <c r="F940" s="156"/>
      <c r="G940" s="157"/>
    </row>
    <row r="941" spans="1:9" ht="25.5" customHeight="1" x14ac:dyDescent="0.2">
      <c r="A941" s="297"/>
      <c r="B941" s="289" t="s">
        <v>506</v>
      </c>
      <c r="C941" s="290" t="s">
        <v>124</v>
      </c>
      <c r="D941" s="143">
        <v>13.3</v>
      </c>
      <c r="E941" s="144"/>
      <c r="F941" s="145"/>
      <c r="G941" s="146">
        <f>(D941*E941)+(D941*F941)</f>
        <v>0</v>
      </c>
      <c r="I941" s="22">
        <f>7.55+1.8+1.95+2</f>
        <v>13.299999999999999</v>
      </c>
    </row>
    <row r="942" spans="1:9" ht="12" customHeight="1" x14ac:dyDescent="0.2">
      <c r="A942" s="297"/>
      <c r="B942" s="289"/>
      <c r="C942" s="290"/>
      <c r="D942" s="143"/>
      <c r="E942" s="144"/>
      <c r="F942" s="145"/>
      <c r="G942" s="146"/>
    </row>
    <row r="943" spans="1:9" ht="12" customHeight="1" x14ac:dyDescent="0.2">
      <c r="A943" s="293" t="s">
        <v>158</v>
      </c>
      <c r="B943" s="322" t="s">
        <v>456</v>
      </c>
      <c r="C943" s="323"/>
      <c r="D943" s="296"/>
      <c r="E943" s="258"/>
      <c r="F943" s="296"/>
      <c r="G943" s="324"/>
    </row>
    <row r="944" spans="1:9" ht="12" customHeight="1" x14ac:dyDescent="0.2">
      <c r="A944" s="325" t="s">
        <v>171</v>
      </c>
      <c r="B944" s="326" t="s">
        <v>321</v>
      </c>
      <c r="C944" s="327" t="s">
        <v>109</v>
      </c>
      <c r="D944" s="328"/>
      <c r="E944" s="329"/>
      <c r="F944" s="156"/>
      <c r="G944" s="157"/>
    </row>
    <row r="945" spans="1:7" ht="29.25" customHeight="1" x14ac:dyDescent="0.2">
      <c r="A945" s="297"/>
      <c r="B945" s="289" t="s">
        <v>506</v>
      </c>
      <c r="C945" s="290" t="s">
        <v>124</v>
      </c>
      <c r="D945" s="143">
        <v>13.3</v>
      </c>
      <c r="E945" s="144"/>
      <c r="F945" s="145"/>
      <c r="G945" s="146">
        <f>(D945*E945)+(D945*F945)</f>
        <v>0</v>
      </c>
    </row>
    <row r="946" spans="1:7" ht="12" customHeight="1" x14ac:dyDescent="0.2">
      <c r="A946" s="297"/>
      <c r="B946" s="289"/>
      <c r="C946" s="290"/>
      <c r="D946" s="143"/>
      <c r="E946" s="144"/>
      <c r="F946" s="145"/>
      <c r="G946" s="146"/>
    </row>
    <row r="947" spans="1:7" ht="12" customHeight="1" x14ac:dyDescent="0.2">
      <c r="A947" s="297"/>
      <c r="B947" s="289"/>
      <c r="C947" s="290"/>
      <c r="D947" s="143"/>
      <c r="E947" s="144"/>
      <c r="F947" s="145"/>
      <c r="G947" s="146"/>
    </row>
    <row r="948" spans="1:7" ht="12" customHeight="1" x14ac:dyDescent="0.2">
      <c r="A948" s="297"/>
      <c r="B948" s="289"/>
      <c r="C948" s="290"/>
      <c r="D948" s="143"/>
      <c r="E948" s="144"/>
      <c r="F948" s="145"/>
      <c r="G948" s="146"/>
    </row>
    <row r="949" spans="1:7" ht="12" customHeight="1" x14ac:dyDescent="0.2">
      <c r="A949" s="297"/>
      <c r="B949" s="289"/>
      <c r="C949" s="290"/>
      <c r="D949" s="143"/>
      <c r="E949" s="144"/>
      <c r="F949" s="145"/>
      <c r="G949" s="146"/>
    </row>
    <row r="950" spans="1:7" ht="12" customHeight="1" x14ac:dyDescent="0.2">
      <c r="A950" s="297"/>
      <c r="B950" s="289"/>
      <c r="C950" s="290"/>
      <c r="D950" s="143"/>
      <c r="E950" s="144"/>
      <c r="F950" s="145"/>
      <c r="G950" s="146"/>
    </row>
    <row r="951" spans="1:7" ht="12" customHeight="1" x14ac:dyDescent="0.2">
      <c r="A951" s="297"/>
      <c r="B951" s="289"/>
      <c r="C951" s="290"/>
      <c r="D951" s="143"/>
      <c r="E951" s="144"/>
      <c r="F951" s="145"/>
      <c r="G951" s="146"/>
    </row>
    <row r="952" spans="1:7" ht="12" customHeight="1" x14ac:dyDescent="0.2">
      <c r="A952" s="297"/>
      <c r="B952" s="289"/>
      <c r="C952" s="290"/>
      <c r="D952" s="143"/>
      <c r="E952" s="144"/>
      <c r="F952" s="145"/>
      <c r="G952" s="146"/>
    </row>
    <row r="953" spans="1:7" ht="12" customHeight="1" x14ac:dyDescent="0.2">
      <c r="A953" s="297"/>
      <c r="B953" s="289"/>
      <c r="C953" s="290"/>
      <c r="D953" s="143"/>
      <c r="E953" s="144"/>
      <c r="F953" s="145"/>
      <c r="G953" s="146"/>
    </row>
    <row r="954" spans="1:7" ht="12" customHeight="1" x14ac:dyDescent="0.2">
      <c r="A954" s="297"/>
      <c r="B954" s="289"/>
      <c r="C954" s="290"/>
      <c r="D954" s="143"/>
      <c r="E954" s="144"/>
      <c r="F954" s="145"/>
      <c r="G954" s="146"/>
    </row>
    <row r="955" spans="1:7" ht="12" customHeight="1" x14ac:dyDescent="0.2">
      <c r="A955" s="297"/>
      <c r="B955" s="289"/>
      <c r="C955" s="290"/>
      <c r="D955" s="143"/>
      <c r="E955" s="144"/>
      <c r="F955" s="145"/>
      <c r="G955" s="146"/>
    </row>
    <row r="956" spans="1:7" ht="12" customHeight="1" x14ac:dyDescent="0.2">
      <c r="A956" s="297"/>
      <c r="B956" s="289"/>
      <c r="C956" s="290"/>
      <c r="D956" s="143"/>
      <c r="E956" s="144"/>
      <c r="F956" s="145"/>
      <c r="G956" s="146"/>
    </row>
    <row r="957" spans="1:7" ht="12" customHeight="1" x14ac:dyDescent="0.2">
      <c r="A957" s="297"/>
      <c r="B957" s="289"/>
      <c r="C957" s="290"/>
      <c r="D957" s="143"/>
      <c r="E957" s="144"/>
      <c r="F957" s="145"/>
      <c r="G957" s="146"/>
    </row>
    <row r="958" spans="1:7" ht="12" customHeight="1" thickBot="1" x14ac:dyDescent="0.25">
      <c r="A958" s="599"/>
      <c r="B958" s="364"/>
      <c r="C958" s="594"/>
      <c r="D958" s="276"/>
      <c r="E958" s="160"/>
      <c r="F958" s="161"/>
      <c r="G958" s="162"/>
    </row>
    <row r="959" spans="1:7" ht="12" customHeight="1" x14ac:dyDescent="0.2">
      <c r="A959" s="297"/>
      <c r="B959" s="289"/>
      <c r="C959" s="290"/>
      <c r="D959" s="143"/>
      <c r="E959" s="144"/>
      <c r="F959" s="145"/>
      <c r="G959" s="146"/>
    </row>
    <row r="960" spans="1:7" x14ac:dyDescent="0.2">
      <c r="A960" s="213" t="s">
        <v>179</v>
      </c>
      <c r="B960" s="330" t="s">
        <v>324</v>
      </c>
      <c r="C960" s="215"/>
      <c r="D960" s="216"/>
      <c r="E960" s="217"/>
      <c r="F960" s="216"/>
      <c r="G960" s="218"/>
    </row>
    <row r="961" spans="1:10" ht="48" customHeight="1" x14ac:dyDescent="0.2">
      <c r="A961" s="140" t="s">
        <v>171</v>
      </c>
      <c r="B961" s="289" t="s">
        <v>497</v>
      </c>
      <c r="C961" s="290"/>
      <c r="D961" s="143"/>
      <c r="E961" s="144"/>
      <c r="F961" s="145"/>
      <c r="G961" s="146">
        <f t="shared" ref="G961:G964" si="134">(D961*E961)+(D961*F961)</f>
        <v>0</v>
      </c>
    </row>
    <row r="962" spans="1:10" x14ac:dyDescent="0.2">
      <c r="A962" s="297"/>
      <c r="B962" s="289" t="s">
        <v>323</v>
      </c>
      <c r="C962" s="290" t="s">
        <v>109</v>
      </c>
      <c r="D962" s="143">
        <v>12</v>
      </c>
      <c r="E962" s="144"/>
      <c r="F962" s="145"/>
      <c r="G962" s="146">
        <f t="shared" si="134"/>
        <v>0</v>
      </c>
    </row>
    <row r="963" spans="1:10" ht="36" x14ac:dyDescent="0.2">
      <c r="A963" s="140" t="s">
        <v>172</v>
      </c>
      <c r="B963" s="289" t="s">
        <v>342</v>
      </c>
      <c r="C963" s="290" t="s">
        <v>325</v>
      </c>
      <c r="D963" s="143">
        <v>16.100000000000001</v>
      </c>
      <c r="E963" s="144"/>
      <c r="F963" s="145"/>
      <c r="G963" s="146">
        <f t="shared" si="134"/>
        <v>0</v>
      </c>
    </row>
    <row r="964" spans="1:10" ht="24" x14ac:dyDescent="0.2">
      <c r="A964" s="140" t="s">
        <v>326</v>
      </c>
      <c r="B964" s="289" t="s">
        <v>334</v>
      </c>
      <c r="C964" s="290" t="s">
        <v>325</v>
      </c>
      <c r="D964" s="143">
        <v>270.5</v>
      </c>
      <c r="E964" s="144"/>
      <c r="F964" s="145"/>
      <c r="G964" s="146">
        <f t="shared" si="134"/>
        <v>0</v>
      </c>
      <c r="I964" s="22">
        <f>16.1*8*2</f>
        <v>257.60000000000002</v>
      </c>
      <c r="J964" s="22">
        <f>I964*105%</f>
        <v>270.48</v>
      </c>
    </row>
    <row r="965" spans="1:10" ht="24" x14ac:dyDescent="0.2">
      <c r="A965" s="140" t="s">
        <v>327</v>
      </c>
      <c r="B965" s="289" t="s">
        <v>333</v>
      </c>
      <c r="C965" s="315" t="s">
        <v>148</v>
      </c>
      <c r="D965" s="143">
        <v>206.9</v>
      </c>
      <c r="E965" s="144"/>
      <c r="F965" s="145"/>
      <c r="G965" s="146">
        <f t="shared" ref="G965" si="135">(D965*E965)+(D965*F965)</f>
        <v>0</v>
      </c>
      <c r="I965" s="22">
        <f>16.1*12.85</f>
        <v>206.88500000000002</v>
      </c>
    </row>
    <row r="966" spans="1:10" ht="24" x14ac:dyDescent="0.2">
      <c r="A966" s="140" t="s">
        <v>329</v>
      </c>
      <c r="B966" s="289" t="s">
        <v>328</v>
      </c>
      <c r="C966" s="315" t="s">
        <v>148</v>
      </c>
      <c r="D966" s="143">
        <f>D965</f>
        <v>206.9</v>
      </c>
      <c r="E966" s="144"/>
      <c r="F966" s="145"/>
      <c r="G966" s="146">
        <f t="shared" ref="G966" si="136">(D966*E966)+(D966*F966)</f>
        <v>0</v>
      </c>
    </row>
    <row r="967" spans="1:10" ht="24" x14ac:dyDescent="0.2">
      <c r="A967" s="140" t="s">
        <v>330</v>
      </c>
      <c r="B967" s="289" t="s">
        <v>331</v>
      </c>
      <c r="C967" s="315" t="s">
        <v>148</v>
      </c>
      <c r="D967" s="143">
        <f>D965</f>
        <v>206.9</v>
      </c>
      <c r="E967" s="144"/>
      <c r="F967" s="145"/>
      <c r="G967" s="146">
        <f t="shared" ref="G967" si="137">(D967*E967)+(D967*F967)</f>
        <v>0</v>
      </c>
    </row>
    <row r="968" spans="1:10" ht="24" x14ac:dyDescent="0.2">
      <c r="A968" s="140" t="s">
        <v>332</v>
      </c>
      <c r="B968" s="289" t="s">
        <v>335</v>
      </c>
      <c r="C968" s="315" t="s">
        <v>336</v>
      </c>
      <c r="D968" s="143">
        <v>16.5</v>
      </c>
      <c r="E968" s="144"/>
      <c r="F968" s="145"/>
      <c r="G968" s="146">
        <f t="shared" ref="G968" si="138">(D968*E968)+(D968*F968)</f>
        <v>0</v>
      </c>
    </row>
    <row r="969" spans="1:10" ht="24" x14ac:dyDescent="0.2">
      <c r="A969" s="140" t="s">
        <v>190</v>
      </c>
      <c r="B969" s="289" t="s">
        <v>337</v>
      </c>
      <c r="C969" s="315" t="s">
        <v>336</v>
      </c>
      <c r="D969" s="143">
        <v>27</v>
      </c>
      <c r="E969" s="144"/>
      <c r="F969" s="145"/>
      <c r="G969" s="146">
        <f t="shared" ref="G969" si="139">(D969*E969)+(D969*F969)</f>
        <v>0</v>
      </c>
      <c r="I969" s="22">
        <f>6.7*4</f>
        <v>26.8</v>
      </c>
    </row>
    <row r="970" spans="1:10" ht="24" x14ac:dyDescent="0.2">
      <c r="A970" s="140" t="s">
        <v>191</v>
      </c>
      <c r="B970" s="289" t="s">
        <v>338</v>
      </c>
      <c r="C970" s="315" t="s">
        <v>336</v>
      </c>
      <c r="D970" s="143">
        <v>32.5</v>
      </c>
      <c r="E970" s="144"/>
      <c r="F970" s="145"/>
      <c r="G970" s="146">
        <f t="shared" ref="G970" si="140">(D970*E970)+(D970*F970)</f>
        <v>0</v>
      </c>
      <c r="I970" s="22">
        <f>16.1*2</f>
        <v>32.200000000000003</v>
      </c>
    </row>
    <row r="971" spans="1:10" x14ac:dyDescent="0.2">
      <c r="A971" s="140"/>
      <c r="B971" s="289"/>
      <c r="C971" s="315"/>
      <c r="D971" s="143"/>
      <c r="E971" s="144"/>
      <c r="F971" s="145"/>
      <c r="G971" s="146"/>
    </row>
    <row r="972" spans="1:10" x14ac:dyDescent="0.2">
      <c r="A972" s="140"/>
      <c r="B972" s="289"/>
      <c r="C972" s="315"/>
      <c r="D972" s="143"/>
      <c r="E972" s="144"/>
      <c r="F972" s="145"/>
      <c r="G972" s="146"/>
    </row>
    <row r="973" spans="1:10" x14ac:dyDescent="0.2">
      <c r="A973" s="140"/>
      <c r="B973" s="289"/>
      <c r="C973" s="315"/>
      <c r="D973" s="143"/>
      <c r="E973" s="144"/>
      <c r="F973" s="145"/>
      <c r="G973" s="146"/>
    </row>
    <row r="974" spans="1:10" x14ac:dyDescent="0.2">
      <c r="A974" s="140"/>
      <c r="B974" s="289"/>
      <c r="C974" s="315"/>
      <c r="D974" s="143"/>
      <c r="E974" s="144"/>
      <c r="F974" s="145"/>
      <c r="G974" s="146"/>
    </row>
    <row r="975" spans="1:10" x14ac:dyDescent="0.2">
      <c r="A975" s="140"/>
      <c r="B975" s="289"/>
      <c r="C975" s="315"/>
      <c r="D975" s="143"/>
      <c r="E975" s="144"/>
      <c r="F975" s="145"/>
      <c r="G975" s="146"/>
    </row>
    <row r="976" spans="1:10" x14ac:dyDescent="0.2">
      <c r="A976" s="140"/>
      <c r="B976" s="289"/>
      <c r="C976" s="315"/>
      <c r="D976" s="143"/>
      <c r="E976" s="144"/>
      <c r="F976" s="145"/>
      <c r="G976" s="146"/>
    </row>
    <row r="977" spans="1:7" x14ac:dyDescent="0.2">
      <c r="A977" s="140"/>
      <c r="B977" s="289"/>
      <c r="C977" s="315"/>
      <c r="D977" s="143"/>
      <c r="E977" s="144"/>
      <c r="F977" s="145"/>
      <c r="G977" s="146"/>
    </row>
    <row r="978" spans="1:7" x14ac:dyDescent="0.2">
      <c r="A978" s="140"/>
      <c r="B978" s="289"/>
      <c r="C978" s="315"/>
      <c r="D978" s="143"/>
      <c r="E978" s="144"/>
      <c r="F978" s="145"/>
      <c r="G978" s="146"/>
    </row>
    <row r="979" spans="1:7" x14ac:dyDescent="0.2">
      <c r="A979" s="140"/>
      <c r="B979" s="289"/>
      <c r="C979" s="315"/>
      <c r="D979" s="143"/>
      <c r="E979" s="144"/>
      <c r="F979" s="145"/>
      <c r="G979" s="146"/>
    </row>
    <row r="980" spans="1:7" x14ac:dyDescent="0.2">
      <c r="A980" s="140"/>
      <c r="B980" s="289"/>
      <c r="C980" s="315"/>
      <c r="D980" s="143"/>
      <c r="E980" s="144"/>
      <c r="F980" s="145"/>
      <c r="G980" s="146"/>
    </row>
    <row r="981" spans="1:7" x14ac:dyDescent="0.2">
      <c r="A981" s="140"/>
      <c r="B981" s="289"/>
      <c r="C981" s="315"/>
      <c r="D981" s="143"/>
      <c r="E981" s="144"/>
      <c r="F981" s="145"/>
      <c r="G981" s="146"/>
    </row>
    <row r="982" spans="1:7" x14ac:dyDescent="0.2">
      <c r="A982" s="140"/>
      <c r="B982" s="289"/>
      <c r="C982" s="315"/>
      <c r="D982" s="143"/>
      <c r="E982" s="144"/>
      <c r="F982" s="145"/>
      <c r="G982" s="146"/>
    </row>
    <row r="983" spans="1:7" x14ac:dyDescent="0.2">
      <c r="A983" s="140"/>
      <c r="B983" s="289"/>
      <c r="C983" s="315"/>
      <c r="D983" s="143"/>
      <c r="E983" s="144"/>
      <c r="F983" s="145"/>
      <c r="G983" s="146"/>
    </row>
    <row r="984" spans="1:7" x14ac:dyDescent="0.2">
      <c r="A984" s="140"/>
      <c r="B984" s="289"/>
      <c r="C984" s="315"/>
      <c r="D984" s="143"/>
      <c r="E984" s="144"/>
      <c r="F984" s="145"/>
      <c r="G984" s="146"/>
    </row>
    <row r="985" spans="1:7" x14ac:dyDescent="0.2">
      <c r="A985" s="140"/>
      <c r="B985" s="289"/>
      <c r="C985" s="315"/>
      <c r="D985" s="143"/>
      <c r="E985" s="144"/>
      <c r="F985" s="145"/>
      <c r="G985" s="146"/>
    </row>
    <row r="986" spans="1:7" x14ac:dyDescent="0.2">
      <c r="A986" s="140"/>
      <c r="B986" s="289"/>
      <c r="C986" s="315"/>
      <c r="D986" s="143"/>
      <c r="E986" s="144"/>
      <c r="F986" s="145"/>
      <c r="G986" s="146"/>
    </row>
    <row r="987" spans="1:7" x14ac:dyDescent="0.2">
      <c r="A987" s="140"/>
      <c r="B987" s="289"/>
      <c r="C987" s="315"/>
      <c r="D987" s="143"/>
      <c r="E987" s="144"/>
      <c r="F987" s="145"/>
      <c r="G987" s="146"/>
    </row>
    <row r="988" spans="1:7" x14ac:dyDescent="0.2">
      <c r="A988" s="140"/>
      <c r="B988" s="289"/>
      <c r="C988" s="315"/>
      <c r="D988" s="143"/>
      <c r="E988" s="144"/>
      <c r="F988" s="145"/>
      <c r="G988" s="146"/>
    </row>
    <row r="989" spans="1:7" x14ac:dyDescent="0.2">
      <c r="A989" s="140"/>
      <c r="B989" s="289"/>
      <c r="C989" s="315"/>
      <c r="D989" s="143"/>
      <c r="E989" s="144"/>
      <c r="F989" s="145"/>
      <c r="G989" s="146"/>
    </row>
    <row r="990" spans="1:7" x14ac:dyDescent="0.2">
      <c r="A990" s="140"/>
      <c r="B990" s="289"/>
      <c r="C990" s="315"/>
      <c r="D990" s="143"/>
      <c r="E990" s="144"/>
      <c r="F990" s="145"/>
      <c r="G990" s="146"/>
    </row>
    <row r="991" spans="1:7" x14ac:dyDescent="0.2">
      <c r="A991" s="140"/>
      <c r="B991" s="289"/>
      <c r="C991" s="315"/>
      <c r="D991" s="143"/>
      <c r="E991" s="144"/>
      <c r="F991" s="145"/>
      <c r="G991" s="146"/>
    </row>
    <row r="992" spans="1:7" x14ac:dyDescent="0.2">
      <c r="A992" s="140"/>
      <c r="B992" s="289"/>
      <c r="C992" s="315"/>
      <c r="D992" s="143"/>
      <c r="E992" s="144"/>
      <c r="F992" s="145"/>
      <c r="G992" s="146"/>
    </row>
    <row r="993" spans="1:7" x14ac:dyDescent="0.2">
      <c r="A993" s="140"/>
      <c r="B993" s="289"/>
      <c r="C993" s="315"/>
      <c r="D993" s="143"/>
      <c r="E993" s="144"/>
      <c r="F993" s="145"/>
      <c r="G993" s="146"/>
    </row>
    <row r="994" spans="1:7" x14ac:dyDescent="0.2">
      <c r="A994" s="140"/>
      <c r="B994" s="289"/>
      <c r="C994" s="315"/>
      <c r="D994" s="143"/>
      <c r="E994" s="144"/>
      <c r="F994" s="145"/>
      <c r="G994" s="146"/>
    </row>
    <row r="995" spans="1:7" x14ac:dyDescent="0.2">
      <c r="A995" s="140"/>
      <c r="B995" s="289"/>
      <c r="C995" s="315"/>
      <c r="D995" s="143"/>
      <c r="E995" s="144"/>
      <c r="F995" s="145"/>
      <c r="G995" s="146"/>
    </row>
    <row r="996" spans="1:7" x14ac:dyDescent="0.2">
      <c r="A996" s="140"/>
      <c r="B996" s="289"/>
      <c r="C996" s="315"/>
      <c r="D996" s="143"/>
      <c r="E996" s="144"/>
      <c r="F996" s="145"/>
      <c r="G996" s="146"/>
    </row>
    <row r="997" spans="1:7" x14ac:dyDescent="0.2">
      <c r="A997" s="140"/>
      <c r="B997" s="289"/>
      <c r="C997" s="315"/>
      <c r="D997" s="143"/>
      <c r="E997" s="144"/>
      <c r="F997" s="145"/>
      <c r="G997" s="146"/>
    </row>
    <row r="998" spans="1:7" x14ac:dyDescent="0.2">
      <c r="A998" s="140"/>
      <c r="B998" s="289"/>
      <c r="C998" s="315"/>
      <c r="D998" s="143"/>
      <c r="E998" s="144"/>
      <c r="F998" s="145"/>
      <c r="G998" s="146"/>
    </row>
    <row r="999" spans="1:7" x14ac:dyDescent="0.2">
      <c r="A999" s="140"/>
      <c r="B999" s="289"/>
      <c r="C999" s="315"/>
      <c r="D999" s="143"/>
      <c r="E999" s="144"/>
      <c r="F999" s="145"/>
      <c r="G999" s="146"/>
    </row>
    <row r="1000" spans="1:7" x14ac:dyDescent="0.2">
      <c r="A1000" s="140"/>
      <c r="B1000" s="289"/>
      <c r="C1000" s="315"/>
      <c r="D1000" s="143"/>
      <c r="E1000" s="144"/>
      <c r="F1000" s="145"/>
      <c r="G1000" s="146"/>
    </row>
    <row r="1001" spans="1:7" x14ac:dyDescent="0.2">
      <c r="A1001" s="140"/>
      <c r="B1001" s="289"/>
      <c r="C1001" s="315"/>
      <c r="D1001" s="143"/>
      <c r="E1001" s="144"/>
      <c r="F1001" s="145"/>
      <c r="G1001" s="146"/>
    </row>
    <row r="1002" spans="1:7" x14ac:dyDescent="0.2">
      <c r="A1002" s="140"/>
      <c r="B1002" s="289"/>
      <c r="C1002" s="315"/>
      <c r="D1002" s="143"/>
      <c r="E1002" s="144"/>
      <c r="F1002" s="145"/>
      <c r="G1002" s="146"/>
    </row>
    <row r="1003" spans="1:7" ht="12.75" thickBot="1" x14ac:dyDescent="0.25">
      <c r="A1003" s="140"/>
      <c r="B1003" s="289"/>
      <c r="C1003" s="315"/>
      <c r="D1003" s="143"/>
      <c r="E1003" s="144"/>
      <c r="F1003" s="145"/>
      <c r="G1003" s="146"/>
    </row>
    <row r="1004" spans="1:7" x14ac:dyDescent="0.2">
      <c r="A1004" s="302"/>
      <c r="B1004" s="118" t="s">
        <v>204</v>
      </c>
      <c r="C1004" s="130"/>
      <c r="D1004" s="120"/>
      <c r="E1004" s="121"/>
      <c r="F1004" s="224"/>
      <c r="G1004" s="171"/>
    </row>
    <row r="1005" spans="1:7" ht="12.75" thickBot="1" x14ac:dyDescent="0.25">
      <c r="A1005" s="305"/>
      <c r="B1005" s="106" t="s">
        <v>120</v>
      </c>
      <c r="C1005" s="131"/>
      <c r="D1005" s="125"/>
      <c r="E1005" s="126"/>
      <c r="F1005" s="225"/>
      <c r="G1005" s="110">
        <f>SUM(G926:G1004)</f>
        <v>0</v>
      </c>
    </row>
    <row r="1006" spans="1:7" ht="12.75" thickBot="1" x14ac:dyDescent="0.25">
      <c r="A1006" s="80"/>
      <c r="B1006" s="69"/>
      <c r="C1006" s="66"/>
      <c r="D1006" s="57"/>
      <c r="E1006" s="64"/>
      <c r="F1006" s="46"/>
      <c r="G1006" s="75"/>
    </row>
    <row r="1007" spans="1:7" x14ac:dyDescent="0.2">
      <c r="A1007" s="117"/>
      <c r="B1007" s="573" t="s">
        <v>121</v>
      </c>
      <c r="C1007" s="130"/>
      <c r="D1007" s="120"/>
      <c r="E1007" s="121"/>
      <c r="F1007" s="224"/>
      <c r="G1007" s="172"/>
    </row>
    <row r="1008" spans="1:7" x14ac:dyDescent="0.2">
      <c r="A1008" s="61"/>
      <c r="B1008" s="574" t="s">
        <v>127</v>
      </c>
      <c r="C1008" s="66"/>
      <c r="D1008" s="57"/>
      <c r="E1008" s="64"/>
      <c r="F1008" s="547"/>
      <c r="G1008" s="146"/>
    </row>
    <row r="1009" spans="1:10" x14ac:dyDescent="0.2">
      <c r="A1009" s="80" t="s">
        <v>122</v>
      </c>
      <c r="B1009" s="575" t="s">
        <v>40</v>
      </c>
      <c r="C1009" s="66"/>
      <c r="D1009" s="57"/>
      <c r="E1009" s="64"/>
      <c r="F1009" s="547"/>
      <c r="G1009" s="146"/>
    </row>
    <row r="1010" spans="1:10" ht="36" customHeight="1" x14ac:dyDescent="0.2">
      <c r="A1010" s="61"/>
      <c r="B1010" s="628" t="s">
        <v>167</v>
      </c>
      <c r="C1010" s="629"/>
      <c r="D1010" s="629"/>
      <c r="E1010" s="629"/>
      <c r="F1010" s="629"/>
      <c r="G1010" s="220"/>
    </row>
    <row r="1011" spans="1:10" ht="30" customHeight="1" x14ac:dyDescent="0.2">
      <c r="A1011" s="71"/>
      <c r="B1011" s="628" t="s">
        <v>166</v>
      </c>
      <c r="C1011" s="629"/>
      <c r="D1011" s="629"/>
      <c r="E1011" s="629"/>
      <c r="F1011" s="629"/>
      <c r="G1011" s="220"/>
    </row>
    <row r="1012" spans="1:10" ht="26.25" customHeight="1" x14ac:dyDescent="0.2">
      <c r="A1012" s="61"/>
      <c r="B1012" s="628" t="s">
        <v>498</v>
      </c>
      <c r="C1012" s="629"/>
      <c r="D1012" s="629"/>
      <c r="E1012" s="629"/>
      <c r="F1012" s="629"/>
      <c r="G1012" s="220"/>
    </row>
    <row r="1013" spans="1:10" ht="55.5" customHeight="1" x14ac:dyDescent="0.2">
      <c r="A1013" s="61"/>
      <c r="B1013" s="628" t="s">
        <v>165</v>
      </c>
      <c r="C1013" s="629"/>
      <c r="D1013" s="629"/>
      <c r="E1013" s="629"/>
      <c r="F1013" s="629"/>
      <c r="G1013" s="220"/>
    </row>
    <row r="1014" spans="1:10" ht="14.25" customHeight="1" thickBot="1" x14ac:dyDescent="0.25">
      <c r="A1014" s="123"/>
      <c r="B1014" s="630" t="s">
        <v>499</v>
      </c>
      <c r="C1014" s="631"/>
      <c r="D1014" s="631"/>
      <c r="E1014" s="631"/>
      <c r="F1014" s="631"/>
      <c r="G1014" s="530"/>
    </row>
    <row r="1015" spans="1:10" x14ac:dyDescent="0.2">
      <c r="A1015" s="332" t="s">
        <v>156</v>
      </c>
      <c r="B1015" s="333" t="s">
        <v>64</v>
      </c>
      <c r="C1015" s="334"/>
      <c r="D1015" s="335"/>
      <c r="E1015" s="336"/>
      <c r="F1015" s="337"/>
      <c r="G1015" s="338">
        <f>D1015*E1015</f>
        <v>0</v>
      </c>
    </row>
    <row r="1016" spans="1:10" x14ac:dyDescent="0.2">
      <c r="A1016" s="339" t="s">
        <v>171</v>
      </c>
      <c r="B1016" s="340" t="s">
        <v>129</v>
      </c>
      <c r="C1016" s="341"/>
      <c r="D1016" s="342"/>
      <c r="E1016" s="343"/>
      <c r="F1016" s="344"/>
      <c r="G1016" s="345"/>
    </row>
    <row r="1017" spans="1:10" x14ac:dyDescent="0.2">
      <c r="A1017" s="346" t="s">
        <v>194</v>
      </c>
      <c r="B1017" s="200" t="s">
        <v>219</v>
      </c>
      <c r="C1017" s="312" t="s">
        <v>15</v>
      </c>
      <c r="D1017" s="201">
        <v>1</v>
      </c>
      <c r="E1017" s="144"/>
      <c r="F1017" s="145"/>
      <c r="G1017" s="146">
        <f>(D1017*E1017)+(D1017*F1017)</f>
        <v>0</v>
      </c>
    </row>
    <row r="1018" spans="1:10" ht="27" customHeight="1" x14ac:dyDescent="0.2">
      <c r="A1018" s="346" t="s">
        <v>195</v>
      </c>
      <c r="B1018" s="200" t="s">
        <v>220</v>
      </c>
      <c r="C1018" s="312" t="s">
        <v>15</v>
      </c>
      <c r="D1018" s="201">
        <v>1</v>
      </c>
      <c r="E1018" s="144"/>
      <c r="F1018" s="145"/>
      <c r="G1018" s="146">
        <f>(D1018*E1018)+(D1018*F1018)</f>
        <v>0</v>
      </c>
    </row>
    <row r="1019" spans="1:10" ht="36" x14ac:dyDescent="0.2">
      <c r="A1019" s="346" t="s">
        <v>197</v>
      </c>
      <c r="B1019" s="200" t="s">
        <v>258</v>
      </c>
      <c r="C1019" s="312" t="s">
        <v>109</v>
      </c>
      <c r="D1019" s="201">
        <v>1</v>
      </c>
      <c r="E1019" s="144"/>
      <c r="F1019" s="145"/>
      <c r="G1019" s="146">
        <f>(D1019*E1019)+(D1019*F1019)</f>
        <v>0</v>
      </c>
    </row>
    <row r="1020" spans="1:10" ht="12.75" customHeight="1" x14ac:dyDescent="0.2">
      <c r="A1020" s="339" t="s">
        <v>172</v>
      </c>
      <c r="B1020" s="350" t="s">
        <v>223</v>
      </c>
      <c r="C1020" s="351"/>
      <c r="D1020" s="342"/>
      <c r="E1020" s="343"/>
      <c r="F1020" s="348"/>
      <c r="G1020" s="349">
        <f t="shared" ref="G1020:G1023" si="141">(D1020*E1020)+(D1020*F1020)</f>
        <v>0</v>
      </c>
    </row>
    <row r="1021" spans="1:10" ht="39" customHeight="1" x14ac:dyDescent="0.2">
      <c r="A1021" s="346" t="s">
        <v>171</v>
      </c>
      <c r="B1021" s="200" t="s">
        <v>224</v>
      </c>
      <c r="C1021" s="312" t="s">
        <v>15</v>
      </c>
      <c r="D1021" s="201">
        <v>1</v>
      </c>
      <c r="E1021" s="144"/>
      <c r="F1021" s="145"/>
      <c r="G1021" s="146">
        <f t="shared" si="141"/>
        <v>0</v>
      </c>
    </row>
    <row r="1022" spans="1:10" ht="36.75" customHeight="1" x14ac:dyDescent="0.2">
      <c r="A1022" s="346" t="s">
        <v>172</v>
      </c>
      <c r="B1022" s="200" t="s">
        <v>225</v>
      </c>
      <c r="C1022" s="312" t="s">
        <v>15</v>
      </c>
      <c r="D1022" s="201">
        <v>1</v>
      </c>
      <c r="E1022" s="144"/>
      <c r="F1022" s="145"/>
      <c r="G1022" s="146">
        <f t="shared" si="141"/>
        <v>0</v>
      </c>
    </row>
    <row r="1023" spans="1:10" ht="49.5" customHeight="1" thickBot="1" x14ac:dyDescent="0.25">
      <c r="A1023" s="346" t="s">
        <v>185</v>
      </c>
      <c r="B1023" s="200" t="s">
        <v>390</v>
      </c>
      <c r="C1023" s="149" t="s">
        <v>146</v>
      </c>
      <c r="D1023" s="201">
        <v>1.8</v>
      </c>
      <c r="E1023" s="144"/>
      <c r="F1023" s="145"/>
      <c r="G1023" s="146">
        <f t="shared" si="141"/>
        <v>0</v>
      </c>
      <c r="I1023" s="31"/>
      <c r="J1023" s="31"/>
    </row>
    <row r="1024" spans="1:10" x14ac:dyDescent="0.2">
      <c r="A1024" s="356"/>
      <c r="B1024" s="357"/>
      <c r="C1024" s="358"/>
      <c r="D1024" s="359"/>
      <c r="E1024" s="272"/>
      <c r="F1024" s="273"/>
      <c r="G1024" s="172"/>
    </row>
    <row r="1025" spans="1:7" ht="12.75" customHeight="1" x14ac:dyDescent="0.2">
      <c r="A1025" s="360" t="s">
        <v>157</v>
      </c>
      <c r="B1025" s="361" t="s">
        <v>66</v>
      </c>
      <c r="C1025" s="362"/>
      <c r="D1025" s="363"/>
      <c r="E1025" s="310"/>
      <c r="F1025" s="182"/>
      <c r="G1025" s="183"/>
    </row>
    <row r="1026" spans="1:7" x14ac:dyDescent="0.2">
      <c r="A1026" s="339" t="s">
        <v>171</v>
      </c>
      <c r="B1026" s="340" t="s">
        <v>129</v>
      </c>
      <c r="C1026" s="341"/>
      <c r="D1026" s="342"/>
      <c r="E1026" s="343"/>
      <c r="F1026" s="344"/>
      <c r="G1026" s="345"/>
    </row>
    <row r="1027" spans="1:7" x14ac:dyDescent="0.2">
      <c r="A1027" s="346" t="s">
        <v>194</v>
      </c>
      <c r="B1027" s="200" t="s">
        <v>219</v>
      </c>
      <c r="C1027" s="312" t="s">
        <v>15</v>
      </c>
      <c r="D1027" s="201">
        <v>1</v>
      </c>
      <c r="E1027" s="144"/>
      <c r="F1027" s="145"/>
      <c r="G1027" s="146">
        <f>(D1027*E1027)+(D1027*F1027)</f>
        <v>0</v>
      </c>
    </row>
    <row r="1028" spans="1:7" ht="24" x14ac:dyDescent="0.2">
      <c r="A1028" s="346" t="s">
        <v>195</v>
      </c>
      <c r="B1028" s="200" t="s">
        <v>220</v>
      </c>
      <c r="C1028" s="312" t="s">
        <v>15</v>
      </c>
      <c r="D1028" s="201">
        <v>1</v>
      </c>
      <c r="E1028" s="144"/>
      <c r="F1028" s="145"/>
      <c r="G1028" s="146">
        <f>(D1028*E1028)+(D1028*F1028)</f>
        <v>0</v>
      </c>
    </row>
    <row r="1029" spans="1:7" ht="14.25" customHeight="1" x14ac:dyDescent="0.2">
      <c r="A1029" s="339" t="s">
        <v>172</v>
      </c>
      <c r="B1029" s="347" t="s">
        <v>130</v>
      </c>
      <c r="C1029" s="341"/>
      <c r="D1029" s="342"/>
      <c r="E1029" s="343"/>
      <c r="F1029" s="348"/>
      <c r="G1029" s="349"/>
    </row>
    <row r="1030" spans="1:7" ht="14.25" customHeight="1" x14ac:dyDescent="0.2">
      <c r="A1030" s="346" t="s">
        <v>171</v>
      </c>
      <c r="B1030" s="200" t="s">
        <v>131</v>
      </c>
      <c r="C1030" s="312" t="s">
        <v>109</v>
      </c>
      <c r="D1030" s="201">
        <v>3</v>
      </c>
      <c r="E1030" s="144"/>
      <c r="F1030" s="145"/>
      <c r="G1030" s="146">
        <f>(D1030*E1030)+(D1030*F1030)</f>
        <v>0</v>
      </c>
    </row>
    <row r="1031" spans="1:7" x14ac:dyDescent="0.2">
      <c r="A1031" s="346" t="s">
        <v>172</v>
      </c>
      <c r="B1031" s="200" t="s">
        <v>221</v>
      </c>
      <c r="C1031" s="312" t="s">
        <v>109</v>
      </c>
      <c r="D1031" s="201">
        <v>2</v>
      </c>
      <c r="E1031" s="144"/>
      <c r="F1031" s="145"/>
      <c r="G1031" s="146">
        <f t="shared" ref="G1031:G1041" si="142">(D1031*E1031)+(D1031*F1031)</f>
        <v>0</v>
      </c>
    </row>
    <row r="1032" spans="1:7" x14ac:dyDescent="0.2">
      <c r="A1032" s="346" t="s">
        <v>185</v>
      </c>
      <c r="B1032" s="200" t="s">
        <v>132</v>
      </c>
      <c r="C1032" s="312" t="s">
        <v>109</v>
      </c>
      <c r="D1032" s="201">
        <f>D1031</f>
        <v>2</v>
      </c>
      <c r="E1032" s="144"/>
      <c r="F1032" s="145"/>
      <c r="G1032" s="146">
        <f t="shared" si="142"/>
        <v>0</v>
      </c>
    </row>
    <row r="1033" spans="1:7" x14ac:dyDescent="0.2">
      <c r="A1033" s="346" t="s">
        <v>186</v>
      </c>
      <c r="B1033" s="200" t="s">
        <v>133</v>
      </c>
      <c r="C1033" s="312" t="s">
        <v>109</v>
      </c>
      <c r="D1033" s="201">
        <f>D1030</f>
        <v>3</v>
      </c>
      <c r="E1033" s="144"/>
      <c r="F1033" s="145"/>
      <c r="G1033" s="146">
        <f t="shared" si="142"/>
        <v>0</v>
      </c>
    </row>
    <row r="1034" spans="1:7" x14ac:dyDescent="0.2">
      <c r="A1034" s="346" t="s">
        <v>187</v>
      </c>
      <c r="B1034" s="200" t="s">
        <v>134</v>
      </c>
      <c r="C1034" s="312" t="s">
        <v>109</v>
      </c>
      <c r="D1034" s="201">
        <f>D1030</f>
        <v>3</v>
      </c>
      <c r="E1034" s="144"/>
      <c r="F1034" s="145"/>
      <c r="G1034" s="146">
        <f t="shared" si="142"/>
        <v>0</v>
      </c>
    </row>
    <row r="1035" spans="1:7" x14ac:dyDescent="0.2">
      <c r="A1035" s="346" t="s">
        <v>188</v>
      </c>
      <c r="B1035" s="200" t="s">
        <v>135</v>
      </c>
      <c r="C1035" s="312" t="s">
        <v>109</v>
      </c>
      <c r="D1035" s="201">
        <f>D1030</f>
        <v>3</v>
      </c>
      <c r="E1035" s="144"/>
      <c r="F1035" s="145"/>
      <c r="G1035" s="146">
        <f t="shared" si="142"/>
        <v>0</v>
      </c>
    </row>
    <row r="1036" spans="1:7" x14ac:dyDescent="0.2">
      <c r="A1036" s="346" t="s">
        <v>189</v>
      </c>
      <c r="B1036" s="200" t="s">
        <v>416</v>
      </c>
      <c r="C1036" s="312" t="s">
        <v>109</v>
      </c>
      <c r="D1036" s="201">
        <v>4</v>
      </c>
      <c r="E1036" s="144"/>
      <c r="F1036" s="145"/>
      <c r="G1036" s="146">
        <f t="shared" si="142"/>
        <v>0</v>
      </c>
    </row>
    <row r="1037" spans="1:7" ht="14.25" customHeight="1" x14ac:dyDescent="0.2">
      <c r="A1037" s="346" t="s">
        <v>190</v>
      </c>
      <c r="B1037" s="200" t="s">
        <v>222</v>
      </c>
      <c r="C1037" s="312" t="s">
        <v>109</v>
      </c>
      <c r="D1037" s="201">
        <f>D1030</f>
        <v>3</v>
      </c>
      <c r="E1037" s="144"/>
      <c r="F1037" s="145"/>
      <c r="G1037" s="146">
        <f t="shared" si="142"/>
        <v>0</v>
      </c>
    </row>
    <row r="1038" spans="1:7" x14ac:dyDescent="0.2">
      <c r="A1038" s="346" t="s">
        <v>191</v>
      </c>
      <c r="B1038" s="200" t="s">
        <v>273</v>
      </c>
      <c r="C1038" s="312" t="s">
        <v>109</v>
      </c>
      <c r="D1038" s="201">
        <v>4</v>
      </c>
      <c r="E1038" s="144"/>
      <c r="F1038" s="145"/>
      <c r="G1038" s="146">
        <f t="shared" si="142"/>
        <v>0</v>
      </c>
    </row>
    <row r="1039" spans="1:7" x14ac:dyDescent="0.2">
      <c r="A1039" s="346" t="s">
        <v>193</v>
      </c>
      <c r="B1039" s="200" t="s">
        <v>422</v>
      </c>
      <c r="C1039" s="312" t="s">
        <v>109</v>
      </c>
      <c r="D1039" s="201">
        <v>3</v>
      </c>
      <c r="E1039" s="144"/>
      <c r="F1039" s="145"/>
      <c r="G1039" s="146">
        <f t="shared" si="142"/>
        <v>0</v>
      </c>
    </row>
    <row r="1040" spans="1:7" x14ac:dyDescent="0.2">
      <c r="A1040" s="339" t="s">
        <v>185</v>
      </c>
      <c r="B1040" s="350" t="s">
        <v>223</v>
      </c>
      <c r="C1040" s="351"/>
      <c r="D1040" s="342"/>
      <c r="E1040" s="343"/>
      <c r="F1040" s="348"/>
      <c r="G1040" s="349">
        <f t="shared" si="142"/>
        <v>0</v>
      </c>
    </row>
    <row r="1041" spans="1:7" ht="38.25" customHeight="1" thickBot="1" x14ac:dyDescent="0.25">
      <c r="A1041" s="352" t="s">
        <v>171</v>
      </c>
      <c r="B1041" s="353" t="s">
        <v>224</v>
      </c>
      <c r="C1041" s="354" t="s">
        <v>15</v>
      </c>
      <c r="D1041" s="355">
        <v>1</v>
      </c>
      <c r="E1041" s="160"/>
      <c r="F1041" s="161"/>
      <c r="G1041" s="162">
        <f t="shared" si="142"/>
        <v>0</v>
      </c>
    </row>
    <row r="1042" spans="1:7" ht="12" customHeight="1" x14ac:dyDescent="0.2">
      <c r="A1042" s="140"/>
      <c r="B1042" s="289"/>
      <c r="C1042" s="315"/>
      <c r="D1042" s="143"/>
      <c r="E1042" s="144"/>
      <c r="F1042" s="145"/>
      <c r="G1042" s="146"/>
    </row>
    <row r="1043" spans="1:7" ht="12" customHeight="1" x14ac:dyDescent="0.2">
      <c r="A1043" s="360" t="s">
        <v>55</v>
      </c>
      <c r="B1043" s="361" t="s">
        <v>454</v>
      </c>
      <c r="C1043" s="362"/>
      <c r="D1043" s="363"/>
      <c r="E1043" s="310"/>
      <c r="F1043" s="182"/>
      <c r="G1043" s="183"/>
    </row>
    <row r="1044" spans="1:7" ht="12" customHeight="1" x14ac:dyDescent="0.2">
      <c r="A1044" s="339" t="s">
        <v>171</v>
      </c>
      <c r="B1044" s="340" t="s">
        <v>129</v>
      </c>
      <c r="C1044" s="341"/>
      <c r="D1044" s="342"/>
      <c r="E1044" s="343"/>
      <c r="F1044" s="344"/>
      <c r="G1044" s="345"/>
    </row>
    <row r="1045" spans="1:7" ht="12" customHeight="1" x14ac:dyDescent="0.2">
      <c r="A1045" s="346" t="s">
        <v>194</v>
      </c>
      <c r="B1045" s="200" t="s">
        <v>219</v>
      </c>
      <c r="C1045" s="312" t="s">
        <v>15</v>
      </c>
      <c r="D1045" s="201">
        <v>1</v>
      </c>
      <c r="E1045" s="144"/>
      <c r="F1045" s="145"/>
      <c r="G1045" s="146">
        <f>(D1045*E1045)+(D1045*F1045)</f>
        <v>0</v>
      </c>
    </row>
    <row r="1046" spans="1:7" ht="26.25" customHeight="1" x14ac:dyDescent="0.2">
      <c r="A1046" s="346" t="s">
        <v>195</v>
      </c>
      <c r="B1046" s="200" t="s">
        <v>220</v>
      </c>
      <c r="C1046" s="312" t="s">
        <v>15</v>
      </c>
      <c r="D1046" s="201">
        <v>1</v>
      </c>
      <c r="E1046" s="144"/>
      <c r="F1046" s="145"/>
      <c r="G1046" s="146">
        <f>(D1046*E1046)+(D1046*F1046)</f>
        <v>0</v>
      </c>
    </row>
    <row r="1047" spans="1:7" ht="12" customHeight="1" x14ac:dyDescent="0.2">
      <c r="A1047" s="339" t="s">
        <v>172</v>
      </c>
      <c r="B1047" s="347" t="s">
        <v>130</v>
      </c>
      <c r="C1047" s="341"/>
      <c r="D1047" s="342"/>
      <c r="E1047" s="343"/>
      <c r="F1047" s="348"/>
      <c r="G1047" s="349"/>
    </row>
    <row r="1048" spans="1:7" ht="12" customHeight="1" x14ac:dyDescent="0.2">
      <c r="A1048" s="346" t="s">
        <v>171</v>
      </c>
      <c r="B1048" s="200" t="s">
        <v>131</v>
      </c>
      <c r="C1048" s="312" t="s">
        <v>109</v>
      </c>
      <c r="D1048" s="201">
        <v>3</v>
      </c>
      <c r="E1048" s="144"/>
      <c r="F1048" s="145"/>
      <c r="G1048" s="146">
        <f>(D1048*E1048)+(D1048*F1048)</f>
        <v>0</v>
      </c>
    </row>
    <row r="1049" spans="1:7" ht="12" customHeight="1" x14ac:dyDescent="0.2">
      <c r="A1049" s="346" t="s">
        <v>172</v>
      </c>
      <c r="B1049" s="200" t="s">
        <v>221</v>
      </c>
      <c r="C1049" s="312" t="s">
        <v>109</v>
      </c>
      <c r="D1049" s="201">
        <v>2</v>
      </c>
      <c r="E1049" s="144"/>
      <c r="F1049" s="145"/>
      <c r="G1049" s="146">
        <f t="shared" ref="G1049:G1059" si="143">(D1049*E1049)+(D1049*F1049)</f>
        <v>0</v>
      </c>
    </row>
    <row r="1050" spans="1:7" ht="12" customHeight="1" x14ac:dyDescent="0.2">
      <c r="A1050" s="346" t="s">
        <v>185</v>
      </c>
      <c r="B1050" s="200" t="s">
        <v>132</v>
      </c>
      <c r="C1050" s="312" t="s">
        <v>109</v>
      </c>
      <c r="D1050" s="201">
        <f>D1049</f>
        <v>2</v>
      </c>
      <c r="E1050" s="144"/>
      <c r="F1050" s="145"/>
      <c r="G1050" s="146">
        <f t="shared" si="143"/>
        <v>0</v>
      </c>
    </row>
    <row r="1051" spans="1:7" ht="12" customHeight="1" x14ac:dyDescent="0.2">
      <c r="A1051" s="346" t="s">
        <v>186</v>
      </c>
      <c r="B1051" s="200" t="s">
        <v>133</v>
      </c>
      <c r="C1051" s="312" t="s">
        <v>109</v>
      </c>
      <c r="D1051" s="201">
        <f>D1048</f>
        <v>3</v>
      </c>
      <c r="E1051" s="144"/>
      <c r="F1051" s="145"/>
      <c r="G1051" s="146">
        <f t="shared" si="143"/>
        <v>0</v>
      </c>
    </row>
    <row r="1052" spans="1:7" ht="12" customHeight="1" x14ac:dyDescent="0.2">
      <c r="A1052" s="346" t="s">
        <v>187</v>
      </c>
      <c r="B1052" s="200" t="s">
        <v>134</v>
      </c>
      <c r="C1052" s="312" t="s">
        <v>109</v>
      </c>
      <c r="D1052" s="201">
        <f>D1048</f>
        <v>3</v>
      </c>
      <c r="E1052" s="144"/>
      <c r="F1052" s="145"/>
      <c r="G1052" s="146">
        <f t="shared" si="143"/>
        <v>0</v>
      </c>
    </row>
    <row r="1053" spans="1:7" ht="12" customHeight="1" x14ac:dyDescent="0.2">
      <c r="A1053" s="346" t="s">
        <v>188</v>
      </c>
      <c r="B1053" s="200" t="s">
        <v>135</v>
      </c>
      <c r="C1053" s="312" t="s">
        <v>109</v>
      </c>
      <c r="D1053" s="201">
        <f>D1048</f>
        <v>3</v>
      </c>
      <c r="E1053" s="144"/>
      <c r="F1053" s="145"/>
      <c r="G1053" s="146">
        <f t="shared" si="143"/>
        <v>0</v>
      </c>
    </row>
    <row r="1054" spans="1:7" ht="12" customHeight="1" x14ac:dyDescent="0.2">
      <c r="A1054" s="346" t="s">
        <v>189</v>
      </c>
      <c r="B1054" s="200" t="s">
        <v>416</v>
      </c>
      <c r="C1054" s="312" t="s">
        <v>109</v>
      </c>
      <c r="D1054" s="201">
        <v>4</v>
      </c>
      <c r="E1054" s="144"/>
      <c r="F1054" s="145"/>
      <c r="G1054" s="146">
        <f t="shared" si="143"/>
        <v>0</v>
      </c>
    </row>
    <row r="1055" spans="1:7" ht="12" customHeight="1" x14ac:dyDescent="0.2">
      <c r="A1055" s="346" t="s">
        <v>190</v>
      </c>
      <c r="B1055" s="200" t="s">
        <v>222</v>
      </c>
      <c r="C1055" s="312" t="s">
        <v>109</v>
      </c>
      <c r="D1055" s="201">
        <f>D1048</f>
        <v>3</v>
      </c>
      <c r="E1055" s="144"/>
      <c r="F1055" s="145"/>
      <c r="G1055" s="146">
        <f t="shared" si="143"/>
        <v>0</v>
      </c>
    </row>
    <row r="1056" spans="1:7" ht="12" customHeight="1" x14ac:dyDescent="0.2">
      <c r="A1056" s="346" t="s">
        <v>191</v>
      </c>
      <c r="B1056" s="200" t="s">
        <v>273</v>
      </c>
      <c r="C1056" s="312" t="s">
        <v>109</v>
      </c>
      <c r="D1056" s="201">
        <v>4</v>
      </c>
      <c r="E1056" s="144"/>
      <c r="F1056" s="145"/>
      <c r="G1056" s="146">
        <f t="shared" si="143"/>
        <v>0</v>
      </c>
    </row>
    <row r="1057" spans="1:7" ht="12" customHeight="1" x14ac:dyDescent="0.2">
      <c r="A1057" s="346" t="s">
        <v>193</v>
      </c>
      <c r="B1057" s="200" t="s">
        <v>422</v>
      </c>
      <c r="C1057" s="312" t="s">
        <v>109</v>
      </c>
      <c r="D1057" s="201">
        <v>3</v>
      </c>
      <c r="E1057" s="144"/>
      <c r="F1057" s="145"/>
      <c r="G1057" s="146">
        <f t="shared" si="143"/>
        <v>0</v>
      </c>
    </row>
    <row r="1058" spans="1:7" ht="12" customHeight="1" x14ac:dyDescent="0.2">
      <c r="A1058" s="339" t="s">
        <v>185</v>
      </c>
      <c r="B1058" s="350" t="s">
        <v>223</v>
      </c>
      <c r="C1058" s="351"/>
      <c r="D1058" s="342"/>
      <c r="E1058" s="343"/>
      <c r="F1058" s="348"/>
      <c r="G1058" s="349">
        <f t="shared" si="143"/>
        <v>0</v>
      </c>
    </row>
    <row r="1059" spans="1:7" ht="40.5" customHeight="1" x14ac:dyDescent="0.2">
      <c r="A1059" s="346" t="s">
        <v>171</v>
      </c>
      <c r="B1059" s="200" t="s">
        <v>224</v>
      </c>
      <c r="C1059" s="312" t="s">
        <v>15</v>
      </c>
      <c r="D1059" s="201">
        <v>1</v>
      </c>
      <c r="E1059" s="144"/>
      <c r="F1059" s="145"/>
      <c r="G1059" s="146">
        <f t="shared" si="143"/>
        <v>0</v>
      </c>
    </row>
    <row r="1060" spans="1:7" ht="12" customHeight="1" x14ac:dyDescent="0.2">
      <c r="A1060" s="140"/>
      <c r="B1060" s="289"/>
      <c r="C1060" s="315"/>
      <c r="D1060" s="143"/>
      <c r="E1060" s="144"/>
      <c r="F1060" s="145"/>
      <c r="G1060" s="146"/>
    </row>
    <row r="1061" spans="1:7" ht="12" customHeight="1" x14ac:dyDescent="0.2">
      <c r="A1061" s="360" t="s">
        <v>158</v>
      </c>
      <c r="B1061" s="361" t="s">
        <v>456</v>
      </c>
      <c r="C1061" s="362"/>
      <c r="D1061" s="363"/>
      <c r="E1061" s="310"/>
      <c r="F1061" s="182"/>
      <c r="G1061" s="183"/>
    </row>
    <row r="1062" spans="1:7" ht="12" customHeight="1" x14ac:dyDescent="0.2">
      <c r="A1062" s="339" t="s">
        <v>171</v>
      </c>
      <c r="B1062" s="340" t="s">
        <v>129</v>
      </c>
      <c r="C1062" s="341"/>
      <c r="D1062" s="342"/>
      <c r="E1062" s="343"/>
      <c r="F1062" s="344"/>
      <c r="G1062" s="345"/>
    </row>
    <row r="1063" spans="1:7" ht="12" customHeight="1" x14ac:dyDescent="0.2">
      <c r="A1063" s="346" t="s">
        <v>194</v>
      </c>
      <c r="B1063" s="200" t="s">
        <v>219</v>
      </c>
      <c r="C1063" s="312" t="s">
        <v>15</v>
      </c>
      <c r="D1063" s="201">
        <v>1</v>
      </c>
      <c r="E1063" s="144"/>
      <c r="F1063" s="145"/>
      <c r="G1063" s="146">
        <f>(D1063*E1063)+(D1063*F1063)</f>
        <v>0</v>
      </c>
    </row>
    <row r="1064" spans="1:7" ht="28.5" customHeight="1" x14ac:dyDescent="0.2">
      <c r="A1064" s="346" t="s">
        <v>195</v>
      </c>
      <c r="B1064" s="200" t="s">
        <v>220</v>
      </c>
      <c r="C1064" s="312" t="s">
        <v>15</v>
      </c>
      <c r="D1064" s="201">
        <v>1</v>
      </c>
      <c r="E1064" s="144"/>
      <c r="F1064" s="145"/>
      <c r="G1064" s="146">
        <f>(D1064*E1064)+(D1064*F1064)</f>
        <v>0</v>
      </c>
    </row>
    <row r="1065" spans="1:7" ht="12" customHeight="1" x14ac:dyDescent="0.2">
      <c r="A1065" s="339" t="s">
        <v>172</v>
      </c>
      <c r="B1065" s="347" t="s">
        <v>130</v>
      </c>
      <c r="C1065" s="341"/>
      <c r="D1065" s="342"/>
      <c r="E1065" s="343"/>
      <c r="F1065" s="348"/>
      <c r="G1065" s="349"/>
    </row>
    <row r="1066" spans="1:7" ht="12" customHeight="1" x14ac:dyDescent="0.2">
      <c r="A1066" s="346" t="s">
        <v>171</v>
      </c>
      <c r="B1066" s="200" t="s">
        <v>131</v>
      </c>
      <c r="C1066" s="312" t="s">
        <v>109</v>
      </c>
      <c r="D1066" s="201">
        <v>3</v>
      </c>
      <c r="E1066" s="144"/>
      <c r="F1066" s="145"/>
      <c r="G1066" s="146">
        <f>(D1066*E1066)+(D1066*F1066)</f>
        <v>0</v>
      </c>
    </row>
    <row r="1067" spans="1:7" ht="12" customHeight="1" x14ac:dyDescent="0.2">
      <c r="A1067" s="346" t="s">
        <v>172</v>
      </c>
      <c r="B1067" s="200" t="s">
        <v>221</v>
      </c>
      <c r="C1067" s="312" t="s">
        <v>109</v>
      </c>
      <c r="D1067" s="201">
        <v>2</v>
      </c>
      <c r="E1067" s="144"/>
      <c r="F1067" s="145"/>
      <c r="G1067" s="146">
        <f t="shared" ref="G1067:G1077" si="144">(D1067*E1067)+(D1067*F1067)</f>
        <v>0</v>
      </c>
    </row>
    <row r="1068" spans="1:7" ht="12" customHeight="1" x14ac:dyDescent="0.2">
      <c r="A1068" s="346" t="s">
        <v>185</v>
      </c>
      <c r="B1068" s="200" t="s">
        <v>132</v>
      </c>
      <c r="C1068" s="312" t="s">
        <v>109</v>
      </c>
      <c r="D1068" s="201">
        <f>D1067</f>
        <v>2</v>
      </c>
      <c r="E1068" s="144"/>
      <c r="F1068" s="145"/>
      <c r="G1068" s="146">
        <f t="shared" si="144"/>
        <v>0</v>
      </c>
    </row>
    <row r="1069" spans="1:7" ht="12" customHeight="1" x14ac:dyDescent="0.2">
      <c r="A1069" s="346" t="s">
        <v>186</v>
      </c>
      <c r="B1069" s="200" t="s">
        <v>133</v>
      </c>
      <c r="C1069" s="312" t="s">
        <v>109</v>
      </c>
      <c r="D1069" s="201">
        <f>D1066</f>
        <v>3</v>
      </c>
      <c r="E1069" s="144"/>
      <c r="F1069" s="145"/>
      <c r="G1069" s="146">
        <f t="shared" si="144"/>
        <v>0</v>
      </c>
    </row>
    <row r="1070" spans="1:7" ht="12" customHeight="1" x14ac:dyDescent="0.2">
      <c r="A1070" s="346" t="s">
        <v>187</v>
      </c>
      <c r="B1070" s="200" t="s">
        <v>134</v>
      </c>
      <c r="C1070" s="312" t="s">
        <v>109</v>
      </c>
      <c r="D1070" s="201">
        <f>D1066</f>
        <v>3</v>
      </c>
      <c r="E1070" s="144"/>
      <c r="F1070" s="145"/>
      <c r="G1070" s="146">
        <f t="shared" si="144"/>
        <v>0</v>
      </c>
    </row>
    <row r="1071" spans="1:7" ht="12" customHeight="1" x14ac:dyDescent="0.2">
      <c r="A1071" s="346" t="s">
        <v>188</v>
      </c>
      <c r="B1071" s="200" t="s">
        <v>135</v>
      </c>
      <c r="C1071" s="312" t="s">
        <v>109</v>
      </c>
      <c r="D1071" s="201">
        <f>D1066</f>
        <v>3</v>
      </c>
      <c r="E1071" s="144"/>
      <c r="F1071" s="145"/>
      <c r="G1071" s="146">
        <f t="shared" si="144"/>
        <v>0</v>
      </c>
    </row>
    <row r="1072" spans="1:7" ht="12" customHeight="1" x14ac:dyDescent="0.2">
      <c r="A1072" s="346" t="s">
        <v>189</v>
      </c>
      <c r="B1072" s="200" t="s">
        <v>416</v>
      </c>
      <c r="C1072" s="312" t="s">
        <v>109</v>
      </c>
      <c r="D1072" s="201">
        <v>4</v>
      </c>
      <c r="E1072" s="144"/>
      <c r="F1072" s="145"/>
      <c r="G1072" s="146">
        <f t="shared" si="144"/>
        <v>0</v>
      </c>
    </row>
    <row r="1073" spans="1:7" ht="12" customHeight="1" x14ac:dyDescent="0.2">
      <c r="A1073" s="346" t="s">
        <v>190</v>
      </c>
      <c r="B1073" s="200" t="s">
        <v>222</v>
      </c>
      <c r="C1073" s="312" t="s">
        <v>109</v>
      </c>
      <c r="D1073" s="201">
        <f>D1066</f>
        <v>3</v>
      </c>
      <c r="E1073" s="144"/>
      <c r="F1073" s="145"/>
      <c r="G1073" s="146">
        <f t="shared" si="144"/>
        <v>0</v>
      </c>
    </row>
    <row r="1074" spans="1:7" ht="12" customHeight="1" x14ac:dyDescent="0.2">
      <c r="A1074" s="346" t="s">
        <v>191</v>
      </c>
      <c r="B1074" s="200" t="s">
        <v>273</v>
      </c>
      <c r="C1074" s="312" t="s">
        <v>109</v>
      </c>
      <c r="D1074" s="201">
        <v>4</v>
      </c>
      <c r="E1074" s="144"/>
      <c r="F1074" s="145"/>
      <c r="G1074" s="146">
        <f t="shared" si="144"/>
        <v>0</v>
      </c>
    </row>
    <row r="1075" spans="1:7" ht="12" customHeight="1" x14ac:dyDescent="0.2">
      <c r="A1075" s="346" t="s">
        <v>193</v>
      </c>
      <c r="B1075" s="200" t="s">
        <v>422</v>
      </c>
      <c r="C1075" s="312" t="s">
        <v>109</v>
      </c>
      <c r="D1075" s="201">
        <v>3</v>
      </c>
      <c r="E1075" s="144"/>
      <c r="F1075" s="145"/>
      <c r="G1075" s="146">
        <f t="shared" si="144"/>
        <v>0</v>
      </c>
    </row>
    <row r="1076" spans="1:7" ht="12" customHeight="1" x14ac:dyDescent="0.2">
      <c r="A1076" s="339" t="s">
        <v>185</v>
      </c>
      <c r="B1076" s="350" t="s">
        <v>223</v>
      </c>
      <c r="C1076" s="351"/>
      <c r="D1076" s="342"/>
      <c r="E1076" s="343"/>
      <c r="F1076" s="348"/>
      <c r="G1076" s="349">
        <f t="shared" si="144"/>
        <v>0</v>
      </c>
    </row>
    <row r="1077" spans="1:7" ht="37.5" customHeight="1" x14ac:dyDescent="0.2">
      <c r="A1077" s="346" t="s">
        <v>171</v>
      </c>
      <c r="B1077" s="200" t="s">
        <v>224</v>
      </c>
      <c r="C1077" s="312" t="s">
        <v>15</v>
      </c>
      <c r="D1077" s="201">
        <v>1</v>
      </c>
      <c r="E1077" s="144"/>
      <c r="F1077" s="145"/>
      <c r="G1077" s="146">
        <f t="shared" si="144"/>
        <v>0</v>
      </c>
    </row>
    <row r="1078" spans="1:7" ht="12" customHeight="1" x14ac:dyDescent="0.2">
      <c r="A1078" s="140"/>
      <c r="B1078" s="289"/>
      <c r="C1078" s="315"/>
      <c r="D1078" s="143"/>
      <c r="E1078" s="144"/>
      <c r="F1078" s="145"/>
      <c r="G1078" s="146"/>
    </row>
    <row r="1079" spans="1:7" x14ac:dyDescent="0.2">
      <c r="A1079" s="360" t="s">
        <v>55</v>
      </c>
      <c r="B1079" s="361" t="s">
        <v>281</v>
      </c>
      <c r="C1079" s="362"/>
      <c r="D1079" s="363"/>
      <c r="E1079" s="310"/>
      <c r="F1079" s="182"/>
      <c r="G1079" s="183"/>
    </row>
    <row r="1080" spans="1:7" x14ac:dyDescent="0.2">
      <c r="A1080" s="339" t="s">
        <v>171</v>
      </c>
      <c r="B1080" s="350" t="s">
        <v>223</v>
      </c>
      <c r="C1080" s="351"/>
      <c r="D1080" s="342"/>
      <c r="E1080" s="343"/>
      <c r="F1080" s="348"/>
      <c r="G1080" s="349">
        <f t="shared" ref="G1080:G1081" si="145">(D1080*E1080)+(D1080*F1080)</f>
        <v>0</v>
      </c>
    </row>
    <row r="1081" spans="1:7" ht="36" x14ac:dyDescent="0.2">
      <c r="A1081" s="346" t="s">
        <v>171</v>
      </c>
      <c r="B1081" s="200" t="s">
        <v>343</v>
      </c>
      <c r="C1081" s="312" t="s">
        <v>15</v>
      </c>
      <c r="D1081" s="201">
        <v>1</v>
      </c>
      <c r="E1081" s="144"/>
      <c r="F1081" s="145"/>
      <c r="G1081" s="146">
        <f t="shared" si="145"/>
        <v>0</v>
      </c>
    </row>
    <row r="1082" spans="1:7" x14ac:dyDescent="0.2">
      <c r="A1082" s="140"/>
      <c r="B1082" s="289"/>
      <c r="C1082" s="315"/>
      <c r="D1082" s="143"/>
      <c r="E1082" s="144"/>
      <c r="F1082" s="145"/>
      <c r="G1082" s="146"/>
    </row>
    <row r="1083" spans="1:7" x14ac:dyDescent="0.2">
      <c r="A1083" s="140"/>
      <c r="B1083" s="289"/>
      <c r="C1083" s="315"/>
      <c r="D1083" s="143"/>
      <c r="E1083" s="144"/>
      <c r="F1083" s="145"/>
      <c r="G1083" s="146"/>
    </row>
    <row r="1084" spans="1:7" x14ac:dyDescent="0.2">
      <c r="A1084" s="140"/>
      <c r="B1084" s="289"/>
      <c r="C1084" s="315"/>
      <c r="D1084" s="143"/>
      <c r="E1084" s="144"/>
      <c r="F1084" s="145"/>
      <c r="G1084" s="146"/>
    </row>
    <row r="1085" spans="1:7" x14ac:dyDescent="0.2">
      <c r="A1085" s="140"/>
      <c r="B1085" s="289"/>
      <c r="C1085" s="315"/>
      <c r="D1085" s="143"/>
      <c r="E1085" s="144"/>
      <c r="F1085" s="145"/>
      <c r="G1085" s="146"/>
    </row>
    <row r="1086" spans="1:7" x14ac:dyDescent="0.2">
      <c r="A1086" s="140"/>
      <c r="B1086" s="289"/>
      <c r="C1086" s="315"/>
      <c r="D1086" s="143"/>
      <c r="E1086" s="144"/>
      <c r="F1086" s="145"/>
      <c r="G1086" s="146"/>
    </row>
    <row r="1087" spans="1:7" x14ac:dyDescent="0.2">
      <c r="A1087" s="140"/>
      <c r="B1087" s="289"/>
      <c r="C1087" s="315"/>
      <c r="D1087" s="143"/>
      <c r="E1087" s="144"/>
      <c r="F1087" s="145"/>
      <c r="G1087" s="146"/>
    </row>
    <row r="1088" spans="1:7" x14ac:dyDescent="0.2">
      <c r="A1088" s="140"/>
      <c r="B1088" s="289"/>
      <c r="C1088" s="315"/>
      <c r="D1088" s="143"/>
      <c r="E1088" s="144"/>
      <c r="F1088" s="145"/>
      <c r="G1088" s="146"/>
    </row>
    <row r="1089" spans="1:7" ht="12.75" thickBot="1" x14ac:dyDescent="0.25">
      <c r="A1089" s="140"/>
      <c r="B1089" s="289"/>
      <c r="C1089" s="315"/>
      <c r="D1089" s="143"/>
      <c r="E1089" s="144"/>
      <c r="F1089" s="145"/>
      <c r="G1089" s="146"/>
    </row>
    <row r="1090" spans="1:7" x14ac:dyDescent="0.2">
      <c r="A1090" s="117"/>
      <c r="B1090" s="118" t="s">
        <v>205</v>
      </c>
      <c r="C1090" s="130"/>
      <c r="D1090" s="120"/>
      <c r="E1090" s="121"/>
      <c r="F1090" s="224"/>
      <c r="G1090" s="171"/>
    </row>
    <row r="1091" spans="1:7" ht="12.75" thickBot="1" x14ac:dyDescent="0.25">
      <c r="A1091" s="123"/>
      <c r="B1091" s="106" t="s">
        <v>125</v>
      </c>
      <c r="C1091" s="131"/>
      <c r="D1091" s="125"/>
      <c r="E1091" s="126"/>
      <c r="F1091" s="225"/>
      <c r="G1091" s="110">
        <f>SUM(G1017:G1090)</f>
        <v>0</v>
      </c>
    </row>
    <row r="1092" spans="1:7" ht="12.75" thickBot="1" x14ac:dyDescent="0.25">
      <c r="A1092" s="74"/>
      <c r="B1092" s="82"/>
      <c r="C1092" s="44"/>
      <c r="D1092" s="59"/>
      <c r="E1092" s="45"/>
      <c r="F1092" s="46"/>
      <c r="G1092" s="67"/>
    </row>
    <row r="1093" spans="1:7" x14ac:dyDescent="0.2">
      <c r="A1093" s="117"/>
      <c r="B1093" s="545" t="s">
        <v>126</v>
      </c>
      <c r="C1093" s="130"/>
      <c r="D1093" s="120"/>
      <c r="E1093" s="121"/>
      <c r="F1093" s="224"/>
      <c r="G1093" s="171"/>
    </row>
    <row r="1094" spans="1:7" x14ac:dyDescent="0.2">
      <c r="A1094" s="61"/>
      <c r="B1094" s="546" t="s">
        <v>95</v>
      </c>
      <c r="C1094" s="66"/>
      <c r="D1094" s="57"/>
      <c r="E1094" s="64"/>
      <c r="F1094" s="547"/>
      <c r="G1094" s="67"/>
    </row>
    <row r="1095" spans="1:7" x14ac:dyDescent="0.2">
      <c r="A1095" s="98" t="s">
        <v>128</v>
      </c>
      <c r="B1095" s="548" t="s">
        <v>40</v>
      </c>
      <c r="C1095" s="66"/>
      <c r="D1095" s="57"/>
      <c r="E1095" s="99"/>
      <c r="F1095" s="547"/>
      <c r="G1095" s="67"/>
    </row>
    <row r="1096" spans="1:7" ht="31.5" customHeight="1" x14ac:dyDescent="0.2">
      <c r="A1096" s="100"/>
      <c r="B1096" s="622" t="s">
        <v>286</v>
      </c>
      <c r="C1096" s="623"/>
      <c r="D1096" s="623"/>
      <c r="E1096" s="623"/>
      <c r="F1096" s="624"/>
      <c r="G1096" s="81"/>
    </row>
    <row r="1097" spans="1:7" ht="34.5" customHeight="1" x14ac:dyDescent="0.2">
      <c r="A1097" s="100"/>
      <c r="B1097" s="622" t="s">
        <v>287</v>
      </c>
      <c r="C1097" s="623"/>
      <c r="D1097" s="623"/>
      <c r="E1097" s="623"/>
      <c r="F1097" s="624"/>
      <c r="G1097" s="81"/>
    </row>
    <row r="1098" spans="1:7" ht="33.75" customHeight="1" x14ac:dyDescent="0.2">
      <c r="A1098" s="100"/>
      <c r="B1098" s="622" t="s">
        <v>285</v>
      </c>
      <c r="C1098" s="623"/>
      <c r="D1098" s="623"/>
      <c r="E1098" s="623"/>
      <c r="F1098" s="624"/>
      <c r="G1098" s="81"/>
    </row>
    <row r="1099" spans="1:7" ht="30.75" customHeight="1" x14ac:dyDescent="0.2">
      <c r="A1099" s="101"/>
      <c r="B1099" s="622" t="s">
        <v>514</v>
      </c>
      <c r="C1099" s="623"/>
      <c r="D1099" s="623"/>
      <c r="E1099" s="623"/>
      <c r="F1099" s="624"/>
      <c r="G1099" s="81"/>
    </row>
    <row r="1100" spans="1:7" ht="20.25" customHeight="1" thickBot="1" x14ac:dyDescent="0.25">
      <c r="A1100" s="366"/>
      <c r="B1100" s="625" t="s">
        <v>513</v>
      </c>
      <c r="C1100" s="626"/>
      <c r="D1100" s="626"/>
      <c r="E1100" s="626"/>
      <c r="F1100" s="627"/>
      <c r="G1100" s="331"/>
    </row>
    <row r="1101" spans="1:7" x14ac:dyDescent="0.2">
      <c r="A1101" s="367" t="s">
        <v>156</v>
      </c>
      <c r="B1101" s="368" t="s">
        <v>64</v>
      </c>
      <c r="C1101" s="369"/>
      <c r="D1101" s="370"/>
      <c r="E1101" s="371"/>
      <c r="F1101" s="372"/>
      <c r="G1101" s="373"/>
    </row>
    <row r="1102" spans="1:7" ht="12.75" x14ac:dyDescent="0.2">
      <c r="A1102" s="374" t="s">
        <v>171</v>
      </c>
      <c r="B1102" s="375" t="s">
        <v>232</v>
      </c>
      <c r="C1102" s="235"/>
      <c r="D1102" s="236"/>
      <c r="E1102" s="237"/>
      <c r="F1102" s="196"/>
      <c r="G1102" s="197">
        <f>D1102*E1102</f>
        <v>0</v>
      </c>
    </row>
    <row r="1103" spans="1:7" ht="25.5" customHeight="1" x14ac:dyDescent="0.2">
      <c r="A1103" s="376" t="s">
        <v>194</v>
      </c>
      <c r="B1103" s="377" t="s">
        <v>515</v>
      </c>
      <c r="C1103" s="378" t="s">
        <v>8</v>
      </c>
      <c r="D1103" s="379">
        <v>1</v>
      </c>
      <c r="E1103" s="380"/>
      <c r="F1103" s="380"/>
      <c r="G1103" s="381">
        <f>+D1103*E1103+D1103*F1103</f>
        <v>0</v>
      </c>
    </row>
    <row r="1104" spans="1:7" ht="25.5" x14ac:dyDescent="0.2">
      <c r="A1104" s="376" t="s">
        <v>195</v>
      </c>
      <c r="B1104" s="382" t="s">
        <v>254</v>
      </c>
      <c r="C1104" s="378" t="s">
        <v>8</v>
      </c>
      <c r="D1104" s="379">
        <v>1</v>
      </c>
      <c r="E1104" s="237"/>
      <c r="F1104" s="380"/>
      <c r="G1104" s="381">
        <f t="shared" ref="G1104:G1131" si="146">+D1104*E1104+D1104*F1104</f>
        <v>0</v>
      </c>
    </row>
    <row r="1105" spans="1:7" ht="12.75" x14ac:dyDescent="0.2">
      <c r="A1105" s="374" t="s">
        <v>172</v>
      </c>
      <c r="B1105" s="375" t="s">
        <v>233</v>
      </c>
      <c r="C1105" s="383"/>
      <c r="D1105" s="384"/>
      <c r="E1105" s="237"/>
      <c r="F1105" s="380"/>
      <c r="G1105" s="385">
        <f t="shared" si="146"/>
        <v>0</v>
      </c>
    </row>
    <row r="1106" spans="1:7" ht="12.75" x14ac:dyDescent="0.2">
      <c r="A1106" s="376"/>
      <c r="B1106" s="382" t="s">
        <v>344</v>
      </c>
      <c r="C1106" s="235" t="s">
        <v>8</v>
      </c>
      <c r="D1106" s="236">
        <v>24</v>
      </c>
      <c r="E1106" s="237"/>
      <c r="F1106" s="380"/>
      <c r="G1106" s="385">
        <f t="shared" si="146"/>
        <v>0</v>
      </c>
    </row>
    <row r="1107" spans="1:7" ht="12.75" x14ac:dyDescent="0.2">
      <c r="A1107" s="376"/>
      <c r="B1107" s="382" t="s">
        <v>345</v>
      </c>
      <c r="C1107" s="235" t="s">
        <v>8</v>
      </c>
      <c r="D1107" s="236">
        <v>9</v>
      </c>
      <c r="E1107" s="237"/>
      <c r="F1107" s="380"/>
      <c r="G1107" s="385">
        <f t="shared" ref="G1107" si="147">+D1107*E1107+D1107*F1107</f>
        <v>0</v>
      </c>
    </row>
    <row r="1108" spans="1:7" ht="12.75" x14ac:dyDescent="0.2">
      <c r="A1108" s="376"/>
      <c r="B1108" s="382" t="s">
        <v>290</v>
      </c>
      <c r="C1108" s="235" t="s">
        <v>8</v>
      </c>
      <c r="D1108" s="236">
        <v>6</v>
      </c>
      <c r="E1108" s="237"/>
      <c r="F1108" s="380"/>
      <c r="G1108" s="385">
        <f t="shared" si="146"/>
        <v>0</v>
      </c>
    </row>
    <row r="1109" spans="1:7" ht="12.75" x14ac:dyDescent="0.2">
      <c r="A1109" s="376"/>
      <c r="B1109" s="382" t="s">
        <v>278</v>
      </c>
      <c r="C1109" s="235" t="s">
        <v>8</v>
      </c>
      <c r="D1109" s="236">
        <v>12</v>
      </c>
      <c r="E1109" s="237"/>
      <c r="F1109" s="380"/>
      <c r="G1109" s="385">
        <f t="shared" si="146"/>
        <v>0</v>
      </c>
    </row>
    <row r="1110" spans="1:7" ht="12.75" x14ac:dyDescent="0.2">
      <c r="A1110" s="376"/>
      <c r="B1110" s="382" t="s">
        <v>409</v>
      </c>
      <c r="C1110" s="235" t="s">
        <v>8</v>
      </c>
      <c r="D1110" s="236">
        <v>3</v>
      </c>
      <c r="E1110" s="237"/>
      <c r="F1110" s="380"/>
      <c r="G1110" s="385">
        <f t="shared" si="146"/>
        <v>0</v>
      </c>
    </row>
    <row r="1111" spans="1:7" ht="12.75" x14ac:dyDescent="0.2">
      <c r="A1111" s="376"/>
      <c r="B1111" s="382" t="s">
        <v>346</v>
      </c>
      <c r="C1111" s="378" t="s">
        <v>8</v>
      </c>
      <c r="D1111" s="379">
        <v>0</v>
      </c>
      <c r="E1111" s="237"/>
      <c r="F1111" s="380"/>
      <c r="G1111" s="385">
        <f t="shared" ref="G1111:G1115" si="148">+D1111*E1111+D1111*F1111</f>
        <v>0</v>
      </c>
    </row>
    <row r="1112" spans="1:7" ht="12.75" x14ac:dyDescent="0.2">
      <c r="A1112" s="376"/>
      <c r="B1112" s="382" t="s">
        <v>516</v>
      </c>
      <c r="C1112" s="378" t="s">
        <v>8</v>
      </c>
      <c r="D1112" s="379">
        <v>15</v>
      </c>
      <c r="E1112" s="237"/>
      <c r="F1112" s="380"/>
      <c r="G1112" s="385">
        <f t="shared" ref="G1112:G1113" si="149">+D1112*E1112+D1112*F1112</f>
        <v>0</v>
      </c>
    </row>
    <row r="1113" spans="1:7" ht="12.75" x14ac:dyDescent="0.2">
      <c r="A1113" s="376"/>
      <c r="B1113" s="382" t="s">
        <v>408</v>
      </c>
      <c r="C1113" s="378" t="s">
        <v>8</v>
      </c>
      <c r="D1113" s="379">
        <v>3</v>
      </c>
      <c r="E1113" s="237"/>
      <c r="F1113" s="380"/>
      <c r="G1113" s="385">
        <f t="shared" si="149"/>
        <v>0</v>
      </c>
    </row>
    <row r="1114" spans="1:7" ht="12.75" x14ac:dyDescent="0.2">
      <c r="A1114" s="376"/>
      <c r="B1114" s="382" t="s">
        <v>347</v>
      </c>
      <c r="C1114" s="378" t="s">
        <v>8</v>
      </c>
      <c r="D1114" s="379">
        <v>12</v>
      </c>
      <c r="E1114" s="237"/>
      <c r="F1114" s="380"/>
      <c r="G1114" s="385">
        <f t="shared" si="148"/>
        <v>0</v>
      </c>
    </row>
    <row r="1115" spans="1:7" ht="12.75" x14ac:dyDescent="0.2">
      <c r="A1115" s="376"/>
      <c r="B1115" s="382" t="s">
        <v>517</v>
      </c>
      <c r="C1115" s="235" t="s">
        <v>8</v>
      </c>
      <c r="D1115" s="236">
        <v>4</v>
      </c>
      <c r="E1115" s="237"/>
      <c r="F1115" s="380"/>
      <c r="G1115" s="385">
        <f t="shared" si="148"/>
        <v>0</v>
      </c>
    </row>
    <row r="1116" spans="1:7" ht="12.75" x14ac:dyDescent="0.2">
      <c r="A1116" s="376"/>
      <c r="B1116" s="382" t="s">
        <v>348</v>
      </c>
      <c r="C1116" s="235" t="s">
        <v>8</v>
      </c>
      <c r="D1116" s="236">
        <v>1</v>
      </c>
      <c r="E1116" s="237"/>
      <c r="F1116" s="380"/>
      <c r="G1116" s="385">
        <f t="shared" ref="G1116:G1118" si="150">+D1116*E1116+D1116*F1116</f>
        <v>0</v>
      </c>
    </row>
    <row r="1117" spans="1:7" ht="12.75" x14ac:dyDescent="0.2">
      <c r="A1117" s="376"/>
      <c r="B1117" s="382" t="s">
        <v>349</v>
      </c>
      <c r="C1117" s="235" t="s">
        <v>8</v>
      </c>
      <c r="D1117" s="236">
        <v>2</v>
      </c>
      <c r="E1117" s="237"/>
      <c r="F1117" s="380"/>
      <c r="G1117" s="385">
        <f t="shared" si="150"/>
        <v>0</v>
      </c>
    </row>
    <row r="1118" spans="1:7" ht="12.75" x14ac:dyDescent="0.2">
      <c r="A1118" s="376"/>
      <c r="B1118" s="382" t="s">
        <v>350</v>
      </c>
      <c r="C1118" s="235" t="s">
        <v>8</v>
      </c>
      <c r="D1118" s="236">
        <v>6</v>
      </c>
      <c r="E1118" s="237"/>
      <c r="F1118" s="380"/>
      <c r="G1118" s="385">
        <f t="shared" si="150"/>
        <v>0</v>
      </c>
    </row>
    <row r="1119" spans="1:7" ht="12.75" x14ac:dyDescent="0.2">
      <c r="A1119" s="376"/>
      <c r="B1119" s="382" t="s">
        <v>351</v>
      </c>
      <c r="C1119" s="235" t="s">
        <v>8</v>
      </c>
      <c r="D1119" s="236">
        <f>D1109</f>
        <v>12</v>
      </c>
      <c r="E1119" s="237"/>
      <c r="F1119" s="380"/>
      <c r="G1119" s="385">
        <f t="shared" si="146"/>
        <v>0</v>
      </c>
    </row>
    <row r="1120" spans="1:7" ht="12.75" x14ac:dyDescent="0.2">
      <c r="A1120" s="376"/>
      <c r="B1120" s="382" t="s">
        <v>352</v>
      </c>
      <c r="C1120" s="235" t="s">
        <v>8</v>
      </c>
      <c r="D1120" s="236">
        <v>3</v>
      </c>
      <c r="E1120" s="237"/>
      <c r="F1120" s="380"/>
      <c r="G1120" s="385">
        <f t="shared" ref="G1120" si="151">+D1120*E1120+D1120*F1120</f>
        <v>0</v>
      </c>
    </row>
    <row r="1121" spans="1:7" ht="12.75" x14ac:dyDescent="0.2">
      <c r="A1121" s="376"/>
      <c r="B1121" s="382" t="s">
        <v>353</v>
      </c>
      <c r="C1121" s="235" t="s">
        <v>8</v>
      </c>
      <c r="D1121" s="236">
        <v>3</v>
      </c>
      <c r="E1121" s="237"/>
      <c r="F1121" s="380"/>
      <c r="G1121" s="385">
        <f t="shared" si="146"/>
        <v>0</v>
      </c>
    </row>
    <row r="1122" spans="1:7" ht="12.75" x14ac:dyDescent="0.2">
      <c r="A1122" s="376"/>
      <c r="B1122" s="382" t="s">
        <v>354</v>
      </c>
      <c r="C1122" s="235" t="s">
        <v>8</v>
      </c>
      <c r="D1122" s="236">
        <v>3</v>
      </c>
      <c r="E1122" s="237"/>
      <c r="F1122" s="380"/>
      <c r="G1122" s="385">
        <f t="shared" ref="G1122:G1125" si="152">+D1122*E1122+D1122*F1122</f>
        <v>0</v>
      </c>
    </row>
    <row r="1123" spans="1:7" ht="12.75" x14ac:dyDescent="0.2">
      <c r="A1123" s="376"/>
      <c r="B1123" s="382" t="s">
        <v>380</v>
      </c>
      <c r="C1123" s="235" t="s">
        <v>8</v>
      </c>
      <c r="D1123" s="236">
        <v>4</v>
      </c>
      <c r="E1123" s="237"/>
      <c r="F1123" s="380"/>
      <c r="G1123" s="385">
        <f t="shared" si="152"/>
        <v>0</v>
      </c>
    </row>
    <row r="1124" spans="1:7" ht="12.75" x14ac:dyDescent="0.2">
      <c r="A1124" s="376"/>
      <c r="B1124" s="382" t="s">
        <v>355</v>
      </c>
      <c r="C1124" s="235" t="s">
        <v>8</v>
      </c>
      <c r="D1124" s="236">
        <v>6</v>
      </c>
      <c r="E1124" s="237"/>
      <c r="F1124" s="380"/>
      <c r="G1124" s="385">
        <f t="shared" si="152"/>
        <v>0</v>
      </c>
    </row>
    <row r="1125" spans="1:7" ht="12.75" x14ac:dyDescent="0.2">
      <c r="A1125" s="376"/>
      <c r="B1125" s="382" t="s">
        <v>381</v>
      </c>
      <c r="C1125" s="235" t="s">
        <v>8</v>
      </c>
      <c r="D1125" s="236">
        <v>3</v>
      </c>
      <c r="E1125" s="237"/>
      <c r="F1125" s="380"/>
      <c r="G1125" s="385">
        <f t="shared" si="152"/>
        <v>0</v>
      </c>
    </row>
    <row r="1126" spans="1:7" ht="12.75" x14ac:dyDescent="0.2">
      <c r="A1126" s="374" t="s">
        <v>185</v>
      </c>
      <c r="B1126" s="375" t="s">
        <v>234</v>
      </c>
      <c r="C1126" s="383"/>
      <c r="D1126" s="384"/>
      <c r="E1126" s="237"/>
      <c r="F1126" s="380"/>
      <c r="G1126" s="385">
        <f t="shared" si="146"/>
        <v>0</v>
      </c>
    </row>
    <row r="1127" spans="1:7" ht="13.5" x14ac:dyDescent="0.2">
      <c r="A1127" s="140" t="s">
        <v>171</v>
      </c>
      <c r="B1127" s="289" t="s">
        <v>256</v>
      </c>
      <c r="C1127" s="315" t="s">
        <v>235</v>
      </c>
      <c r="D1127" s="143">
        <f>D1106+D1108+D1109+D1107+D1110</f>
        <v>54</v>
      </c>
      <c r="E1127" s="144"/>
      <c r="F1127" s="380"/>
      <c r="G1127" s="385">
        <f t="shared" si="146"/>
        <v>0</v>
      </c>
    </row>
    <row r="1128" spans="1:7" ht="13.5" x14ac:dyDescent="0.2">
      <c r="A1128" s="140" t="s">
        <v>172</v>
      </c>
      <c r="B1128" s="289" t="s">
        <v>255</v>
      </c>
      <c r="C1128" s="315" t="s">
        <v>235</v>
      </c>
      <c r="D1128" s="143">
        <f>D1111+D1112+D1113+D1114</f>
        <v>30</v>
      </c>
      <c r="E1128" s="144"/>
      <c r="F1128" s="380"/>
      <c r="G1128" s="385">
        <f t="shared" si="146"/>
        <v>0</v>
      </c>
    </row>
    <row r="1129" spans="1:7" ht="13.5" x14ac:dyDescent="0.2">
      <c r="A1129" s="140" t="s">
        <v>185</v>
      </c>
      <c r="B1129" s="289" t="s">
        <v>257</v>
      </c>
      <c r="C1129" s="315" t="s">
        <v>109</v>
      </c>
      <c r="D1129" s="143">
        <f>D1104</f>
        <v>1</v>
      </c>
      <c r="E1129" s="144"/>
      <c r="F1129" s="380"/>
      <c r="G1129" s="385">
        <f t="shared" si="146"/>
        <v>0</v>
      </c>
    </row>
    <row r="1130" spans="1:7" x14ac:dyDescent="0.2">
      <c r="A1130" s="140" t="s">
        <v>186</v>
      </c>
      <c r="B1130" s="289" t="s">
        <v>414</v>
      </c>
      <c r="C1130" s="315" t="s">
        <v>109</v>
      </c>
      <c r="D1130" s="143">
        <f>D1122</f>
        <v>3</v>
      </c>
      <c r="E1130" s="144"/>
      <c r="F1130" s="380"/>
      <c r="G1130" s="385">
        <f t="shared" si="146"/>
        <v>0</v>
      </c>
    </row>
    <row r="1131" spans="1:7" x14ac:dyDescent="0.2">
      <c r="A1131" s="140" t="s">
        <v>187</v>
      </c>
      <c r="B1131" s="289" t="s">
        <v>413</v>
      </c>
      <c r="C1131" s="315" t="s">
        <v>109</v>
      </c>
      <c r="D1131" s="143">
        <f>D1120</f>
        <v>3</v>
      </c>
      <c r="E1131" s="144"/>
      <c r="F1131" s="380"/>
      <c r="G1131" s="385">
        <f t="shared" si="146"/>
        <v>0</v>
      </c>
    </row>
    <row r="1132" spans="1:7" x14ac:dyDescent="0.2">
      <c r="A1132" s="140" t="s">
        <v>188</v>
      </c>
      <c r="B1132" s="289" t="s">
        <v>412</v>
      </c>
      <c r="C1132" s="315" t="s">
        <v>109</v>
      </c>
      <c r="D1132" s="143">
        <f>D1121</f>
        <v>3</v>
      </c>
      <c r="E1132" s="144"/>
      <c r="F1132" s="380"/>
      <c r="G1132" s="385">
        <f t="shared" ref="G1132" si="153">+D1132*E1132+D1132*F1132</f>
        <v>0</v>
      </c>
    </row>
    <row r="1133" spans="1:7" ht="12.75" customHeight="1" x14ac:dyDescent="0.2">
      <c r="A1133" s="140" t="s">
        <v>189</v>
      </c>
      <c r="B1133" s="289" t="s">
        <v>411</v>
      </c>
      <c r="C1133" s="315" t="s">
        <v>109</v>
      </c>
      <c r="D1133" s="143">
        <f>D1122</f>
        <v>3</v>
      </c>
      <c r="E1133" s="144"/>
      <c r="F1133" s="380"/>
      <c r="G1133" s="385">
        <f t="shared" ref="G1133:G1134" si="154">+D1133*E1133+D1133*F1133</f>
        <v>0</v>
      </c>
    </row>
    <row r="1134" spans="1:7" x14ac:dyDescent="0.2">
      <c r="A1134" s="140" t="s">
        <v>190</v>
      </c>
      <c r="B1134" s="289" t="s">
        <v>415</v>
      </c>
      <c r="C1134" s="315" t="s">
        <v>109</v>
      </c>
      <c r="D1134" s="143">
        <f>D1123</f>
        <v>4</v>
      </c>
      <c r="E1134" s="144"/>
      <c r="F1134" s="380"/>
      <c r="G1134" s="385">
        <f t="shared" si="154"/>
        <v>0</v>
      </c>
    </row>
    <row r="1135" spans="1:7" x14ac:dyDescent="0.2">
      <c r="A1135" s="140"/>
      <c r="B1135" s="289"/>
      <c r="C1135" s="315"/>
      <c r="D1135" s="143"/>
      <c r="E1135" s="144"/>
      <c r="F1135" s="380"/>
      <c r="G1135" s="385"/>
    </row>
    <row r="1136" spans="1:7" x14ac:dyDescent="0.2">
      <c r="A1136" s="140"/>
      <c r="B1136" s="289"/>
      <c r="C1136" s="315"/>
      <c r="D1136" s="143"/>
      <c r="E1136" s="144"/>
      <c r="F1136" s="380"/>
      <c r="G1136" s="385"/>
    </row>
    <row r="1137" spans="1:7" x14ac:dyDescent="0.2">
      <c r="A1137" s="140"/>
      <c r="B1137" s="289"/>
      <c r="C1137" s="315"/>
      <c r="D1137" s="143"/>
      <c r="E1137" s="144"/>
      <c r="F1137" s="380"/>
      <c r="G1137" s="385"/>
    </row>
    <row r="1138" spans="1:7" ht="12.75" thickBot="1" x14ac:dyDescent="0.25">
      <c r="A1138" s="274"/>
      <c r="B1138" s="364"/>
      <c r="C1138" s="365"/>
      <c r="D1138" s="276"/>
      <c r="E1138" s="160"/>
      <c r="F1138" s="386"/>
      <c r="G1138" s="387"/>
    </row>
    <row r="1139" spans="1:7" x14ac:dyDescent="0.2">
      <c r="A1139" s="140"/>
      <c r="B1139" s="289"/>
      <c r="C1139" s="315"/>
      <c r="D1139" s="143"/>
      <c r="E1139" s="144"/>
      <c r="F1139" s="380"/>
      <c r="G1139" s="385"/>
    </row>
    <row r="1140" spans="1:7" x14ac:dyDescent="0.2">
      <c r="A1140" s="388" t="s">
        <v>157</v>
      </c>
      <c r="B1140" s="389" t="s">
        <v>66</v>
      </c>
      <c r="C1140" s="390"/>
      <c r="D1140" s="391"/>
      <c r="E1140" s="392"/>
      <c r="F1140" s="393"/>
      <c r="G1140" s="394"/>
    </row>
    <row r="1141" spans="1:7" ht="12.75" x14ac:dyDescent="0.2">
      <c r="A1141" s="374" t="s">
        <v>171</v>
      </c>
      <c r="B1141" s="375" t="s">
        <v>232</v>
      </c>
      <c r="C1141" s="235"/>
      <c r="D1141" s="236"/>
      <c r="E1141" s="237"/>
      <c r="F1141" s="196"/>
      <c r="G1141" s="197">
        <f>D1141*E1141</f>
        <v>0</v>
      </c>
    </row>
    <row r="1142" spans="1:7" ht="25.5" x14ac:dyDescent="0.2">
      <c r="A1142" s="376" t="s">
        <v>194</v>
      </c>
      <c r="B1142" s="382" t="s">
        <v>254</v>
      </c>
      <c r="C1142" s="378" t="s">
        <v>8</v>
      </c>
      <c r="D1142" s="379">
        <v>1</v>
      </c>
      <c r="E1142" s="237"/>
      <c r="F1142" s="380"/>
      <c r="G1142" s="381">
        <f t="shared" ref="G1142:G1171" si="155">+D1142*E1142+D1142*F1142</f>
        <v>0</v>
      </c>
    </row>
    <row r="1143" spans="1:7" ht="12.75" x14ac:dyDescent="0.2">
      <c r="A1143" s="374" t="s">
        <v>172</v>
      </c>
      <c r="B1143" s="375" t="s">
        <v>233</v>
      </c>
      <c r="C1143" s="383"/>
      <c r="D1143" s="384"/>
      <c r="E1143" s="237"/>
      <c r="F1143" s="380"/>
      <c r="G1143" s="385">
        <f t="shared" si="155"/>
        <v>0</v>
      </c>
    </row>
    <row r="1144" spans="1:7" ht="12.75" x14ac:dyDescent="0.2">
      <c r="A1144" s="376"/>
      <c r="B1144" s="382" t="s">
        <v>344</v>
      </c>
      <c r="C1144" s="235" t="s">
        <v>8</v>
      </c>
      <c r="D1144" s="236">
        <v>24</v>
      </c>
      <c r="E1144" s="237"/>
      <c r="F1144" s="380"/>
      <c r="G1144" s="385">
        <f t="shared" si="155"/>
        <v>0</v>
      </c>
    </row>
    <row r="1145" spans="1:7" ht="12.75" x14ac:dyDescent="0.2">
      <c r="A1145" s="376"/>
      <c r="B1145" s="382" t="s">
        <v>345</v>
      </c>
      <c r="C1145" s="235" t="s">
        <v>8</v>
      </c>
      <c r="D1145" s="236">
        <v>12</v>
      </c>
      <c r="E1145" s="237"/>
      <c r="F1145" s="380"/>
      <c r="G1145" s="385">
        <f t="shared" si="155"/>
        <v>0</v>
      </c>
    </row>
    <row r="1146" spans="1:7" ht="12.75" x14ac:dyDescent="0.2">
      <c r="A1146" s="376"/>
      <c r="B1146" s="382" t="s">
        <v>278</v>
      </c>
      <c r="C1146" s="235" t="s">
        <v>8</v>
      </c>
      <c r="D1146" s="236">
        <v>12</v>
      </c>
      <c r="E1146" s="237"/>
      <c r="F1146" s="380"/>
      <c r="G1146" s="385">
        <f t="shared" si="155"/>
        <v>0</v>
      </c>
    </row>
    <row r="1147" spans="1:7" ht="12.75" x14ac:dyDescent="0.2">
      <c r="A1147" s="376"/>
      <c r="B1147" s="382" t="s">
        <v>410</v>
      </c>
      <c r="C1147" s="235" t="s">
        <v>8</v>
      </c>
      <c r="D1147" s="236">
        <v>3</v>
      </c>
      <c r="E1147" s="237"/>
      <c r="F1147" s="380"/>
      <c r="G1147" s="385">
        <f t="shared" si="155"/>
        <v>0</v>
      </c>
    </row>
    <row r="1148" spans="1:7" ht="12.75" x14ac:dyDescent="0.2">
      <c r="A1148" s="376"/>
      <c r="B1148" s="382" t="s">
        <v>346</v>
      </c>
      <c r="C1148" s="378" t="s">
        <v>8</v>
      </c>
      <c r="D1148" s="379">
        <v>0</v>
      </c>
      <c r="E1148" s="237"/>
      <c r="F1148" s="380"/>
      <c r="G1148" s="385">
        <f t="shared" si="155"/>
        <v>0</v>
      </c>
    </row>
    <row r="1149" spans="1:7" ht="12.75" x14ac:dyDescent="0.2">
      <c r="A1149" s="376"/>
      <c r="B1149" s="382" t="s">
        <v>516</v>
      </c>
      <c r="C1149" s="378" t="s">
        <v>8</v>
      </c>
      <c r="D1149" s="379">
        <v>15</v>
      </c>
      <c r="E1149" s="237"/>
      <c r="F1149" s="380"/>
      <c r="G1149" s="385">
        <f t="shared" si="155"/>
        <v>0</v>
      </c>
    </row>
    <row r="1150" spans="1:7" ht="12.75" x14ac:dyDescent="0.2">
      <c r="A1150" s="376"/>
      <c r="B1150" s="382" t="s">
        <v>408</v>
      </c>
      <c r="C1150" s="378" t="s">
        <v>8</v>
      </c>
      <c r="D1150" s="379">
        <v>3</v>
      </c>
      <c r="E1150" s="237"/>
      <c r="F1150" s="380"/>
      <c r="G1150" s="385">
        <f t="shared" si="155"/>
        <v>0</v>
      </c>
    </row>
    <row r="1151" spans="1:7" ht="12.75" x14ac:dyDescent="0.2">
      <c r="A1151" s="376"/>
      <c r="B1151" s="382" t="s">
        <v>347</v>
      </c>
      <c r="C1151" s="378" t="s">
        <v>8</v>
      </c>
      <c r="D1151" s="379">
        <v>12</v>
      </c>
      <c r="E1151" s="237"/>
      <c r="F1151" s="380"/>
      <c r="G1151" s="385">
        <f t="shared" si="155"/>
        <v>0</v>
      </c>
    </row>
    <row r="1152" spans="1:7" ht="12.75" x14ac:dyDescent="0.2">
      <c r="A1152" s="376"/>
      <c r="B1152" s="382" t="s">
        <v>517</v>
      </c>
      <c r="C1152" s="235" t="s">
        <v>8</v>
      </c>
      <c r="D1152" s="236">
        <v>4</v>
      </c>
      <c r="E1152" s="237"/>
      <c r="F1152" s="380"/>
      <c r="G1152" s="385">
        <f t="shared" si="155"/>
        <v>0</v>
      </c>
    </row>
    <row r="1153" spans="1:7" ht="12.75" x14ac:dyDescent="0.2">
      <c r="A1153" s="376"/>
      <c r="B1153" s="382" t="s">
        <v>348</v>
      </c>
      <c r="C1153" s="235" t="s">
        <v>8</v>
      </c>
      <c r="D1153" s="236">
        <v>1</v>
      </c>
      <c r="E1153" s="237"/>
      <c r="F1153" s="380"/>
      <c r="G1153" s="385">
        <f t="shared" si="155"/>
        <v>0</v>
      </c>
    </row>
    <row r="1154" spans="1:7" ht="12.75" x14ac:dyDescent="0.2">
      <c r="A1154" s="376"/>
      <c r="B1154" s="382" t="s">
        <v>349</v>
      </c>
      <c r="C1154" s="235" t="s">
        <v>8</v>
      </c>
      <c r="D1154" s="236">
        <v>2</v>
      </c>
      <c r="E1154" s="237"/>
      <c r="F1154" s="380"/>
      <c r="G1154" s="385">
        <f t="shared" si="155"/>
        <v>0</v>
      </c>
    </row>
    <row r="1155" spans="1:7" ht="12.75" x14ac:dyDescent="0.2">
      <c r="A1155" s="376"/>
      <c r="B1155" s="382" t="s">
        <v>350</v>
      </c>
      <c r="C1155" s="235" t="s">
        <v>8</v>
      </c>
      <c r="D1155" s="236">
        <v>6</v>
      </c>
      <c r="E1155" s="237"/>
      <c r="F1155" s="380"/>
      <c r="G1155" s="385">
        <f t="shared" si="155"/>
        <v>0</v>
      </c>
    </row>
    <row r="1156" spans="1:7" ht="12.75" x14ac:dyDescent="0.2">
      <c r="A1156" s="376"/>
      <c r="B1156" s="382" t="s">
        <v>351</v>
      </c>
      <c r="C1156" s="235" t="s">
        <v>8</v>
      </c>
      <c r="D1156" s="236">
        <f>D1146</f>
        <v>12</v>
      </c>
      <c r="E1156" s="237"/>
      <c r="F1156" s="380"/>
      <c r="G1156" s="385">
        <f t="shared" si="155"/>
        <v>0</v>
      </c>
    </row>
    <row r="1157" spans="1:7" ht="12.75" x14ac:dyDescent="0.2">
      <c r="A1157" s="376"/>
      <c r="B1157" s="382" t="s">
        <v>352</v>
      </c>
      <c r="C1157" s="235" t="s">
        <v>8</v>
      </c>
      <c r="D1157" s="236">
        <v>3</v>
      </c>
      <c r="E1157" s="237"/>
      <c r="F1157" s="380"/>
      <c r="G1157" s="385">
        <f t="shared" si="155"/>
        <v>0</v>
      </c>
    </row>
    <row r="1158" spans="1:7" ht="12.75" x14ac:dyDescent="0.2">
      <c r="A1158" s="376"/>
      <c r="B1158" s="382" t="s">
        <v>353</v>
      </c>
      <c r="C1158" s="235" t="s">
        <v>8</v>
      </c>
      <c r="D1158" s="236">
        <v>3</v>
      </c>
      <c r="E1158" s="237"/>
      <c r="F1158" s="380"/>
      <c r="G1158" s="385">
        <f t="shared" si="155"/>
        <v>0</v>
      </c>
    </row>
    <row r="1159" spans="1:7" ht="12.75" x14ac:dyDescent="0.2">
      <c r="A1159" s="376"/>
      <c r="B1159" s="382" t="s">
        <v>354</v>
      </c>
      <c r="C1159" s="235" t="s">
        <v>8</v>
      </c>
      <c r="D1159" s="236">
        <v>3</v>
      </c>
      <c r="E1159" s="237"/>
      <c r="F1159" s="380"/>
      <c r="G1159" s="385">
        <f t="shared" si="155"/>
        <v>0</v>
      </c>
    </row>
    <row r="1160" spans="1:7" ht="12.75" x14ac:dyDescent="0.2">
      <c r="A1160" s="376"/>
      <c r="B1160" s="382" t="s">
        <v>380</v>
      </c>
      <c r="C1160" s="235" t="s">
        <v>8</v>
      </c>
      <c r="D1160" s="236">
        <v>4</v>
      </c>
      <c r="E1160" s="237"/>
      <c r="F1160" s="380"/>
      <c r="G1160" s="385">
        <f t="shared" si="155"/>
        <v>0</v>
      </c>
    </row>
    <row r="1161" spans="1:7" ht="12.75" x14ac:dyDescent="0.2">
      <c r="A1161" s="376"/>
      <c r="B1161" s="382" t="s">
        <v>355</v>
      </c>
      <c r="C1161" s="235" t="s">
        <v>8</v>
      </c>
      <c r="D1161" s="236">
        <v>6</v>
      </c>
      <c r="E1161" s="237"/>
      <c r="F1161" s="380"/>
      <c r="G1161" s="385">
        <f t="shared" si="155"/>
        <v>0</v>
      </c>
    </row>
    <row r="1162" spans="1:7" ht="12.75" x14ac:dyDescent="0.2">
      <c r="A1162" s="376"/>
      <c r="B1162" s="382" t="s">
        <v>381</v>
      </c>
      <c r="C1162" s="235" t="s">
        <v>8</v>
      </c>
      <c r="D1162" s="236">
        <v>3</v>
      </c>
      <c r="E1162" s="237"/>
      <c r="F1162" s="380"/>
      <c r="G1162" s="385">
        <f t="shared" si="155"/>
        <v>0</v>
      </c>
    </row>
    <row r="1163" spans="1:7" ht="12.75" x14ac:dyDescent="0.2">
      <c r="A1163" s="374" t="s">
        <v>185</v>
      </c>
      <c r="B1163" s="375" t="s">
        <v>234</v>
      </c>
      <c r="C1163" s="383"/>
      <c r="D1163" s="384"/>
      <c r="E1163" s="237"/>
      <c r="F1163" s="380"/>
      <c r="G1163" s="385">
        <f t="shared" si="155"/>
        <v>0</v>
      </c>
    </row>
    <row r="1164" spans="1:7" ht="13.5" x14ac:dyDescent="0.2">
      <c r="A1164" s="140"/>
      <c r="B1164" s="289" t="s">
        <v>256</v>
      </c>
      <c r="C1164" s="315" t="s">
        <v>235</v>
      </c>
      <c r="D1164" s="143">
        <f>D1143+D1145+D1146+D1144+D1147</f>
        <v>51</v>
      </c>
      <c r="E1164" s="144"/>
      <c r="F1164" s="380"/>
      <c r="G1164" s="385">
        <f t="shared" si="155"/>
        <v>0</v>
      </c>
    </row>
    <row r="1165" spans="1:7" ht="13.5" x14ac:dyDescent="0.2">
      <c r="A1165" s="140"/>
      <c r="B1165" s="289" t="s">
        <v>255</v>
      </c>
      <c r="C1165" s="315" t="s">
        <v>235</v>
      </c>
      <c r="D1165" s="143">
        <f>D1148+D1149+D1150+D1151</f>
        <v>30</v>
      </c>
      <c r="E1165" s="144"/>
      <c r="F1165" s="380"/>
      <c r="G1165" s="385">
        <f t="shared" si="155"/>
        <v>0</v>
      </c>
    </row>
    <row r="1166" spans="1:7" ht="13.5" x14ac:dyDescent="0.2">
      <c r="A1166" s="140"/>
      <c r="B1166" s="289" t="s">
        <v>257</v>
      </c>
      <c r="C1166" s="315" t="s">
        <v>109</v>
      </c>
      <c r="D1166" s="143">
        <f>D1142</f>
        <v>1</v>
      </c>
      <c r="E1166" s="144"/>
      <c r="F1166" s="380"/>
      <c r="G1166" s="385">
        <f t="shared" si="155"/>
        <v>0</v>
      </c>
    </row>
    <row r="1167" spans="1:7" x14ac:dyDescent="0.2">
      <c r="A1167" s="140"/>
      <c r="B1167" s="289" t="s">
        <v>414</v>
      </c>
      <c r="C1167" s="315" t="s">
        <v>109</v>
      </c>
      <c r="D1167" s="143">
        <f>D1159</f>
        <v>3</v>
      </c>
      <c r="E1167" s="144"/>
      <c r="F1167" s="380"/>
      <c r="G1167" s="385">
        <f t="shared" si="155"/>
        <v>0</v>
      </c>
    </row>
    <row r="1168" spans="1:7" x14ac:dyDescent="0.2">
      <c r="A1168" s="140"/>
      <c r="B1168" s="289" t="s">
        <v>413</v>
      </c>
      <c r="C1168" s="315" t="s">
        <v>109</v>
      </c>
      <c r="D1168" s="143">
        <f>D1157</f>
        <v>3</v>
      </c>
      <c r="E1168" s="144"/>
      <c r="F1168" s="380"/>
      <c r="G1168" s="385">
        <f t="shared" si="155"/>
        <v>0</v>
      </c>
    </row>
    <row r="1169" spans="1:7" x14ac:dyDescent="0.2">
      <c r="A1169" s="140"/>
      <c r="B1169" s="289" t="s">
        <v>412</v>
      </c>
      <c r="C1169" s="315" t="s">
        <v>109</v>
      </c>
      <c r="D1169" s="143">
        <f>D1158</f>
        <v>3</v>
      </c>
      <c r="E1169" s="144"/>
      <c r="F1169" s="380"/>
      <c r="G1169" s="385">
        <f t="shared" si="155"/>
        <v>0</v>
      </c>
    </row>
    <row r="1170" spans="1:7" ht="12" customHeight="1" x14ac:dyDescent="0.2">
      <c r="A1170" s="140"/>
      <c r="B1170" s="289" t="s">
        <v>411</v>
      </c>
      <c r="C1170" s="315" t="s">
        <v>109</v>
      </c>
      <c r="D1170" s="143">
        <f>D1159</f>
        <v>3</v>
      </c>
      <c r="E1170" s="144"/>
      <c r="F1170" s="380"/>
      <c r="G1170" s="385">
        <f t="shared" si="155"/>
        <v>0</v>
      </c>
    </row>
    <row r="1171" spans="1:7" x14ac:dyDescent="0.2">
      <c r="A1171" s="140"/>
      <c r="B1171" s="289" t="s">
        <v>415</v>
      </c>
      <c r="C1171" s="315" t="s">
        <v>109</v>
      </c>
      <c r="D1171" s="143">
        <f>D1160</f>
        <v>4</v>
      </c>
      <c r="E1171" s="144"/>
      <c r="F1171" s="380"/>
      <c r="G1171" s="385">
        <f t="shared" si="155"/>
        <v>0</v>
      </c>
    </row>
    <row r="1172" spans="1:7" x14ac:dyDescent="0.2">
      <c r="A1172" s="140"/>
      <c r="B1172" s="289"/>
      <c r="C1172" s="315"/>
      <c r="D1172" s="143"/>
      <c r="E1172" s="144"/>
      <c r="F1172" s="380"/>
      <c r="G1172" s="385"/>
    </row>
    <row r="1173" spans="1:7" x14ac:dyDescent="0.2">
      <c r="A1173" s="388" t="s">
        <v>55</v>
      </c>
      <c r="B1173" s="389" t="s">
        <v>454</v>
      </c>
      <c r="C1173" s="390"/>
      <c r="D1173" s="391"/>
      <c r="E1173" s="392"/>
      <c r="F1173" s="393"/>
      <c r="G1173" s="394"/>
    </row>
    <row r="1174" spans="1:7" ht="12.75" x14ac:dyDescent="0.2">
      <c r="A1174" s="374" t="s">
        <v>171</v>
      </c>
      <c r="B1174" s="375" t="s">
        <v>232</v>
      </c>
      <c r="C1174" s="235"/>
      <c r="D1174" s="236"/>
      <c r="E1174" s="237"/>
      <c r="F1174" s="196"/>
      <c r="G1174" s="197">
        <f>D1174*E1174</f>
        <v>0</v>
      </c>
    </row>
    <row r="1175" spans="1:7" ht="25.5" x14ac:dyDescent="0.2">
      <c r="A1175" s="376" t="s">
        <v>194</v>
      </c>
      <c r="B1175" s="382" t="s">
        <v>254</v>
      </c>
      <c r="C1175" s="378" t="s">
        <v>8</v>
      </c>
      <c r="D1175" s="379">
        <v>1</v>
      </c>
      <c r="E1175" s="237"/>
      <c r="F1175" s="380"/>
      <c r="G1175" s="381">
        <f t="shared" ref="G1175:G1204" si="156">+D1175*E1175+D1175*F1175</f>
        <v>0</v>
      </c>
    </row>
    <row r="1176" spans="1:7" ht="12.75" x14ac:dyDescent="0.2">
      <c r="A1176" s="374" t="s">
        <v>172</v>
      </c>
      <c r="B1176" s="375" t="s">
        <v>233</v>
      </c>
      <c r="C1176" s="383"/>
      <c r="D1176" s="384"/>
      <c r="E1176" s="237"/>
      <c r="F1176" s="380"/>
      <c r="G1176" s="385">
        <f t="shared" si="156"/>
        <v>0</v>
      </c>
    </row>
    <row r="1177" spans="1:7" ht="12.75" x14ac:dyDescent="0.2">
      <c r="A1177" s="376"/>
      <c r="B1177" s="382" t="s">
        <v>344</v>
      </c>
      <c r="C1177" s="235" t="s">
        <v>8</v>
      </c>
      <c r="D1177" s="236">
        <v>24</v>
      </c>
      <c r="E1177" s="237"/>
      <c r="F1177" s="380"/>
      <c r="G1177" s="385">
        <f t="shared" si="156"/>
        <v>0</v>
      </c>
    </row>
    <row r="1178" spans="1:7" ht="12.75" x14ac:dyDescent="0.2">
      <c r="A1178" s="376"/>
      <c r="B1178" s="382" t="s">
        <v>345</v>
      </c>
      <c r="C1178" s="235" t="s">
        <v>8</v>
      </c>
      <c r="D1178" s="236">
        <v>12</v>
      </c>
      <c r="E1178" s="237"/>
      <c r="F1178" s="380"/>
      <c r="G1178" s="385">
        <f t="shared" si="156"/>
        <v>0</v>
      </c>
    </row>
    <row r="1179" spans="1:7" ht="12.75" x14ac:dyDescent="0.2">
      <c r="A1179" s="376"/>
      <c r="B1179" s="382" t="s">
        <v>278</v>
      </c>
      <c r="C1179" s="235" t="s">
        <v>8</v>
      </c>
      <c r="D1179" s="236">
        <v>12</v>
      </c>
      <c r="E1179" s="237"/>
      <c r="F1179" s="380"/>
      <c r="G1179" s="385">
        <f t="shared" si="156"/>
        <v>0</v>
      </c>
    </row>
    <row r="1180" spans="1:7" ht="12.75" x14ac:dyDescent="0.2">
      <c r="A1180" s="376"/>
      <c r="B1180" s="382" t="s">
        <v>410</v>
      </c>
      <c r="C1180" s="235" t="s">
        <v>8</v>
      </c>
      <c r="D1180" s="236">
        <v>3</v>
      </c>
      <c r="E1180" s="237"/>
      <c r="F1180" s="380"/>
      <c r="G1180" s="385">
        <f t="shared" si="156"/>
        <v>0</v>
      </c>
    </row>
    <row r="1181" spans="1:7" ht="12.75" x14ac:dyDescent="0.2">
      <c r="A1181" s="376"/>
      <c r="B1181" s="382" t="s">
        <v>346</v>
      </c>
      <c r="C1181" s="378" t="s">
        <v>8</v>
      </c>
      <c r="D1181" s="379">
        <v>0</v>
      </c>
      <c r="E1181" s="237"/>
      <c r="F1181" s="380"/>
      <c r="G1181" s="385">
        <f t="shared" si="156"/>
        <v>0</v>
      </c>
    </row>
    <row r="1182" spans="1:7" ht="12.75" x14ac:dyDescent="0.2">
      <c r="A1182" s="376"/>
      <c r="B1182" s="382" t="s">
        <v>516</v>
      </c>
      <c r="C1182" s="378" t="s">
        <v>8</v>
      </c>
      <c r="D1182" s="379">
        <v>15</v>
      </c>
      <c r="E1182" s="237"/>
      <c r="F1182" s="380"/>
      <c r="G1182" s="385">
        <f t="shared" si="156"/>
        <v>0</v>
      </c>
    </row>
    <row r="1183" spans="1:7" ht="12.75" x14ac:dyDescent="0.2">
      <c r="A1183" s="376"/>
      <c r="B1183" s="382" t="s">
        <v>408</v>
      </c>
      <c r="C1183" s="378" t="s">
        <v>8</v>
      </c>
      <c r="D1183" s="379">
        <v>3</v>
      </c>
      <c r="E1183" s="237"/>
      <c r="F1183" s="380"/>
      <c r="G1183" s="385">
        <f t="shared" si="156"/>
        <v>0</v>
      </c>
    </row>
    <row r="1184" spans="1:7" ht="12.75" x14ac:dyDescent="0.2">
      <c r="A1184" s="376"/>
      <c r="B1184" s="382" t="s">
        <v>347</v>
      </c>
      <c r="C1184" s="378" t="s">
        <v>8</v>
      </c>
      <c r="D1184" s="379">
        <v>12</v>
      </c>
      <c r="E1184" s="237"/>
      <c r="F1184" s="380"/>
      <c r="G1184" s="385">
        <f t="shared" si="156"/>
        <v>0</v>
      </c>
    </row>
    <row r="1185" spans="1:7" ht="12.75" x14ac:dyDescent="0.2">
      <c r="A1185" s="376"/>
      <c r="B1185" s="382" t="s">
        <v>517</v>
      </c>
      <c r="C1185" s="235" t="s">
        <v>8</v>
      </c>
      <c r="D1185" s="236">
        <v>4</v>
      </c>
      <c r="E1185" s="237"/>
      <c r="F1185" s="380"/>
      <c r="G1185" s="385">
        <f t="shared" si="156"/>
        <v>0</v>
      </c>
    </row>
    <row r="1186" spans="1:7" ht="12.75" x14ac:dyDescent="0.2">
      <c r="A1186" s="376"/>
      <c r="B1186" s="382" t="s">
        <v>348</v>
      </c>
      <c r="C1186" s="235" t="s">
        <v>8</v>
      </c>
      <c r="D1186" s="236">
        <v>1</v>
      </c>
      <c r="E1186" s="237"/>
      <c r="F1186" s="380"/>
      <c r="G1186" s="385">
        <f t="shared" si="156"/>
        <v>0</v>
      </c>
    </row>
    <row r="1187" spans="1:7" ht="12.75" x14ac:dyDescent="0.2">
      <c r="A1187" s="376"/>
      <c r="B1187" s="382" t="s">
        <v>349</v>
      </c>
      <c r="C1187" s="235" t="s">
        <v>8</v>
      </c>
      <c r="D1187" s="236">
        <v>2</v>
      </c>
      <c r="E1187" s="237"/>
      <c r="F1187" s="380"/>
      <c r="G1187" s="385">
        <f t="shared" si="156"/>
        <v>0</v>
      </c>
    </row>
    <row r="1188" spans="1:7" ht="12.75" x14ac:dyDescent="0.2">
      <c r="A1188" s="376"/>
      <c r="B1188" s="382" t="s">
        <v>350</v>
      </c>
      <c r="C1188" s="235" t="s">
        <v>8</v>
      </c>
      <c r="D1188" s="236">
        <v>6</v>
      </c>
      <c r="E1188" s="237"/>
      <c r="F1188" s="380"/>
      <c r="G1188" s="385">
        <f t="shared" si="156"/>
        <v>0</v>
      </c>
    </row>
    <row r="1189" spans="1:7" ht="12.75" x14ac:dyDescent="0.2">
      <c r="A1189" s="376"/>
      <c r="B1189" s="382" t="s">
        <v>351</v>
      </c>
      <c r="C1189" s="235" t="s">
        <v>8</v>
      </c>
      <c r="D1189" s="236">
        <f>D1179</f>
        <v>12</v>
      </c>
      <c r="E1189" s="237"/>
      <c r="F1189" s="380"/>
      <c r="G1189" s="385">
        <f t="shared" si="156"/>
        <v>0</v>
      </c>
    </row>
    <row r="1190" spans="1:7" ht="12.75" x14ac:dyDescent="0.2">
      <c r="A1190" s="376"/>
      <c r="B1190" s="382" t="s">
        <v>352</v>
      </c>
      <c r="C1190" s="235" t="s">
        <v>8</v>
      </c>
      <c r="D1190" s="236">
        <v>3</v>
      </c>
      <c r="E1190" s="237"/>
      <c r="F1190" s="380"/>
      <c r="G1190" s="385">
        <f t="shared" si="156"/>
        <v>0</v>
      </c>
    </row>
    <row r="1191" spans="1:7" ht="12.75" x14ac:dyDescent="0.2">
      <c r="A1191" s="376"/>
      <c r="B1191" s="382" t="s">
        <v>353</v>
      </c>
      <c r="C1191" s="235" t="s">
        <v>8</v>
      </c>
      <c r="D1191" s="236">
        <v>3</v>
      </c>
      <c r="E1191" s="237"/>
      <c r="F1191" s="380"/>
      <c r="G1191" s="385">
        <f t="shared" si="156"/>
        <v>0</v>
      </c>
    </row>
    <row r="1192" spans="1:7" ht="13.5" thickBot="1" x14ac:dyDescent="0.25">
      <c r="A1192" s="600"/>
      <c r="B1192" s="601" t="s">
        <v>354</v>
      </c>
      <c r="C1192" s="479" t="s">
        <v>8</v>
      </c>
      <c r="D1192" s="480">
        <v>3</v>
      </c>
      <c r="E1192" s="602"/>
      <c r="F1192" s="386"/>
      <c r="G1192" s="387">
        <f t="shared" si="156"/>
        <v>0</v>
      </c>
    </row>
    <row r="1193" spans="1:7" ht="12.75" x14ac:dyDescent="0.2">
      <c r="A1193" s="376"/>
      <c r="B1193" s="382" t="s">
        <v>380</v>
      </c>
      <c r="C1193" s="235" t="s">
        <v>8</v>
      </c>
      <c r="D1193" s="236">
        <v>4</v>
      </c>
      <c r="E1193" s="237"/>
      <c r="F1193" s="380"/>
      <c r="G1193" s="385">
        <f t="shared" si="156"/>
        <v>0</v>
      </c>
    </row>
    <row r="1194" spans="1:7" ht="12.75" x14ac:dyDescent="0.2">
      <c r="A1194" s="376"/>
      <c r="B1194" s="382" t="s">
        <v>355</v>
      </c>
      <c r="C1194" s="235" t="s">
        <v>8</v>
      </c>
      <c r="D1194" s="236">
        <v>6</v>
      </c>
      <c r="E1194" s="237"/>
      <c r="F1194" s="380"/>
      <c r="G1194" s="385">
        <f t="shared" si="156"/>
        <v>0</v>
      </c>
    </row>
    <row r="1195" spans="1:7" ht="12.75" x14ac:dyDescent="0.2">
      <c r="A1195" s="376"/>
      <c r="B1195" s="382" t="s">
        <v>381</v>
      </c>
      <c r="C1195" s="235" t="s">
        <v>8</v>
      </c>
      <c r="D1195" s="236">
        <v>3</v>
      </c>
      <c r="E1195" s="237"/>
      <c r="F1195" s="380"/>
      <c r="G1195" s="385">
        <f t="shared" si="156"/>
        <v>0</v>
      </c>
    </row>
    <row r="1196" spans="1:7" ht="12.75" x14ac:dyDescent="0.2">
      <c r="A1196" s="374" t="s">
        <v>185</v>
      </c>
      <c r="B1196" s="375" t="s">
        <v>234</v>
      </c>
      <c r="C1196" s="383"/>
      <c r="D1196" s="384"/>
      <c r="E1196" s="237"/>
      <c r="F1196" s="380"/>
      <c r="G1196" s="385">
        <f t="shared" si="156"/>
        <v>0</v>
      </c>
    </row>
    <row r="1197" spans="1:7" ht="13.5" x14ac:dyDescent="0.2">
      <c r="A1197" s="140"/>
      <c r="B1197" s="289" t="s">
        <v>256</v>
      </c>
      <c r="C1197" s="315" t="s">
        <v>235</v>
      </c>
      <c r="D1197" s="143">
        <f>D1176+D1178+D1179+D1177+D1180</f>
        <v>51</v>
      </c>
      <c r="E1197" s="144"/>
      <c r="F1197" s="380"/>
      <c r="G1197" s="385">
        <f t="shared" si="156"/>
        <v>0</v>
      </c>
    </row>
    <row r="1198" spans="1:7" ht="13.5" x14ac:dyDescent="0.2">
      <c r="A1198" s="140"/>
      <c r="B1198" s="289" t="s">
        <v>255</v>
      </c>
      <c r="C1198" s="315" t="s">
        <v>235</v>
      </c>
      <c r="D1198" s="143">
        <f>D1181+D1182+D1183+D1184</f>
        <v>30</v>
      </c>
      <c r="E1198" s="144"/>
      <c r="F1198" s="380"/>
      <c r="G1198" s="385">
        <f t="shared" si="156"/>
        <v>0</v>
      </c>
    </row>
    <row r="1199" spans="1:7" ht="13.5" x14ac:dyDescent="0.2">
      <c r="A1199" s="140"/>
      <c r="B1199" s="289" t="s">
        <v>257</v>
      </c>
      <c r="C1199" s="315" t="s">
        <v>109</v>
      </c>
      <c r="D1199" s="143">
        <f>D1175</f>
        <v>1</v>
      </c>
      <c r="E1199" s="144"/>
      <c r="F1199" s="380"/>
      <c r="G1199" s="385">
        <f t="shared" si="156"/>
        <v>0</v>
      </c>
    </row>
    <row r="1200" spans="1:7" x14ac:dyDescent="0.2">
      <c r="A1200" s="140"/>
      <c r="B1200" s="289" t="s">
        <v>414</v>
      </c>
      <c r="C1200" s="315" t="s">
        <v>109</v>
      </c>
      <c r="D1200" s="143">
        <f>D1192</f>
        <v>3</v>
      </c>
      <c r="E1200" s="144"/>
      <c r="F1200" s="380"/>
      <c r="G1200" s="385">
        <f t="shared" si="156"/>
        <v>0</v>
      </c>
    </row>
    <row r="1201" spans="1:7" x14ac:dyDescent="0.2">
      <c r="A1201" s="140"/>
      <c r="B1201" s="289" t="s">
        <v>413</v>
      </c>
      <c r="C1201" s="315" t="s">
        <v>109</v>
      </c>
      <c r="D1201" s="143">
        <f>D1190</f>
        <v>3</v>
      </c>
      <c r="E1201" s="144"/>
      <c r="F1201" s="380"/>
      <c r="G1201" s="385">
        <f t="shared" si="156"/>
        <v>0</v>
      </c>
    </row>
    <row r="1202" spans="1:7" x14ac:dyDescent="0.2">
      <c r="A1202" s="140"/>
      <c r="B1202" s="289" t="s">
        <v>412</v>
      </c>
      <c r="C1202" s="315" t="s">
        <v>109</v>
      </c>
      <c r="D1202" s="143">
        <f>D1191</f>
        <v>3</v>
      </c>
      <c r="E1202" s="144"/>
      <c r="F1202" s="380"/>
      <c r="G1202" s="385">
        <f t="shared" si="156"/>
        <v>0</v>
      </c>
    </row>
    <row r="1203" spans="1:7" x14ac:dyDescent="0.2">
      <c r="A1203" s="140"/>
      <c r="B1203" s="289" t="s">
        <v>411</v>
      </c>
      <c r="C1203" s="315" t="s">
        <v>109</v>
      </c>
      <c r="D1203" s="143">
        <f>D1192</f>
        <v>3</v>
      </c>
      <c r="E1203" s="144"/>
      <c r="F1203" s="380"/>
      <c r="G1203" s="385">
        <f t="shared" si="156"/>
        <v>0</v>
      </c>
    </row>
    <row r="1204" spans="1:7" x14ac:dyDescent="0.2">
      <c r="A1204" s="140"/>
      <c r="B1204" s="289" t="s">
        <v>415</v>
      </c>
      <c r="C1204" s="315" t="s">
        <v>109</v>
      </c>
      <c r="D1204" s="143">
        <f>D1193</f>
        <v>4</v>
      </c>
      <c r="E1204" s="144"/>
      <c r="F1204" s="380"/>
      <c r="G1204" s="385">
        <f t="shared" si="156"/>
        <v>0</v>
      </c>
    </row>
    <row r="1205" spans="1:7" x14ac:dyDescent="0.2">
      <c r="A1205" s="140"/>
      <c r="B1205" s="289"/>
      <c r="C1205" s="315"/>
      <c r="D1205" s="143"/>
      <c r="E1205" s="144"/>
      <c r="F1205" s="380"/>
      <c r="G1205" s="385"/>
    </row>
    <row r="1206" spans="1:7" x14ac:dyDescent="0.2">
      <c r="A1206" s="388" t="s">
        <v>158</v>
      </c>
      <c r="B1206" s="389" t="s">
        <v>456</v>
      </c>
      <c r="C1206" s="390"/>
      <c r="D1206" s="391"/>
      <c r="E1206" s="392"/>
      <c r="F1206" s="393"/>
      <c r="G1206" s="394"/>
    </row>
    <row r="1207" spans="1:7" ht="12.75" x14ac:dyDescent="0.2">
      <c r="A1207" s="374" t="s">
        <v>171</v>
      </c>
      <c r="B1207" s="375" t="s">
        <v>232</v>
      </c>
      <c r="C1207" s="235"/>
      <c r="D1207" s="236"/>
      <c r="E1207" s="237"/>
      <c r="F1207" s="196"/>
      <c r="G1207" s="197">
        <f>D1207*E1207</f>
        <v>0</v>
      </c>
    </row>
    <row r="1208" spans="1:7" ht="25.5" x14ac:dyDescent="0.2">
      <c r="A1208" s="376" t="s">
        <v>194</v>
      </c>
      <c r="B1208" s="382" t="s">
        <v>254</v>
      </c>
      <c r="C1208" s="378" t="s">
        <v>8</v>
      </c>
      <c r="D1208" s="379">
        <v>1</v>
      </c>
      <c r="E1208" s="237"/>
      <c r="F1208" s="380"/>
      <c r="G1208" s="381">
        <f t="shared" ref="G1208:G1237" si="157">+D1208*E1208+D1208*F1208</f>
        <v>0</v>
      </c>
    </row>
    <row r="1209" spans="1:7" ht="12.75" x14ac:dyDescent="0.2">
      <c r="A1209" s="374" t="s">
        <v>172</v>
      </c>
      <c r="B1209" s="375" t="s">
        <v>233</v>
      </c>
      <c r="C1209" s="383"/>
      <c r="D1209" s="384"/>
      <c r="E1209" s="237"/>
      <c r="F1209" s="380"/>
      <c r="G1209" s="385">
        <f t="shared" si="157"/>
        <v>0</v>
      </c>
    </row>
    <row r="1210" spans="1:7" ht="12.75" x14ac:dyDescent="0.2">
      <c r="A1210" s="376"/>
      <c r="B1210" s="382" t="s">
        <v>344</v>
      </c>
      <c r="C1210" s="235" t="s">
        <v>8</v>
      </c>
      <c r="D1210" s="236">
        <v>24</v>
      </c>
      <c r="E1210" s="237"/>
      <c r="F1210" s="380"/>
      <c r="G1210" s="385">
        <f t="shared" si="157"/>
        <v>0</v>
      </c>
    </row>
    <row r="1211" spans="1:7" ht="12.75" x14ac:dyDescent="0.2">
      <c r="A1211" s="376"/>
      <c r="B1211" s="382" t="s">
        <v>345</v>
      </c>
      <c r="C1211" s="235" t="s">
        <v>8</v>
      </c>
      <c r="D1211" s="236">
        <v>12</v>
      </c>
      <c r="E1211" s="237"/>
      <c r="F1211" s="380"/>
      <c r="G1211" s="385">
        <f t="shared" si="157"/>
        <v>0</v>
      </c>
    </row>
    <row r="1212" spans="1:7" ht="12.75" x14ac:dyDescent="0.2">
      <c r="A1212" s="376"/>
      <c r="B1212" s="382" t="s">
        <v>278</v>
      </c>
      <c r="C1212" s="235" t="s">
        <v>8</v>
      </c>
      <c r="D1212" s="236">
        <v>12</v>
      </c>
      <c r="E1212" s="237"/>
      <c r="F1212" s="380"/>
      <c r="G1212" s="385">
        <f t="shared" si="157"/>
        <v>0</v>
      </c>
    </row>
    <row r="1213" spans="1:7" ht="12.75" x14ac:dyDescent="0.2">
      <c r="A1213" s="376"/>
      <c r="B1213" s="382" t="s">
        <v>410</v>
      </c>
      <c r="C1213" s="235" t="s">
        <v>8</v>
      </c>
      <c r="D1213" s="236">
        <v>3</v>
      </c>
      <c r="E1213" s="237"/>
      <c r="F1213" s="380"/>
      <c r="G1213" s="385">
        <f t="shared" si="157"/>
        <v>0</v>
      </c>
    </row>
    <row r="1214" spans="1:7" ht="12.75" x14ac:dyDescent="0.2">
      <c r="A1214" s="376"/>
      <c r="B1214" s="382" t="s">
        <v>346</v>
      </c>
      <c r="C1214" s="378" t="s">
        <v>8</v>
      </c>
      <c r="D1214" s="379">
        <v>0</v>
      </c>
      <c r="E1214" s="237"/>
      <c r="F1214" s="380"/>
      <c r="G1214" s="385">
        <f t="shared" si="157"/>
        <v>0</v>
      </c>
    </row>
    <row r="1215" spans="1:7" ht="12.75" x14ac:dyDescent="0.2">
      <c r="A1215" s="376"/>
      <c r="B1215" s="382" t="s">
        <v>516</v>
      </c>
      <c r="C1215" s="378" t="s">
        <v>8</v>
      </c>
      <c r="D1215" s="379">
        <v>15</v>
      </c>
      <c r="E1215" s="237"/>
      <c r="F1215" s="380"/>
      <c r="G1215" s="385">
        <f t="shared" si="157"/>
        <v>0</v>
      </c>
    </row>
    <row r="1216" spans="1:7" ht="12.75" x14ac:dyDescent="0.2">
      <c r="A1216" s="376"/>
      <c r="B1216" s="382" t="s">
        <v>408</v>
      </c>
      <c r="C1216" s="378" t="s">
        <v>8</v>
      </c>
      <c r="D1216" s="379">
        <v>3</v>
      </c>
      <c r="E1216" s="237"/>
      <c r="F1216" s="380"/>
      <c r="G1216" s="385">
        <f t="shared" si="157"/>
        <v>0</v>
      </c>
    </row>
    <row r="1217" spans="1:7" ht="12.75" x14ac:dyDescent="0.2">
      <c r="A1217" s="376"/>
      <c r="B1217" s="382" t="s">
        <v>347</v>
      </c>
      <c r="C1217" s="378" t="s">
        <v>8</v>
      </c>
      <c r="D1217" s="379">
        <v>12</v>
      </c>
      <c r="E1217" s="237"/>
      <c r="F1217" s="380"/>
      <c r="G1217" s="385">
        <f t="shared" si="157"/>
        <v>0</v>
      </c>
    </row>
    <row r="1218" spans="1:7" ht="12.75" x14ac:dyDescent="0.2">
      <c r="A1218" s="376"/>
      <c r="B1218" s="382" t="s">
        <v>517</v>
      </c>
      <c r="C1218" s="235" t="s">
        <v>8</v>
      </c>
      <c r="D1218" s="236">
        <v>4</v>
      </c>
      <c r="E1218" s="237"/>
      <c r="F1218" s="380"/>
      <c r="G1218" s="385">
        <f t="shared" si="157"/>
        <v>0</v>
      </c>
    </row>
    <row r="1219" spans="1:7" ht="12.75" x14ac:dyDescent="0.2">
      <c r="A1219" s="376"/>
      <c r="B1219" s="382" t="s">
        <v>348</v>
      </c>
      <c r="C1219" s="235" t="s">
        <v>8</v>
      </c>
      <c r="D1219" s="236">
        <v>1</v>
      </c>
      <c r="E1219" s="237"/>
      <c r="F1219" s="380"/>
      <c r="G1219" s="385">
        <f t="shared" si="157"/>
        <v>0</v>
      </c>
    </row>
    <row r="1220" spans="1:7" ht="12.75" x14ac:dyDescent="0.2">
      <c r="A1220" s="376"/>
      <c r="B1220" s="382" t="s">
        <v>349</v>
      </c>
      <c r="C1220" s="235" t="s">
        <v>8</v>
      </c>
      <c r="D1220" s="236">
        <v>2</v>
      </c>
      <c r="E1220" s="237"/>
      <c r="F1220" s="380"/>
      <c r="G1220" s="385">
        <f t="shared" si="157"/>
        <v>0</v>
      </c>
    </row>
    <row r="1221" spans="1:7" ht="12.75" x14ac:dyDescent="0.2">
      <c r="A1221" s="376"/>
      <c r="B1221" s="382" t="s">
        <v>350</v>
      </c>
      <c r="C1221" s="235" t="s">
        <v>8</v>
      </c>
      <c r="D1221" s="236">
        <v>6</v>
      </c>
      <c r="E1221" s="237"/>
      <c r="F1221" s="380"/>
      <c r="G1221" s="385">
        <f t="shared" si="157"/>
        <v>0</v>
      </c>
    </row>
    <row r="1222" spans="1:7" ht="12.75" x14ac:dyDescent="0.2">
      <c r="A1222" s="376"/>
      <c r="B1222" s="382" t="s">
        <v>351</v>
      </c>
      <c r="C1222" s="235" t="s">
        <v>8</v>
      </c>
      <c r="D1222" s="236">
        <f>D1212</f>
        <v>12</v>
      </c>
      <c r="E1222" s="237"/>
      <c r="F1222" s="380"/>
      <c r="G1222" s="385">
        <f t="shared" si="157"/>
        <v>0</v>
      </c>
    </row>
    <row r="1223" spans="1:7" ht="12.75" x14ac:dyDescent="0.2">
      <c r="A1223" s="376"/>
      <c r="B1223" s="382" t="s">
        <v>352</v>
      </c>
      <c r="C1223" s="235" t="s">
        <v>8</v>
      </c>
      <c r="D1223" s="236">
        <v>3</v>
      </c>
      <c r="E1223" s="237"/>
      <c r="F1223" s="380"/>
      <c r="G1223" s="385">
        <f t="shared" si="157"/>
        <v>0</v>
      </c>
    </row>
    <row r="1224" spans="1:7" ht="12.75" x14ac:dyDescent="0.2">
      <c r="A1224" s="376"/>
      <c r="B1224" s="382" t="s">
        <v>353</v>
      </c>
      <c r="C1224" s="235" t="s">
        <v>8</v>
      </c>
      <c r="D1224" s="236">
        <v>3</v>
      </c>
      <c r="E1224" s="237"/>
      <c r="F1224" s="380"/>
      <c r="G1224" s="385">
        <f t="shared" si="157"/>
        <v>0</v>
      </c>
    </row>
    <row r="1225" spans="1:7" ht="12.75" x14ac:dyDescent="0.2">
      <c r="A1225" s="376"/>
      <c r="B1225" s="382" t="s">
        <v>354</v>
      </c>
      <c r="C1225" s="235" t="s">
        <v>8</v>
      </c>
      <c r="D1225" s="236">
        <v>3</v>
      </c>
      <c r="E1225" s="237"/>
      <c r="F1225" s="380"/>
      <c r="G1225" s="385">
        <f t="shared" si="157"/>
        <v>0</v>
      </c>
    </row>
    <row r="1226" spans="1:7" ht="12.75" x14ac:dyDescent="0.2">
      <c r="A1226" s="376"/>
      <c r="B1226" s="382" t="s">
        <v>380</v>
      </c>
      <c r="C1226" s="235" t="s">
        <v>8</v>
      </c>
      <c r="D1226" s="236">
        <v>4</v>
      </c>
      <c r="E1226" s="237"/>
      <c r="F1226" s="380"/>
      <c r="G1226" s="385">
        <f t="shared" si="157"/>
        <v>0</v>
      </c>
    </row>
    <row r="1227" spans="1:7" ht="12.75" x14ac:dyDescent="0.2">
      <c r="A1227" s="376"/>
      <c r="B1227" s="382" t="s">
        <v>355</v>
      </c>
      <c r="C1227" s="235" t="s">
        <v>8</v>
      </c>
      <c r="D1227" s="236">
        <v>6</v>
      </c>
      <c r="E1227" s="237"/>
      <c r="F1227" s="380"/>
      <c r="G1227" s="385">
        <f t="shared" si="157"/>
        <v>0</v>
      </c>
    </row>
    <row r="1228" spans="1:7" ht="12.75" x14ac:dyDescent="0.2">
      <c r="A1228" s="376"/>
      <c r="B1228" s="382" t="s">
        <v>381</v>
      </c>
      <c r="C1228" s="235" t="s">
        <v>8</v>
      </c>
      <c r="D1228" s="236">
        <v>3</v>
      </c>
      <c r="E1228" s="237"/>
      <c r="F1228" s="380"/>
      <c r="G1228" s="385">
        <f t="shared" si="157"/>
        <v>0</v>
      </c>
    </row>
    <row r="1229" spans="1:7" ht="12.75" x14ac:dyDescent="0.2">
      <c r="A1229" s="374" t="s">
        <v>185</v>
      </c>
      <c r="B1229" s="375" t="s">
        <v>234</v>
      </c>
      <c r="C1229" s="383"/>
      <c r="D1229" s="384"/>
      <c r="E1229" s="237"/>
      <c r="F1229" s="380"/>
      <c r="G1229" s="385">
        <f t="shared" si="157"/>
        <v>0</v>
      </c>
    </row>
    <row r="1230" spans="1:7" ht="13.5" x14ac:dyDescent="0.2">
      <c r="A1230" s="140"/>
      <c r="B1230" s="289" t="s">
        <v>256</v>
      </c>
      <c r="C1230" s="315" t="s">
        <v>235</v>
      </c>
      <c r="D1230" s="143">
        <f>D1209+D1211+D1212+D1210+D1213</f>
        <v>51</v>
      </c>
      <c r="E1230" s="144"/>
      <c r="F1230" s="380"/>
      <c r="G1230" s="385">
        <f t="shared" si="157"/>
        <v>0</v>
      </c>
    </row>
    <row r="1231" spans="1:7" ht="13.5" x14ac:dyDescent="0.2">
      <c r="A1231" s="140"/>
      <c r="B1231" s="289" t="s">
        <v>255</v>
      </c>
      <c r="C1231" s="315" t="s">
        <v>235</v>
      </c>
      <c r="D1231" s="143">
        <f>D1214+D1215+D1216+D1217</f>
        <v>30</v>
      </c>
      <c r="E1231" s="144"/>
      <c r="F1231" s="380"/>
      <c r="G1231" s="385">
        <f t="shared" si="157"/>
        <v>0</v>
      </c>
    </row>
    <row r="1232" spans="1:7" ht="13.5" x14ac:dyDescent="0.2">
      <c r="A1232" s="140"/>
      <c r="B1232" s="289" t="s">
        <v>257</v>
      </c>
      <c r="C1232" s="315" t="s">
        <v>109</v>
      </c>
      <c r="D1232" s="143">
        <f>D1208</f>
        <v>1</v>
      </c>
      <c r="E1232" s="144"/>
      <c r="F1232" s="380"/>
      <c r="G1232" s="385">
        <f t="shared" si="157"/>
        <v>0</v>
      </c>
    </row>
    <row r="1233" spans="1:9" x14ac:dyDescent="0.2">
      <c r="A1233" s="140"/>
      <c r="B1233" s="289" t="s">
        <v>414</v>
      </c>
      <c r="C1233" s="315" t="s">
        <v>109</v>
      </c>
      <c r="D1233" s="143">
        <f>D1225</f>
        <v>3</v>
      </c>
      <c r="E1233" s="144"/>
      <c r="F1233" s="380"/>
      <c r="G1233" s="385">
        <f t="shared" si="157"/>
        <v>0</v>
      </c>
    </row>
    <row r="1234" spans="1:9" x14ac:dyDescent="0.2">
      <c r="A1234" s="140"/>
      <c r="B1234" s="289" t="s">
        <v>413</v>
      </c>
      <c r="C1234" s="315" t="s">
        <v>109</v>
      </c>
      <c r="D1234" s="143">
        <f>D1223</f>
        <v>3</v>
      </c>
      <c r="E1234" s="144"/>
      <c r="F1234" s="380"/>
      <c r="G1234" s="385">
        <f t="shared" si="157"/>
        <v>0</v>
      </c>
    </row>
    <row r="1235" spans="1:9" x14ac:dyDescent="0.2">
      <c r="A1235" s="140"/>
      <c r="B1235" s="289" t="s">
        <v>412</v>
      </c>
      <c r="C1235" s="315" t="s">
        <v>109</v>
      </c>
      <c r="D1235" s="143">
        <f>D1224</f>
        <v>3</v>
      </c>
      <c r="E1235" s="144"/>
      <c r="F1235" s="380"/>
      <c r="G1235" s="385">
        <f t="shared" si="157"/>
        <v>0</v>
      </c>
    </row>
    <row r="1236" spans="1:9" x14ac:dyDescent="0.2">
      <c r="A1236" s="140"/>
      <c r="B1236" s="289" t="s">
        <v>411</v>
      </c>
      <c r="C1236" s="315" t="s">
        <v>109</v>
      </c>
      <c r="D1236" s="143">
        <f>D1225</f>
        <v>3</v>
      </c>
      <c r="E1236" s="144"/>
      <c r="F1236" s="380"/>
      <c r="G1236" s="385">
        <f t="shared" si="157"/>
        <v>0</v>
      </c>
    </row>
    <row r="1237" spans="1:9" x14ac:dyDescent="0.2">
      <c r="A1237" s="140"/>
      <c r="B1237" s="289" t="s">
        <v>415</v>
      </c>
      <c r="C1237" s="315" t="s">
        <v>109</v>
      </c>
      <c r="D1237" s="143">
        <f>D1226</f>
        <v>4</v>
      </c>
      <c r="E1237" s="144"/>
      <c r="F1237" s="380"/>
      <c r="G1237" s="385">
        <f t="shared" si="157"/>
        <v>0</v>
      </c>
    </row>
    <row r="1238" spans="1:9" ht="12.75" x14ac:dyDescent="0.2">
      <c r="A1238" s="376"/>
      <c r="B1238" s="382"/>
      <c r="C1238" s="378"/>
      <c r="D1238" s="379"/>
      <c r="E1238" s="237"/>
      <c r="F1238" s="380"/>
      <c r="G1238" s="385"/>
    </row>
    <row r="1239" spans="1:9" ht="12.75" x14ac:dyDescent="0.2">
      <c r="A1239" s="376"/>
      <c r="B1239" s="382"/>
      <c r="C1239" s="378"/>
      <c r="D1239" s="379"/>
      <c r="E1239" s="237"/>
      <c r="F1239" s="380"/>
      <c r="G1239" s="385"/>
    </row>
    <row r="1240" spans="1:9" ht="12.75" x14ac:dyDescent="0.2">
      <c r="A1240" s="376"/>
      <c r="B1240" s="382"/>
      <c r="C1240" s="378"/>
      <c r="D1240" s="379"/>
      <c r="E1240" s="237"/>
      <c r="F1240" s="380"/>
      <c r="G1240" s="385"/>
    </row>
    <row r="1241" spans="1:9" ht="12.75" x14ac:dyDescent="0.2">
      <c r="A1241" s="376"/>
      <c r="B1241" s="382"/>
      <c r="C1241" s="378"/>
      <c r="D1241" s="379"/>
      <c r="E1241" s="237"/>
      <c r="F1241" s="380"/>
      <c r="G1241" s="385"/>
    </row>
    <row r="1242" spans="1:9" ht="12.75" x14ac:dyDescent="0.2">
      <c r="A1242" s="376"/>
      <c r="B1242" s="382"/>
      <c r="C1242" s="378"/>
      <c r="D1242" s="379"/>
      <c r="E1242" s="237"/>
      <c r="F1242" s="380"/>
      <c r="G1242" s="385"/>
    </row>
    <row r="1243" spans="1:9" ht="12.75" x14ac:dyDescent="0.2">
      <c r="A1243" s="376"/>
      <c r="B1243" s="382"/>
      <c r="C1243" s="378"/>
      <c r="D1243" s="379"/>
      <c r="E1243" s="237"/>
      <c r="F1243" s="380"/>
      <c r="G1243" s="385"/>
    </row>
    <row r="1244" spans="1:9" ht="12.75" x14ac:dyDescent="0.2">
      <c r="A1244" s="376"/>
      <c r="B1244" s="382"/>
      <c r="C1244" s="378"/>
      <c r="D1244" s="379"/>
      <c r="E1244" s="237"/>
      <c r="F1244" s="380"/>
      <c r="G1244" s="385"/>
    </row>
    <row r="1245" spans="1:9" ht="13.5" thickBot="1" x14ac:dyDescent="0.25">
      <c r="A1245" s="376"/>
      <c r="B1245" s="382"/>
      <c r="C1245" s="378"/>
      <c r="D1245" s="379"/>
      <c r="E1245" s="237"/>
      <c r="F1245" s="380"/>
      <c r="G1245" s="385"/>
    </row>
    <row r="1246" spans="1:9" x14ac:dyDescent="0.2">
      <c r="A1246" s="117"/>
      <c r="B1246" s="118" t="s">
        <v>192</v>
      </c>
      <c r="C1246" s="395"/>
      <c r="D1246" s="396"/>
      <c r="E1246" s="397"/>
      <c r="F1246" s="224"/>
      <c r="G1246" s="171"/>
    </row>
    <row r="1247" spans="1:9" ht="12.75" thickBot="1" x14ac:dyDescent="0.25">
      <c r="A1247" s="123"/>
      <c r="B1247" s="106" t="s">
        <v>136</v>
      </c>
      <c r="C1247" s="107"/>
      <c r="D1247" s="132"/>
      <c r="E1247" s="109"/>
      <c r="F1247" s="225"/>
      <c r="G1247" s="110">
        <f>SUM(G1103:G1246)</f>
        <v>0</v>
      </c>
      <c r="I1247" s="48"/>
    </row>
    <row r="1248" spans="1:9" x14ac:dyDescent="0.2">
      <c r="A1248" s="117"/>
      <c r="B1248" s="118"/>
      <c r="C1248" s="395"/>
      <c r="D1248" s="396"/>
      <c r="E1248" s="397"/>
      <c r="F1248" s="170"/>
      <c r="G1248" s="398"/>
      <c r="I1248" s="48"/>
    </row>
    <row r="1249" spans="1:7" x14ac:dyDescent="0.2">
      <c r="A1249" s="103"/>
      <c r="B1249" s="79" t="s">
        <v>362</v>
      </c>
      <c r="C1249" s="66"/>
      <c r="D1249" s="78"/>
      <c r="E1249" s="64"/>
      <c r="F1249" s="46"/>
      <c r="G1249" s="67"/>
    </row>
    <row r="1250" spans="1:7" x14ac:dyDescent="0.2">
      <c r="A1250" s="103"/>
      <c r="B1250" s="62" t="s">
        <v>361</v>
      </c>
      <c r="C1250" s="66"/>
      <c r="D1250" s="78"/>
      <c r="E1250" s="64"/>
      <c r="F1250" s="46"/>
      <c r="G1250" s="67"/>
    </row>
    <row r="1251" spans="1:7" x14ac:dyDescent="0.2">
      <c r="A1251" s="578">
        <v>12.1</v>
      </c>
      <c r="B1251" s="579" t="s">
        <v>363</v>
      </c>
      <c r="C1251" s="580"/>
      <c r="D1251" s="581"/>
      <c r="E1251" s="509"/>
      <c r="F1251" s="582"/>
      <c r="G1251" s="583"/>
    </row>
    <row r="1252" spans="1:7" ht="42" customHeight="1" x14ac:dyDescent="0.2">
      <c r="A1252" s="103"/>
      <c r="B1252" s="616" t="s">
        <v>364</v>
      </c>
      <c r="C1252" s="617"/>
      <c r="D1252" s="617"/>
      <c r="E1252" s="617"/>
      <c r="F1252" s="618"/>
      <c r="G1252" s="67"/>
    </row>
    <row r="1253" spans="1:7" ht="14.25" customHeight="1" x14ac:dyDescent="0.2">
      <c r="A1253" s="103"/>
      <c r="B1253" s="616" t="s">
        <v>365</v>
      </c>
      <c r="C1253" s="617"/>
      <c r="D1253" s="617"/>
      <c r="E1253" s="617"/>
      <c r="F1253" s="618"/>
      <c r="G1253" s="67"/>
    </row>
    <row r="1254" spans="1:7" ht="15.75" customHeight="1" x14ac:dyDescent="0.2">
      <c r="A1254" s="103"/>
      <c r="B1254" s="616" t="s">
        <v>366</v>
      </c>
      <c r="C1254" s="617"/>
      <c r="D1254" s="617"/>
      <c r="E1254" s="617"/>
      <c r="F1254" s="618"/>
      <c r="G1254" s="67"/>
    </row>
    <row r="1255" spans="1:7" ht="26.25" customHeight="1" x14ac:dyDescent="0.2">
      <c r="A1255" s="608"/>
      <c r="B1255" s="619" t="s">
        <v>367</v>
      </c>
      <c r="C1255" s="620"/>
      <c r="D1255" s="620"/>
      <c r="E1255" s="620"/>
      <c r="F1255" s="621"/>
      <c r="G1255" s="609"/>
    </row>
    <row r="1256" spans="1:7" x14ac:dyDescent="0.2">
      <c r="A1256" s="606">
        <v>12.2</v>
      </c>
      <c r="B1256" s="607" t="s">
        <v>368</v>
      </c>
      <c r="C1256" s="409"/>
      <c r="D1256" s="410"/>
      <c r="E1256" s="329"/>
      <c r="F1256" s="156"/>
      <c r="G1256" s="75"/>
    </row>
    <row r="1257" spans="1:7" ht="24" x14ac:dyDescent="0.2">
      <c r="A1257" s="400"/>
      <c r="B1257" s="289" t="s">
        <v>369</v>
      </c>
      <c r="C1257" s="315"/>
      <c r="D1257" s="201"/>
      <c r="E1257" s="144"/>
      <c r="F1257" s="145"/>
      <c r="G1257" s="67"/>
    </row>
    <row r="1258" spans="1:7" x14ac:dyDescent="0.2">
      <c r="A1258" s="401">
        <v>1</v>
      </c>
      <c r="B1258" s="402" t="s">
        <v>64</v>
      </c>
      <c r="C1258" s="403"/>
      <c r="D1258" s="404"/>
      <c r="E1258" s="405"/>
      <c r="F1258" s="406"/>
      <c r="G1258" s="104"/>
    </row>
    <row r="1259" spans="1:7" x14ac:dyDescent="0.2">
      <c r="A1259" s="407" t="s">
        <v>194</v>
      </c>
      <c r="B1259" s="408" t="s">
        <v>368</v>
      </c>
      <c r="C1259" s="409"/>
      <c r="D1259" s="410"/>
      <c r="E1259" s="329"/>
      <c r="F1259" s="223"/>
      <c r="G1259" s="102">
        <f t="shared" ref="G1259:G1267" si="158">+D1259*E1259+D1259*F1259</f>
        <v>0</v>
      </c>
    </row>
    <row r="1260" spans="1:7" x14ac:dyDescent="0.2">
      <c r="A1260" s="400" t="s">
        <v>171</v>
      </c>
      <c r="B1260" s="289" t="s">
        <v>370</v>
      </c>
      <c r="C1260" s="315" t="s">
        <v>109</v>
      </c>
      <c r="D1260" s="201">
        <v>1</v>
      </c>
      <c r="E1260" s="144"/>
      <c r="F1260" s="145"/>
      <c r="G1260" s="102">
        <f t="shared" si="158"/>
        <v>0</v>
      </c>
    </row>
    <row r="1261" spans="1:7" x14ac:dyDescent="0.2">
      <c r="A1261" s="400" t="s">
        <v>172</v>
      </c>
      <c r="B1261" s="289" t="s">
        <v>371</v>
      </c>
      <c r="C1261" s="315" t="s">
        <v>109</v>
      </c>
      <c r="D1261" s="201">
        <v>1</v>
      </c>
      <c r="E1261" s="144"/>
      <c r="F1261" s="145"/>
      <c r="G1261" s="102">
        <f t="shared" si="158"/>
        <v>0</v>
      </c>
    </row>
    <row r="1262" spans="1:7" x14ac:dyDescent="0.2">
      <c r="A1262" s="400" t="s">
        <v>185</v>
      </c>
      <c r="B1262" s="289" t="s">
        <v>372</v>
      </c>
      <c r="C1262" s="315" t="s">
        <v>109</v>
      </c>
      <c r="D1262" s="201">
        <v>6</v>
      </c>
      <c r="E1262" s="144"/>
      <c r="F1262" s="145"/>
      <c r="G1262" s="102">
        <f t="shared" si="158"/>
        <v>0</v>
      </c>
    </row>
    <row r="1263" spans="1:7" ht="24" x14ac:dyDescent="0.2">
      <c r="A1263" s="400" t="s">
        <v>186</v>
      </c>
      <c r="B1263" s="289" t="s">
        <v>373</v>
      </c>
      <c r="C1263" s="315" t="s">
        <v>109</v>
      </c>
      <c r="D1263" s="201">
        <v>1</v>
      </c>
      <c r="E1263" s="144"/>
      <c r="F1263" s="145"/>
      <c r="G1263" s="102">
        <f t="shared" si="158"/>
        <v>0</v>
      </c>
    </row>
    <row r="1264" spans="1:7" x14ac:dyDescent="0.2">
      <c r="A1264" s="400" t="s">
        <v>187</v>
      </c>
      <c r="B1264" s="289" t="s">
        <v>374</v>
      </c>
      <c r="C1264" s="315" t="s">
        <v>109</v>
      </c>
      <c r="D1264" s="201">
        <v>1</v>
      </c>
      <c r="E1264" s="144"/>
      <c r="F1264" s="145"/>
      <c r="G1264" s="102">
        <f t="shared" si="158"/>
        <v>0</v>
      </c>
    </row>
    <row r="1265" spans="1:7" x14ac:dyDescent="0.2">
      <c r="A1265" s="400" t="s">
        <v>188</v>
      </c>
      <c r="B1265" s="289" t="s">
        <v>375</v>
      </c>
      <c r="C1265" s="315" t="s">
        <v>109</v>
      </c>
      <c r="D1265" s="201">
        <v>12</v>
      </c>
      <c r="E1265" s="144"/>
      <c r="F1265" s="145"/>
      <c r="G1265" s="102">
        <f t="shared" si="158"/>
        <v>0</v>
      </c>
    </row>
    <row r="1266" spans="1:7" x14ac:dyDescent="0.2">
      <c r="A1266" s="400" t="s">
        <v>189</v>
      </c>
      <c r="B1266" s="289" t="s">
        <v>376</v>
      </c>
      <c r="C1266" s="315" t="s">
        <v>109</v>
      </c>
      <c r="D1266" s="201">
        <v>1</v>
      </c>
      <c r="E1266" s="144"/>
      <c r="F1266" s="145"/>
      <c r="G1266" s="102">
        <f t="shared" si="158"/>
        <v>0</v>
      </c>
    </row>
    <row r="1267" spans="1:7" x14ac:dyDescent="0.2">
      <c r="A1267" s="400" t="s">
        <v>190</v>
      </c>
      <c r="B1267" s="289" t="s">
        <v>377</v>
      </c>
      <c r="C1267" s="315" t="s">
        <v>109</v>
      </c>
      <c r="D1267" s="201">
        <v>1</v>
      </c>
      <c r="E1267" s="144"/>
      <c r="F1267" s="145"/>
      <c r="G1267" s="102">
        <f t="shared" si="158"/>
        <v>0</v>
      </c>
    </row>
    <row r="1268" spans="1:7" x14ac:dyDescent="0.2">
      <c r="A1268" s="411"/>
      <c r="B1268" s="412"/>
      <c r="C1268" s="413"/>
      <c r="D1268" s="410"/>
      <c r="E1268" s="414"/>
      <c r="F1268" s="415"/>
      <c r="G1268" s="102"/>
    </row>
    <row r="1269" spans="1:7" x14ac:dyDescent="0.2">
      <c r="A1269" s="401">
        <v>2</v>
      </c>
      <c r="B1269" s="402" t="s">
        <v>66</v>
      </c>
      <c r="C1269" s="403"/>
      <c r="D1269" s="404"/>
      <c r="E1269" s="405"/>
      <c r="F1269" s="406"/>
      <c r="G1269" s="104"/>
    </row>
    <row r="1270" spans="1:7" x14ac:dyDescent="0.2">
      <c r="A1270" s="407" t="s">
        <v>194</v>
      </c>
      <c r="B1270" s="408" t="s">
        <v>368</v>
      </c>
      <c r="C1270" s="409"/>
      <c r="D1270" s="410"/>
      <c r="E1270" s="329"/>
      <c r="F1270" s="223"/>
      <c r="G1270" s="102">
        <f t="shared" ref="G1270:G1276" si="159">+D1270*E1270+D1270*F1270</f>
        <v>0</v>
      </c>
    </row>
    <row r="1271" spans="1:7" x14ac:dyDescent="0.2">
      <c r="A1271" s="400" t="s">
        <v>171</v>
      </c>
      <c r="B1271" s="289" t="s">
        <v>372</v>
      </c>
      <c r="C1271" s="315" t="s">
        <v>109</v>
      </c>
      <c r="D1271" s="201">
        <v>7</v>
      </c>
      <c r="E1271" s="144"/>
      <c r="F1271" s="145"/>
      <c r="G1271" s="102">
        <f t="shared" si="159"/>
        <v>0</v>
      </c>
    </row>
    <row r="1272" spans="1:7" ht="24" x14ac:dyDescent="0.2">
      <c r="A1272" s="400" t="s">
        <v>172</v>
      </c>
      <c r="B1272" s="289" t="s">
        <v>373</v>
      </c>
      <c r="C1272" s="315" t="s">
        <v>109</v>
      </c>
      <c r="D1272" s="201">
        <v>1</v>
      </c>
      <c r="E1272" s="144"/>
      <c r="F1272" s="145"/>
      <c r="G1272" s="102">
        <f t="shared" si="159"/>
        <v>0</v>
      </c>
    </row>
    <row r="1273" spans="1:7" x14ac:dyDescent="0.2">
      <c r="A1273" s="400" t="s">
        <v>185</v>
      </c>
      <c r="B1273" s="289" t="s">
        <v>374</v>
      </c>
      <c r="C1273" s="315" t="s">
        <v>109</v>
      </c>
      <c r="D1273" s="201">
        <v>1</v>
      </c>
      <c r="E1273" s="144"/>
      <c r="F1273" s="145"/>
      <c r="G1273" s="102">
        <f t="shared" si="159"/>
        <v>0</v>
      </c>
    </row>
    <row r="1274" spans="1:7" x14ac:dyDescent="0.2">
      <c r="A1274" s="400" t="s">
        <v>186</v>
      </c>
      <c r="B1274" s="289" t="s">
        <v>375</v>
      </c>
      <c r="C1274" s="315" t="s">
        <v>109</v>
      </c>
      <c r="D1274" s="201">
        <v>12</v>
      </c>
      <c r="E1274" s="144"/>
      <c r="F1274" s="145"/>
      <c r="G1274" s="102">
        <f t="shared" si="159"/>
        <v>0</v>
      </c>
    </row>
    <row r="1275" spans="1:7" x14ac:dyDescent="0.2">
      <c r="A1275" s="400" t="s">
        <v>187</v>
      </c>
      <c r="B1275" s="289" t="s">
        <v>376</v>
      </c>
      <c r="C1275" s="315" t="s">
        <v>109</v>
      </c>
      <c r="D1275" s="201">
        <v>1</v>
      </c>
      <c r="E1275" s="144"/>
      <c r="F1275" s="145"/>
      <c r="G1275" s="102">
        <f t="shared" si="159"/>
        <v>0</v>
      </c>
    </row>
    <row r="1276" spans="1:7" x14ac:dyDescent="0.2">
      <c r="A1276" s="400" t="s">
        <v>188</v>
      </c>
      <c r="B1276" s="289" t="s">
        <v>377</v>
      </c>
      <c r="C1276" s="315" t="s">
        <v>109</v>
      </c>
      <c r="D1276" s="201">
        <v>1</v>
      </c>
      <c r="E1276" s="144"/>
      <c r="F1276" s="145"/>
      <c r="G1276" s="102">
        <f t="shared" si="159"/>
        <v>0</v>
      </c>
    </row>
    <row r="1277" spans="1:7" x14ac:dyDescent="0.2">
      <c r="A1277" s="401">
        <v>3</v>
      </c>
      <c r="B1277" s="402" t="s">
        <v>454</v>
      </c>
      <c r="C1277" s="403"/>
      <c r="D1277" s="404"/>
      <c r="E1277" s="405"/>
      <c r="F1277" s="406"/>
      <c r="G1277" s="104"/>
    </row>
    <row r="1278" spans="1:7" x14ac:dyDescent="0.2">
      <c r="A1278" s="407" t="s">
        <v>194</v>
      </c>
      <c r="B1278" s="408" t="s">
        <v>368</v>
      </c>
      <c r="C1278" s="409"/>
      <c r="D1278" s="410"/>
      <c r="E1278" s="329"/>
      <c r="F1278" s="223"/>
      <c r="G1278" s="102">
        <f t="shared" ref="G1278:G1284" si="160">+D1278*E1278+D1278*F1278</f>
        <v>0</v>
      </c>
    </row>
    <row r="1279" spans="1:7" x14ac:dyDescent="0.2">
      <c r="A1279" s="400" t="s">
        <v>171</v>
      </c>
      <c r="B1279" s="289" t="s">
        <v>372</v>
      </c>
      <c r="C1279" s="315" t="s">
        <v>109</v>
      </c>
      <c r="D1279" s="201">
        <v>7</v>
      </c>
      <c r="E1279" s="144"/>
      <c r="F1279" s="145"/>
      <c r="G1279" s="102">
        <f t="shared" si="160"/>
        <v>0</v>
      </c>
    </row>
    <row r="1280" spans="1:7" ht="24" x14ac:dyDescent="0.2">
      <c r="A1280" s="400" t="s">
        <v>172</v>
      </c>
      <c r="B1280" s="289" t="s">
        <v>373</v>
      </c>
      <c r="C1280" s="315" t="s">
        <v>109</v>
      </c>
      <c r="D1280" s="201">
        <v>1</v>
      </c>
      <c r="E1280" s="144"/>
      <c r="F1280" s="145"/>
      <c r="G1280" s="102">
        <f t="shared" si="160"/>
        <v>0</v>
      </c>
    </row>
    <row r="1281" spans="1:7" x14ac:dyDescent="0.2">
      <c r="A1281" s="400" t="s">
        <v>185</v>
      </c>
      <c r="B1281" s="289" t="s">
        <v>374</v>
      </c>
      <c r="C1281" s="315" t="s">
        <v>109</v>
      </c>
      <c r="D1281" s="201">
        <v>1</v>
      </c>
      <c r="E1281" s="144"/>
      <c r="F1281" s="145"/>
      <c r="G1281" s="102">
        <f t="shared" si="160"/>
        <v>0</v>
      </c>
    </row>
    <row r="1282" spans="1:7" x14ac:dyDescent="0.2">
      <c r="A1282" s="400" t="s">
        <v>186</v>
      </c>
      <c r="B1282" s="289" t="s">
        <v>375</v>
      </c>
      <c r="C1282" s="315" t="s">
        <v>109</v>
      </c>
      <c r="D1282" s="201">
        <v>12</v>
      </c>
      <c r="E1282" s="144"/>
      <c r="F1282" s="145"/>
      <c r="G1282" s="102">
        <f t="shared" si="160"/>
        <v>0</v>
      </c>
    </row>
    <row r="1283" spans="1:7" x14ac:dyDescent="0.2">
      <c r="A1283" s="400" t="s">
        <v>187</v>
      </c>
      <c r="B1283" s="289" t="s">
        <v>376</v>
      </c>
      <c r="C1283" s="315" t="s">
        <v>109</v>
      </c>
      <c r="D1283" s="201">
        <v>1</v>
      </c>
      <c r="E1283" s="144"/>
      <c r="F1283" s="145"/>
      <c r="G1283" s="102">
        <f t="shared" si="160"/>
        <v>0</v>
      </c>
    </row>
    <row r="1284" spans="1:7" x14ac:dyDescent="0.2">
      <c r="A1284" s="400" t="s">
        <v>188</v>
      </c>
      <c r="B1284" s="289" t="s">
        <v>377</v>
      </c>
      <c r="C1284" s="315" t="s">
        <v>109</v>
      </c>
      <c r="D1284" s="201">
        <v>1</v>
      </c>
      <c r="E1284" s="144"/>
      <c r="F1284" s="145"/>
      <c r="G1284" s="102">
        <f t="shared" si="160"/>
        <v>0</v>
      </c>
    </row>
    <row r="1285" spans="1:7" x14ac:dyDescent="0.2">
      <c r="A1285" s="401" t="s">
        <v>518</v>
      </c>
      <c r="B1285" s="402" t="s">
        <v>456</v>
      </c>
      <c r="C1285" s="403"/>
      <c r="D1285" s="404"/>
      <c r="E1285" s="405"/>
      <c r="F1285" s="406"/>
      <c r="G1285" s="104"/>
    </row>
    <row r="1286" spans="1:7" x14ac:dyDescent="0.2">
      <c r="A1286" s="407" t="s">
        <v>194</v>
      </c>
      <c r="B1286" s="408" t="s">
        <v>368</v>
      </c>
      <c r="C1286" s="409"/>
      <c r="D1286" s="410"/>
      <c r="E1286" s="329"/>
      <c r="F1286" s="223"/>
      <c r="G1286" s="102">
        <f t="shared" ref="G1286:G1292" si="161">+D1286*E1286+D1286*F1286</f>
        <v>0</v>
      </c>
    </row>
    <row r="1287" spans="1:7" x14ac:dyDescent="0.2">
      <c r="A1287" s="400" t="s">
        <v>171</v>
      </c>
      <c r="B1287" s="289" t="s">
        <v>372</v>
      </c>
      <c r="C1287" s="315" t="s">
        <v>109</v>
      </c>
      <c r="D1287" s="201">
        <v>7</v>
      </c>
      <c r="E1287" s="144"/>
      <c r="F1287" s="145"/>
      <c r="G1287" s="102">
        <f t="shared" si="161"/>
        <v>0</v>
      </c>
    </row>
    <row r="1288" spans="1:7" ht="24" x14ac:dyDescent="0.2">
      <c r="A1288" s="400" t="s">
        <v>172</v>
      </c>
      <c r="B1288" s="289" t="s">
        <v>373</v>
      </c>
      <c r="C1288" s="315" t="s">
        <v>109</v>
      </c>
      <c r="D1288" s="201">
        <v>1</v>
      </c>
      <c r="E1288" s="144"/>
      <c r="F1288" s="145"/>
      <c r="G1288" s="102">
        <f t="shared" si="161"/>
        <v>0</v>
      </c>
    </row>
    <row r="1289" spans="1:7" x14ac:dyDescent="0.2">
      <c r="A1289" s="400" t="s">
        <v>185</v>
      </c>
      <c r="B1289" s="289" t="s">
        <v>374</v>
      </c>
      <c r="C1289" s="315" t="s">
        <v>109</v>
      </c>
      <c r="D1289" s="201">
        <v>1</v>
      </c>
      <c r="E1289" s="144"/>
      <c r="F1289" s="145"/>
      <c r="G1289" s="102">
        <f t="shared" si="161"/>
        <v>0</v>
      </c>
    </row>
    <row r="1290" spans="1:7" x14ac:dyDescent="0.2">
      <c r="A1290" s="400" t="s">
        <v>186</v>
      </c>
      <c r="B1290" s="289" t="s">
        <v>375</v>
      </c>
      <c r="C1290" s="315" t="s">
        <v>109</v>
      </c>
      <c r="D1290" s="201">
        <v>12</v>
      </c>
      <c r="E1290" s="144"/>
      <c r="F1290" s="145"/>
      <c r="G1290" s="102">
        <f t="shared" si="161"/>
        <v>0</v>
      </c>
    </row>
    <row r="1291" spans="1:7" x14ac:dyDescent="0.2">
      <c r="A1291" s="400" t="s">
        <v>187</v>
      </c>
      <c r="B1291" s="289" t="s">
        <v>376</v>
      </c>
      <c r="C1291" s="315" t="s">
        <v>109</v>
      </c>
      <c r="D1291" s="201">
        <v>1</v>
      </c>
      <c r="E1291" s="144"/>
      <c r="F1291" s="145"/>
      <c r="G1291" s="102">
        <f t="shared" si="161"/>
        <v>0</v>
      </c>
    </row>
    <row r="1292" spans="1:7" x14ac:dyDescent="0.2">
      <c r="A1292" s="400" t="s">
        <v>188</v>
      </c>
      <c r="B1292" s="289" t="s">
        <v>377</v>
      </c>
      <c r="C1292" s="315" t="s">
        <v>109</v>
      </c>
      <c r="D1292" s="201">
        <v>1</v>
      </c>
      <c r="E1292" s="144"/>
      <c r="F1292" s="145"/>
      <c r="G1292" s="102">
        <f t="shared" si="161"/>
        <v>0</v>
      </c>
    </row>
    <row r="1293" spans="1:7" x14ac:dyDescent="0.2">
      <c r="A1293" s="411"/>
      <c r="B1293" s="412"/>
      <c r="C1293" s="413"/>
      <c r="D1293" s="410"/>
      <c r="E1293" s="414"/>
      <c r="F1293" s="415"/>
      <c r="G1293" s="102"/>
    </row>
    <row r="1294" spans="1:7" x14ac:dyDescent="0.2">
      <c r="A1294" s="411"/>
      <c r="B1294" s="412"/>
      <c r="C1294" s="413"/>
      <c r="D1294" s="410"/>
      <c r="E1294" s="414"/>
      <c r="F1294" s="415"/>
      <c r="G1294" s="102"/>
    </row>
    <row r="1295" spans="1:7" ht="12.75" thickBot="1" x14ac:dyDescent="0.25">
      <c r="A1295" s="416"/>
      <c r="B1295" s="417"/>
      <c r="C1295" s="418"/>
      <c r="D1295" s="419"/>
      <c r="E1295" s="420"/>
      <c r="F1295" s="421"/>
      <c r="G1295" s="102"/>
    </row>
    <row r="1296" spans="1:7" x14ac:dyDescent="0.2">
      <c r="A1296" s="399"/>
      <c r="B1296" s="118" t="s">
        <v>378</v>
      </c>
      <c r="C1296" s="395"/>
      <c r="D1296" s="170"/>
      <c r="E1296" s="397"/>
      <c r="F1296" s="224"/>
      <c r="G1296" s="171"/>
    </row>
    <row r="1297" spans="1:7" ht="12.75" thickBot="1" x14ac:dyDescent="0.25">
      <c r="A1297" s="105"/>
      <c r="B1297" s="106" t="s">
        <v>379</v>
      </c>
      <c r="C1297" s="107"/>
      <c r="D1297" s="108"/>
      <c r="E1297" s="109"/>
      <c r="F1297" s="225"/>
      <c r="G1297" s="110">
        <f>SUM(G1252:G1296)</f>
        <v>0</v>
      </c>
    </row>
    <row r="1298" spans="1:7" x14ac:dyDescent="0.2">
      <c r="A1298" s="422"/>
      <c r="B1298" s="423" t="s">
        <v>396</v>
      </c>
      <c r="C1298" s="270"/>
      <c r="D1298" s="359"/>
      <c r="E1298" s="272"/>
      <c r="F1298" s="273"/>
      <c r="G1298" s="67"/>
    </row>
    <row r="1299" spans="1:7" x14ac:dyDescent="0.2">
      <c r="A1299" s="400"/>
      <c r="B1299" s="424" t="s">
        <v>393</v>
      </c>
      <c r="C1299" s="267"/>
      <c r="D1299" s="201"/>
      <c r="E1299" s="144"/>
      <c r="F1299" s="145"/>
      <c r="G1299" s="67"/>
    </row>
    <row r="1300" spans="1:7" x14ac:dyDescent="0.2">
      <c r="A1300" s="425">
        <v>13.1</v>
      </c>
      <c r="B1300" s="313" t="s">
        <v>40</v>
      </c>
      <c r="C1300" s="426"/>
      <c r="D1300" s="427"/>
      <c r="E1300" s="217"/>
      <c r="F1300" s="261"/>
      <c r="G1300" s="93"/>
    </row>
    <row r="1301" spans="1:7" x14ac:dyDescent="0.2">
      <c r="A1301" s="428"/>
      <c r="B1301" s="313" t="s">
        <v>395</v>
      </c>
      <c r="C1301" s="426"/>
      <c r="D1301" s="427"/>
      <c r="E1301" s="217"/>
      <c r="F1301" s="261"/>
      <c r="G1301" s="93"/>
    </row>
    <row r="1302" spans="1:7" x14ac:dyDescent="0.2">
      <c r="A1302" s="400"/>
      <c r="B1302" s="289"/>
      <c r="C1302" s="315"/>
      <c r="D1302" s="201"/>
      <c r="E1302" s="144"/>
      <c r="F1302" s="145"/>
      <c r="G1302" s="67"/>
    </row>
    <row r="1303" spans="1:7" x14ac:dyDescent="0.2">
      <c r="A1303" s="400"/>
      <c r="B1303" s="289"/>
      <c r="C1303" s="315"/>
      <c r="D1303" s="201"/>
      <c r="E1303" s="144"/>
      <c r="F1303" s="145"/>
      <c r="G1303" s="67"/>
    </row>
    <row r="1304" spans="1:7" x14ac:dyDescent="0.2">
      <c r="A1304" s="400"/>
      <c r="B1304" s="289"/>
      <c r="C1304" s="315"/>
      <c r="D1304" s="201"/>
      <c r="E1304" s="144"/>
      <c r="F1304" s="145"/>
      <c r="G1304" s="67"/>
    </row>
    <row r="1305" spans="1:7" x14ac:dyDescent="0.2">
      <c r="A1305" s="400"/>
      <c r="B1305" s="289"/>
      <c r="C1305" s="315"/>
      <c r="D1305" s="201"/>
      <c r="E1305" s="144"/>
      <c r="F1305" s="145"/>
      <c r="G1305" s="67"/>
    </row>
    <row r="1306" spans="1:7" x14ac:dyDescent="0.2">
      <c r="A1306" s="400"/>
      <c r="B1306" s="289"/>
      <c r="C1306" s="315"/>
      <c r="D1306" s="201"/>
      <c r="E1306" s="144"/>
      <c r="F1306" s="145"/>
      <c r="G1306" s="67"/>
    </row>
    <row r="1307" spans="1:7" x14ac:dyDescent="0.2">
      <c r="A1307" s="400"/>
      <c r="B1307" s="289"/>
      <c r="C1307" s="315"/>
      <c r="D1307" s="201"/>
      <c r="E1307" s="144"/>
      <c r="F1307" s="145"/>
      <c r="G1307" s="67"/>
    </row>
    <row r="1308" spans="1:7" x14ac:dyDescent="0.2">
      <c r="A1308" s="400"/>
      <c r="B1308" s="289"/>
      <c r="C1308" s="315"/>
      <c r="D1308" s="201"/>
      <c r="E1308" s="144"/>
      <c r="F1308" s="145"/>
      <c r="G1308" s="67"/>
    </row>
    <row r="1309" spans="1:7" x14ac:dyDescent="0.2">
      <c r="A1309" s="400"/>
      <c r="B1309" s="289"/>
      <c r="C1309" s="315"/>
      <c r="D1309" s="201"/>
      <c r="E1309" s="144"/>
      <c r="F1309" s="145"/>
      <c r="G1309" s="67"/>
    </row>
    <row r="1310" spans="1:7" x14ac:dyDescent="0.2">
      <c r="A1310" s="400"/>
      <c r="B1310" s="289"/>
      <c r="C1310" s="315"/>
      <c r="D1310" s="201"/>
      <c r="E1310" s="144"/>
      <c r="F1310" s="145"/>
      <c r="G1310" s="67"/>
    </row>
    <row r="1311" spans="1:7" x14ac:dyDescent="0.2">
      <c r="A1311" s="400"/>
      <c r="B1311" s="289"/>
      <c r="C1311" s="315"/>
      <c r="D1311" s="201"/>
      <c r="E1311" s="144"/>
      <c r="F1311" s="145"/>
      <c r="G1311" s="67"/>
    </row>
    <row r="1312" spans="1:7" x14ac:dyDescent="0.2">
      <c r="A1312" s="400"/>
      <c r="B1312" s="289"/>
      <c r="C1312" s="315"/>
      <c r="D1312" s="201"/>
      <c r="E1312" s="144"/>
      <c r="F1312" s="145"/>
      <c r="G1312" s="67"/>
    </row>
    <row r="1313" spans="1:7" x14ac:dyDescent="0.2">
      <c r="A1313" s="400"/>
      <c r="B1313" s="289"/>
      <c r="C1313" s="315"/>
      <c r="D1313" s="201"/>
      <c r="E1313" s="144"/>
      <c r="F1313" s="145"/>
      <c r="G1313" s="67"/>
    </row>
    <row r="1314" spans="1:7" x14ac:dyDescent="0.2">
      <c r="A1314" s="400"/>
      <c r="B1314" s="289"/>
      <c r="C1314" s="315"/>
      <c r="D1314" s="201"/>
      <c r="E1314" s="144"/>
      <c r="F1314" s="145"/>
      <c r="G1314" s="67"/>
    </row>
    <row r="1315" spans="1:7" x14ac:dyDescent="0.2">
      <c r="A1315" s="400"/>
      <c r="B1315" s="289"/>
      <c r="C1315" s="315"/>
      <c r="D1315" s="201"/>
      <c r="E1315" s="144"/>
      <c r="F1315" s="145"/>
      <c r="G1315" s="67"/>
    </row>
    <row r="1316" spans="1:7" x14ac:dyDescent="0.2">
      <c r="A1316" s="400"/>
      <c r="B1316" s="289"/>
      <c r="C1316" s="315"/>
      <c r="D1316" s="201"/>
      <c r="E1316" s="144"/>
      <c r="F1316" s="145"/>
      <c r="G1316" s="67"/>
    </row>
    <row r="1317" spans="1:7" x14ac:dyDescent="0.2">
      <c r="A1317" s="400"/>
      <c r="B1317" s="289"/>
      <c r="C1317" s="315"/>
      <c r="D1317" s="201"/>
      <c r="E1317" s="144"/>
      <c r="F1317" s="145"/>
      <c r="G1317" s="67"/>
    </row>
    <row r="1318" spans="1:7" x14ac:dyDescent="0.2">
      <c r="A1318" s="400"/>
      <c r="B1318" s="289"/>
      <c r="C1318" s="315"/>
      <c r="D1318" s="201"/>
      <c r="E1318" s="144"/>
      <c r="F1318" s="145"/>
      <c r="G1318" s="67"/>
    </row>
    <row r="1319" spans="1:7" x14ac:dyDescent="0.2">
      <c r="A1319" s="400"/>
      <c r="B1319" s="289"/>
      <c r="C1319" s="315"/>
      <c r="D1319" s="201"/>
      <c r="E1319" s="144"/>
      <c r="F1319" s="145"/>
      <c r="G1319" s="67"/>
    </row>
    <row r="1320" spans="1:7" x14ac:dyDescent="0.2">
      <c r="A1320" s="400"/>
      <c r="B1320" s="289"/>
      <c r="C1320" s="315"/>
      <c r="D1320" s="201"/>
      <c r="E1320" s="144"/>
      <c r="F1320" s="145"/>
      <c r="G1320" s="67"/>
    </row>
    <row r="1321" spans="1:7" x14ac:dyDescent="0.2">
      <c r="A1321" s="400"/>
      <c r="B1321" s="289"/>
      <c r="C1321" s="315"/>
      <c r="D1321" s="201"/>
      <c r="E1321" s="144"/>
      <c r="F1321" s="145"/>
      <c r="G1321" s="67"/>
    </row>
    <row r="1322" spans="1:7" x14ac:dyDescent="0.2">
      <c r="A1322" s="400"/>
      <c r="B1322" s="289"/>
      <c r="C1322" s="315"/>
      <c r="D1322" s="201"/>
      <c r="E1322" s="144"/>
      <c r="F1322" s="145"/>
      <c r="G1322" s="67"/>
    </row>
    <row r="1323" spans="1:7" x14ac:dyDescent="0.2">
      <c r="A1323" s="400"/>
      <c r="B1323" s="289"/>
      <c r="C1323" s="315"/>
      <c r="D1323" s="201"/>
      <c r="E1323" s="144"/>
      <c r="F1323" s="145"/>
      <c r="G1323" s="67"/>
    </row>
    <row r="1324" spans="1:7" x14ac:dyDescent="0.2">
      <c r="A1324" s="400"/>
      <c r="B1324" s="289"/>
      <c r="C1324" s="315"/>
      <c r="D1324" s="201"/>
      <c r="E1324" s="144"/>
      <c r="F1324" s="145"/>
      <c r="G1324" s="67"/>
    </row>
    <row r="1325" spans="1:7" x14ac:dyDescent="0.2">
      <c r="A1325" s="400"/>
      <c r="B1325" s="289"/>
      <c r="C1325" s="315"/>
      <c r="D1325" s="201"/>
      <c r="E1325" s="144"/>
      <c r="F1325" s="145"/>
      <c r="G1325" s="67"/>
    </row>
    <row r="1326" spans="1:7" x14ac:dyDescent="0.2">
      <c r="A1326" s="400"/>
      <c r="B1326" s="289"/>
      <c r="C1326" s="315"/>
      <c r="D1326" s="201"/>
      <c r="E1326" s="144"/>
      <c r="F1326" s="145"/>
      <c r="G1326" s="67"/>
    </row>
    <row r="1327" spans="1:7" x14ac:dyDescent="0.2">
      <c r="A1327" s="400"/>
      <c r="B1327" s="289"/>
      <c r="C1327" s="315"/>
      <c r="D1327" s="201"/>
      <c r="E1327" s="144"/>
      <c r="F1327" s="145"/>
      <c r="G1327" s="67"/>
    </row>
    <row r="1328" spans="1:7" x14ac:dyDescent="0.2">
      <c r="A1328" s="400"/>
      <c r="B1328" s="289"/>
      <c r="C1328" s="315"/>
      <c r="D1328" s="201"/>
      <c r="E1328" s="144"/>
      <c r="F1328" s="145"/>
      <c r="G1328" s="67"/>
    </row>
    <row r="1329" spans="1:7" x14ac:dyDescent="0.2">
      <c r="A1329" s="400"/>
      <c r="B1329" s="289"/>
      <c r="C1329" s="315"/>
      <c r="D1329" s="201"/>
      <c r="E1329" s="144"/>
      <c r="F1329" s="145"/>
      <c r="G1329" s="67"/>
    </row>
    <row r="1330" spans="1:7" x14ac:dyDescent="0.2">
      <c r="A1330" s="400"/>
      <c r="B1330" s="289"/>
      <c r="C1330" s="315"/>
      <c r="D1330" s="201"/>
      <c r="E1330" s="144"/>
      <c r="F1330" s="145"/>
      <c r="G1330" s="67"/>
    </row>
    <row r="1331" spans="1:7" x14ac:dyDescent="0.2">
      <c r="A1331" s="400"/>
      <c r="B1331" s="289"/>
      <c r="C1331" s="315"/>
      <c r="D1331" s="201"/>
      <c r="E1331" s="144"/>
      <c r="F1331" s="145"/>
      <c r="G1331" s="67"/>
    </row>
    <row r="1332" spans="1:7" x14ac:dyDescent="0.2">
      <c r="A1332" s="400"/>
      <c r="B1332" s="289"/>
      <c r="C1332" s="315"/>
      <c r="D1332" s="201"/>
      <c r="E1332" s="144"/>
      <c r="F1332" s="145"/>
      <c r="G1332" s="67"/>
    </row>
    <row r="1333" spans="1:7" x14ac:dyDescent="0.2">
      <c r="A1333" s="400"/>
      <c r="B1333" s="289"/>
      <c r="C1333" s="315"/>
      <c r="D1333" s="201"/>
      <c r="E1333" s="144"/>
      <c r="F1333" s="145"/>
      <c r="G1333" s="67"/>
    </row>
    <row r="1334" spans="1:7" x14ac:dyDescent="0.2">
      <c r="A1334" s="400"/>
      <c r="B1334" s="289"/>
      <c r="C1334" s="315"/>
      <c r="D1334" s="201"/>
      <c r="E1334" s="144"/>
      <c r="F1334" s="145"/>
      <c r="G1334" s="67"/>
    </row>
    <row r="1335" spans="1:7" x14ac:dyDescent="0.2">
      <c r="A1335" s="400"/>
      <c r="B1335" s="289"/>
      <c r="C1335" s="315"/>
      <c r="D1335" s="201"/>
      <c r="E1335" s="144"/>
      <c r="F1335" s="145"/>
      <c r="G1335" s="67"/>
    </row>
    <row r="1336" spans="1:7" x14ac:dyDescent="0.2">
      <c r="A1336" s="400"/>
      <c r="B1336" s="289"/>
      <c r="C1336" s="315"/>
      <c r="D1336" s="201"/>
      <c r="E1336" s="144"/>
      <c r="F1336" s="145"/>
      <c r="G1336" s="67"/>
    </row>
    <row r="1337" spans="1:7" x14ac:dyDescent="0.2">
      <c r="A1337" s="400"/>
      <c r="B1337" s="289"/>
      <c r="C1337" s="315"/>
      <c r="D1337" s="201"/>
      <c r="E1337" s="144"/>
      <c r="F1337" s="145"/>
      <c r="G1337" s="67"/>
    </row>
    <row r="1338" spans="1:7" x14ac:dyDescent="0.2">
      <c r="A1338" s="400"/>
      <c r="B1338" s="289"/>
      <c r="C1338" s="315"/>
      <c r="D1338" s="201"/>
      <c r="E1338" s="144"/>
      <c r="F1338" s="145"/>
      <c r="G1338" s="67"/>
    </row>
    <row r="1339" spans="1:7" x14ac:dyDescent="0.2">
      <c r="A1339" s="400"/>
      <c r="B1339" s="289"/>
      <c r="C1339" s="315"/>
      <c r="D1339" s="201"/>
      <c r="E1339" s="144"/>
      <c r="F1339" s="145"/>
      <c r="G1339" s="67"/>
    </row>
    <row r="1340" spans="1:7" x14ac:dyDescent="0.2">
      <c r="A1340" s="400"/>
      <c r="B1340" s="289"/>
      <c r="C1340" s="315"/>
      <c r="D1340" s="201"/>
      <c r="E1340" s="144"/>
      <c r="F1340" s="145"/>
      <c r="G1340" s="67"/>
    </row>
    <row r="1341" spans="1:7" x14ac:dyDescent="0.2">
      <c r="A1341" s="400"/>
      <c r="B1341" s="289"/>
      <c r="C1341" s="315"/>
      <c r="D1341" s="201"/>
      <c r="E1341" s="144"/>
      <c r="F1341" s="145"/>
      <c r="G1341" s="67"/>
    </row>
    <row r="1342" spans="1:7" x14ac:dyDescent="0.2">
      <c r="A1342" s="400"/>
      <c r="B1342" s="289"/>
      <c r="C1342" s="315"/>
      <c r="D1342" s="201"/>
      <c r="E1342" s="144"/>
      <c r="F1342" s="145"/>
      <c r="G1342" s="67"/>
    </row>
    <row r="1343" spans="1:7" x14ac:dyDescent="0.2">
      <c r="A1343" s="400"/>
      <c r="B1343" s="289"/>
      <c r="C1343" s="315"/>
      <c r="D1343" s="201"/>
      <c r="E1343" s="144"/>
      <c r="F1343" s="145"/>
      <c r="G1343" s="67"/>
    </row>
    <row r="1344" spans="1:7" x14ac:dyDescent="0.2">
      <c r="A1344" s="400"/>
      <c r="B1344" s="289"/>
      <c r="C1344" s="315"/>
      <c r="D1344" s="201"/>
      <c r="E1344" s="144"/>
      <c r="F1344" s="145"/>
      <c r="G1344" s="67"/>
    </row>
    <row r="1345" spans="1:7" x14ac:dyDescent="0.2">
      <c r="A1345" s="400"/>
      <c r="B1345" s="289"/>
      <c r="C1345" s="315"/>
      <c r="D1345" s="201"/>
      <c r="E1345" s="144"/>
      <c r="F1345" s="145"/>
      <c r="G1345" s="67"/>
    </row>
    <row r="1346" spans="1:7" x14ac:dyDescent="0.2">
      <c r="A1346" s="400"/>
      <c r="B1346" s="289"/>
      <c r="C1346" s="315"/>
      <c r="D1346" s="201"/>
      <c r="E1346" s="144"/>
      <c r="F1346" s="145"/>
      <c r="G1346" s="67"/>
    </row>
    <row r="1347" spans="1:7" x14ac:dyDescent="0.2">
      <c r="A1347" s="400"/>
      <c r="B1347" s="289"/>
      <c r="C1347" s="315"/>
      <c r="D1347" s="201"/>
      <c r="E1347" s="144"/>
      <c r="F1347" s="145"/>
      <c r="G1347" s="67"/>
    </row>
    <row r="1348" spans="1:7" x14ac:dyDescent="0.2">
      <c r="A1348" s="400"/>
      <c r="B1348" s="289"/>
      <c r="C1348" s="315"/>
      <c r="D1348" s="201"/>
      <c r="E1348" s="144"/>
      <c r="F1348" s="145"/>
      <c r="G1348" s="67"/>
    </row>
    <row r="1349" spans="1:7" x14ac:dyDescent="0.2">
      <c r="A1349" s="400"/>
      <c r="B1349" s="289"/>
      <c r="C1349" s="315"/>
      <c r="D1349" s="201"/>
      <c r="E1349" s="144"/>
      <c r="F1349" s="145"/>
      <c r="G1349" s="67"/>
    </row>
    <row r="1350" spans="1:7" x14ac:dyDescent="0.2">
      <c r="A1350" s="400"/>
      <c r="B1350" s="289"/>
      <c r="C1350" s="315"/>
      <c r="D1350" s="201"/>
      <c r="E1350" s="144"/>
      <c r="F1350" s="145"/>
      <c r="G1350" s="67"/>
    </row>
    <row r="1351" spans="1:7" x14ac:dyDescent="0.2">
      <c r="A1351" s="400"/>
      <c r="B1351" s="289"/>
      <c r="C1351" s="315"/>
      <c r="D1351" s="201"/>
      <c r="E1351" s="144"/>
      <c r="F1351" s="145"/>
      <c r="G1351" s="67"/>
    </row>
    <row r="1352" spans="1:7" x14ac:dyDescent="0.2">
      <c r="A1352" s="400"/>
      <c r="B1352" s="289"/>
      <c r="C1352" s="315"/>
      <c r="D1352" s="201"/>
      <c r="E1352" s="144"/>
      <c r="F1352" s="145"/>
      <c r="G1352" s="67"/>
    </row>
    <row r="1353" spans="1:7" x14ac:dyDescent="0.2">
      <c r="A1353" s="400"/>
      <c r="B1353" s="289"/>
      <c r="C1353" s="315"/>
      <c r="D1353" s="201"/>
      <c r="E1353" s="144"/>
      <c r="F1353" s="145"/>
      <c r="G1353" s="67"/>
    </row>
    <row r="1354" spans="1:7" ht="12.75" thickBot="1" x14ac:dyDescent="0.25">
      <c r="A1354" s="429"/>
      <c r="B1354" s="364"/>
      <c r="C1354" s="365"/>
      <c r="D1354" s="355"/>
      <c r="E1354" s="160"/>
      <c r="F1354" s="161"/>
      <c r="G1354" s="67"/>
    </row>
    <row r="1355" spans="1:7" x14ac:dyDescent="0.2">
      <c r="A1355" s="399"/>
      <c r="B1355" s="118" t="s">
        <v>398</v>
      </c>
      <c r="C1355" s="395"/>
      <c r="D1355" s="170"/>
      <c r="E1355" s="397"/>
      <c r="F1355" s="224"/>
      <c r="G1355" s="171"/>
    </row>
    <row r="1356" spans="1:7" ht="12.75" thickBot="1" x14ac:dyDescent="0.25">
      <c r="A1356" s="105"/>
      <c r="B1356" s="106" t="s">
        <v>397</v>
      </c>
      <c r="C1356" s="107"/>
      <c r="D1356" s="108"/>
      <c r="E1356" s="109"/>
      <c r="F1356" s="225"/>
      <c r="G1356" s="110">
        <f>SUM(G1100:G1355)</f>
        <v>0</v>
      </c>
    </row>
    <row r="1357" spans="1:7" x14ac:dyDescent="0.2">
      <c r="A1357" s="422"/>
      <c r="B1357" s="423" t="s">
        <v>399</v>
      </c>
      <c r="C1357" s="270"/>
      <c r="D1357" s="359"/>
      <c r="E1357" s="272"/>
      <c r="F1357" s="273"/>
      <c r="G1357" s="172"/>
    </row>
    <row r="1358" spans="1:7" x14ac:dyDescent="0.2">
      <c r="A1358" s="400"/>
      <c r="B1358" s="424" t="s">
        <v>394</v>
      </c>
      <c r="C1358" s="267"/>
      <c r="D1358" s="201"/>
      <c r="E1358" s="144"/>
      <c r="F1358" s="145"/>
      <c r="G1358" s="146"/>
    </row>
    <row r="1359" spans="1:7" x14ac:dyDescent="0.2">
      <c r="A1359" s="425">
        <v>14.1</v>
      </c>
      <c r="B1359" s="313" t="s">
        <v>40</v>
      </c>
      <c r="C1359" s="426"/>
      <c r="D1359" s="427"/>
      <c r="E1359" s="217"/>
      <c r="F1359" s="261"/>
      <c r="G1359" s="262"/>
    </row>
    <row r="1360" spans="1:7" x14ac:dyDescent="0.2">
      <c r="A1360" s="430"/>
      <c r="B1360" s="431" t="s">
        <v>417</v>
      </c>
      <c r="C1360" s="312"/>
      <c r="D1360" s="201"/>
      <c r="E1360" s="237"/>
      <c r="F1360" s="196"/>
      <c r="G1360" s="197"/>
    </row>
    <row r="1361" spans="1:7" x14ac:dyDescent="0.2">
      <c r="A1361" s="400"/>
      <c r="B1361" s="289"/>
      <c r="C1361" s="315"/>
      <c r="D1361" s="201"/>
      <c r="E1361" s="144"/>
      <c r="F1361" s="145"/>
      <c r="G1361" s="146"/>
    </row>
    <row r="1362" spans="1:7" x14ac:dyDescent="0.2">
      <c r="A1362" s="400"/>
      <c r="B1362" s="289"/>
      <c r="C1362" s="315"/>
      <c r="D1362" s="201"/>
      <c r="E1362" s="144"/>
      <c r="F1362" s="145"/>
      <c r="G1362" s="146"/>
    </row>
    <row r="1363" spans="1:7" x14ac:dyDescent="0.2">
      <c r="A1363" s="400"/>
      <c r="B1363" s="289"/>
      <c r="C1363" s="315"/>
      <c r="D1363" s="201"/>
      <c r="E1363" s="144"/>
      <c r="F1363" s="145"/>
      <c r="G1363" s="146"/>
    </row>
    <row r="1364" spans="1:7" x14ac:dyDescent="0.2">
      <c r="A1364" s="400"/>
      <c r="B1364" s="289"/>
      <c r="C1364" s="315"/>
      <c r="D1364" s="201"/>
      <c r="E1364" s="144"/>
      <c r="F1364" s="145"/>
      <c r="G1364" s="146"/>
    </row>
    <row r="1365" spans="1:7" x14ac:dyDescent="0.2">
      <c r="A1365" s="400"/>
      <c r="B1365" s="289"/>
      <c r="C1365" s="315"/>
      <c r="D1365" s="201"/>
      <c r="E1365" s="144"/>
      <c r="F1365" s="145"/>
      <c r="G1365" s="146"/>
    </row>
    <row r="1366" spans="1:7" x14ac:dyDescent="0.2">
      <c r="A1366" s="400"/>
      <c r="B1366" s="289"/>
      <c r="C1366" s="315"/>
      <c r="D1366" s="201"/>
      <c r="E1366" s="144"/>
      <c r="F1366" s="145"/>
      <c r="G1366" s="146"/>
    </row>
    <row r="1367" spans="1:7" x14ac:dyDescent="0.2">
      <c r="A1367" s="400"/>
      <c r="B1367" s="289"/>
      <c r="C1367" s="315"/>
      <c r="D1367" s="201"/>
      <c r="E1367" s="144"/>
      <c r="F1367" s="145"/>
      <c r="G1367" s="146"/>
    </row>
    <row r="1368" spans="1:7" x14ac:dyDescent="0.2">
      <c r="A1368" s="400"/>
      <c r="B1368" s="289"/>
      <c r="C1368" s="315"/>
      <c r="D1368" s="201"/>
      <c r="E1368" s="144"/>
      <c r="F1368" s="145"/>
      <c r="G1368" s="146"/>
    </row>
    <row r="1369" spans="1:7" x14ac:dyDescent="0.2">
      <c r="A1369" s="400"/>
      <c r="B1369" s="289"/>
      <c r="C1369" s="315"/>
      <c r="D1369" s="201"/>
      <c r="E1369" s="144"/>
      <c r="F1369" s="145"/>
      <c r="G1369" s="146"/>
    </row>
    <row r="1370" spans="1:7" x14ac:dyDescent="0.2">
      <c r="A1370" s="400"/>
      <c r="B1370" s="289"/>
      <c r="C1370" s="315"/>
      <c r="D1370" s="201"/>
      <c r="E1370" s="144"/>
      <c r="F1370" s="145"/>
      <c r="G1370" s="146"/>
    </row>
    <row r="1371" spans="1:7" x14ac:dyDescent="0.2">
      <c r="A1371" s="400"/>
      <c r="B1371" s="289"/>
      <c r="C1371" s="315"/>
      <c r="D1371" s="201"/>
      <c r="E1371" s="144"/>
      <c r="F1371" s="145"/>
      <c r="G1371" s="146"/>
    </row>
    <row r="1372" spans="1:7" x14ac:dyDescent="0.2">
      <c r="A1372" s="400"/>
      <c r="B1372" s="289"/>
      <c r="C1372" s="315"/>
      <c r="D1372" s="201"/>
      <c r="E1372" s="144"/>
      <c r="F1372" s="145"/>
      <c r="G1372" s="146"/>
    </row>
    <row r="1373" spans="1:7" x14ac:dyDescent="0.2">
      <c r="A1373" s="400"/>
      <c r="B1373" s="289"/>
      <c r="C1373" s="315"/>
      <c r="D1373" s="201"/>
      <c r="E1373" s="144"/>
      <c r="F1373" s="145"/>
      <c r="G1373" s="146"/>
    </row>
    <row r="1374" spans="1:7" x14ac:dyDescent="0.2">
      <c r="A1374" s="400"/>
      <c r="B1374" s="289"/>
      <c r="C1374" s="315"/>
      <c r="D1374" s="201"/>
      <c r="E1374" s="144"/>
      <c r="F1374" s="145"/>
      <c r="G1374" s="146"/>
    </row>
    <row r="1375" spans="1:7" x14ac:dyDescent="0.2">
      <c r="A1375" s="400"/>
      <c r="B1375" s="289"/>
      <c r="C1375" s="315"/>
      <c r="D1375" s="201"/>
      <c r="E1375" s="144"/>
      <c r="F1375" s="145"/>
      <c r="G1375" s="146"/>
    </row>
    <row r="1376" spans="1:7" x14ac:dyDescent="0.2">
      <c r="A1376" s="400"/>
      <c r="B1376" s="289"/>
      <c r="C1376" s="315"/>
      <c r="D1376" s="201"/>
      <c r="E1376" s="144"/>
      <c r="F1376" s="145"/>
      <c r="G1376" s="146"/>
    </row>
    <row r="1377" spans="1:7" x14ac:dyDescent="0.2">
      <c r="A1377" s="400"/>
      <c r="B1377" s="289"/>
      <c r="C1377" s="315"/>
      <c r="D1377" s="201"/>
      <c r="E1377" s="144"/>
      <c r="F1377" s="145"/>
      <c r="G1377" s="146"/>
    </row>
    <row r="1378" spans="1:7" x14ac:dyDescent="0.2">
      <c r="A1378" s="400"/>
      <c r="B1378" s="289"/>
      <c r="C1378" s="315"/>
      <c r="D1378" s="201"/>
      <c r="E1378" s="144"/>
      <c r="F1378" s="145"/>
      <c r="G1378" s="146"/>
    </row>
    <row r="1379" spans="1:7" x14ac:dyDescent="0.2">
      <c r="A1379" s="400"/>
      <c r="B1379" s="289"/>
      <c r="C1379" s="315"/>
      <c r="D1379" s="201"/>
      <c r="E1379" s="144"/>
      <c r="F1379" s="145"/>
      <c r="G1379" s="146"/>
    </row>
    <row r="1380" spans="1:7" x14ac:dyDescent="0.2">
      <c r="A1380" s="400"/>
      <c r="B1380" s="289"/>
      <c r="C1380" s="315"/>
      <c r="D1380" s="201"/>
      <c r="E1380" s="144"/>
      <c r="F1380" s="145"/>
      <c r="G1380" s="146"/>
    </row>
    <row r="1381" spans="1:7" x14ac:dyDescent="0.2">
      <c r="A1381" s="400"/>
      <c r="B1381" s="289"/>
      <c r="C1381" s="315"/>
      <c r="D1381" s="201"/>
      <c r="E1381" s="144"/>
      <c r="F1381" s="145"/>
      <c r="G1381" s="146"/>
    </row>
    <row r="1382" spans="1:7" x14ac:dyDescent="0.2">
      <c r="A1382" s="400"/>
      <c r="B1382" s="289"/>
      <c r="C1382" s="315"/>
      <c r="D1382" s="201"/>
      <c r="E1382" s="144"/>
      <c r="F1382" s="145"/>
      <c r="G1382" s="146"/>
    </row>
    <row r="1383" spans="1:7" x14ac:dyDescent="0.2">
      <c r="A1383" s="400"/>
      <c r="B1383" s="289"/>
      <c r="C1383" s="315"/>
      <c r="D1383" s="201"/>
      <c r="E1383" s="144"/>
      <c r="F1383" s="145"/>
      <c r="G1383" s="146"/>
    </row>
    <row r="1384" spans="1:7" x14ac:dyDescent="0.2">
      <c r="A1384" s="400"/>
      <c r="B1384" s="289"/>
      <c r="C1384" s="315"/>
      <c r="D1384" s="201"/>
      <c r="E1384" s="144"/>
      <c r="F1384" s="145"/>
      <c r="G1384" s="146"/>
    </row>
    <row r="1385" spans="1:7" x14ac:dyDescent="0.2">
      <c r="A1385" s="400"/>
      <c r="B1385" s="289"/>
      <c r="C1385" s="315"/>
      <c r="D1385" s="201"/>
      <c r="E1385" s="144"/>
      <c r="F1385" s="145"/>
      <c r="G1385" s="146"/>
    </row>
    <row r="1386" spans="1:7" x14ac:dyDescent="0.2">
      <c r="A1386" s="400"/>
      <c r="B1386" s="289"/>
      <c r="C1386" s="315"/>
      <c r="D1386" s="201"/>
      <c r="E1386" s="144"/>
      <c r="F1386" s="145"/>
      <c r="G1386" s="146"/>
    </row>
    <row r="1387" spans="1:7" x14ac:dyDescent="0.2">
      <c r="A1387" s="400"/>
      <c r="B1387" s="289"/>
      <c r="C1387" s="315"/>
      <c r="D1387" s="201"/>
      <c r="E1387" s="144"/>
      <c r="F1387" s="145"/>
      <c r="G1387" s="146"/>
    </row>
    <row r="1388" spans="1:7" x14ac:dyDescent="0.2">
      <c r="A1388" s="400"/>
      <c r="B1388" s="289"/>
      <c r="C1388" s="315"/>
      <c r="D1388" s="201"/>
      <c r="E1388" s="144"/>
      <c r="F1388" s="145"/>
      <c r="G1388" s="146"/>
    </row>
    <row r="1389" spans="1:7" x14ac:dyDescent="0.2">
      <c r="A1389" s="400"/>
      <c r="B1389" s="289"/>
      <c r="C1389" s="315"/>
      <c r="D1389" s="201"/>
      <c r="E1389" s="144"/>
      <c r="F1389" s="145"/>
      <c r="G1389" s="146"/>
    </row>
    <row r="1390" spans="1:7" x14ac:dyDescent="0.2">
      <c r="A1390" s="400"/>
      <c r="B1390" s="289"/>
      <c r="C1390" s="315"/>
      <c r="D1390" s="201"/>
      <c r="E1390" s="144"/>
      <c r="F1390" s="145"/>
      <c r="G1390" s="146"/>
    </row>
    <row r="1391" spans="1:7" x14ac:dyDescent="0.2">
      <c r="A1391" s="400"/>
      <c r="B1391" s="289"/>
      <c r="C1391" s="315"/>
      <c r="D1391" s="201"/>
      <c r="E1391" s="144"/>
      <c r="F1391" s="145"/>
      <c r="G1391" s="146"/>
    </row>
    <row r="1392" spans="1:7" x14ac:dyDescent="0.2">
      <c r="A1392" s="400"/>
      <c r="B1392" s="289"/>
      <c r="C1392" s="315"/>
      <c r="D1392" s="201"/>
      <c r="E1392" s="144"/>
      <c r="F1392" s="145"/>
      <c r="G1392" s="146"/>
    </row>
    <row r="1393" spans="1:7" x14ac:dyDescent="0.2">
      <c r="A1393" s="400"/>
      <c r="B1393" s="289"/>
      <c r="C1393" s="315"/>
      <c r="D1393" s="201"/>
      <c r="E1393" s="144"/>
      <c r="F1393" s="145"/>
      <c r="G1393" s="146"/>
    </row>
    <row r="1394" spans="1:7" x14ac:dyDescent="0.2">
      <c r="A1394" s="400"/>
      <c r="B1394" s="289"/>
      <c r="C1394" s="315"/>
      <c r="D1394" s="201"/>
      <c r="E1394" s="144"/>
      <c r="F1394" s="145"/>
      <c r="G1394" s="146"/>
    </row>
    <row r="1395" spans="1:7" x14ac:dyDescent="0.2">
      <c r="A1395" s="400"/>
      <c r="B1395" s="289"/>
      <c r="C1395" s="315"/>
      <c r="D1395" s="201"/>
      <c r="E1395" s="144"/>
      <c r="F1395" s="145"/>
      <c r="G1395" s="146"/>
    </row>
    <row r="1396" spans="1:7" x14ac:dyDescent="0.2">
      <c r="A1396" s="400"/>
      <c r="B1396" s="289"/>
      <c r="C1396" s="315"/>
      <c r="D1396" s="201"/>
      <c r="E1396" s="144"/>
      <c r="F1396" s="145"/>
      <c r="G1396" s="146"/>
    </row>
    <row r="1397" spans="1:7" x14ac:dyDescent="0.2">
      <c r="A1397" s="400"/>
      <c r="B1397" s="289"/>
      <c r="C1397" s="315"/>
      <c r="D1397" s="201"/>
      <c r="E1397" s="144"/>
      <c r="F1397" s="145"/>
      <c r="G1397" s="146"/>
    </row>
    <row r="1398" spans="1:7" x14ac:dyDescent="0.2">
      <c r="A1398" s="400"/>
      <c r="B1398" s="289"/>
      <c r="C1398" s="315"/>
      <c r="D1398" s="201"/>
      <c r="E1398" s="144"/>
      <c r="F1398" s="145"/>
      <c r="G1398" s="146"/>
    </row>
    <row r="1399" spans="1:7" x14ac:dyDescent="0.2">
      <c r="A1399" s="400"/>
      <c r="B1399" s="289"/>
      <c r="C1399" s="315"/>
      <c r="D1399" s="201"/>
      <c r="E1399" s="144"/>
      <c r="F1399" s="145"/>
      <c r="G1399" s="146"/>
    </row>
    <row r="1400" spans="1:7" x14ac:dyDescent="0.2">
      <c r="A1400" s="400"/>
      <c r="B1400" s="289"/>
      <c r="C1400" s="315"/>
      <c r="D1400" s="201"/>
      <c r="E1400" s="144"/>
      <c r="F1400" s="145"/>
      <c r="G1400" s="146"/>
    </row>
    <row r="1401" spans="1:7" x14ac:dyDescent="0.2">
      <c r="A1401" s="400"/>
      <c r="B1401" s="289"/>
      <c r="C1401" s="315"/>
      <c r="D1401" s="201"/>
      <c r="E1401" s="144"/>
      <c r="F1401" s="145"/>
      <c r="G1401" s="146"/>
    </row>
    <row r="1402" spans="1:7" x14ac:dyDescent="0.2">
      <c r="A1402" s="400"/>
      <c r="B1402" s="289"/>
      <c r="C1402" s="315"/>
      <c r="D1402" s="201"/>
      <c r="E1402" s="144"/>
      <c r="F1402" s="145"/>
      <c r="G1402" s="146"/>
    </row>
    <row r="1403" spans="1:7" x14ac:dyDescent="0.2">
      <c r="A1403" s="400"/>
      <c r="B1403" s="289"/>
      <c r="C1403" s="315"/>
      <c r="D1403" s="201"/>
      <c r="E1403" s="144"/>
      <c r="F1403" s="145"/>
      <c r="G1403" s="146"/>
    </row>
    <row r="1404" spans="1:7" x14ac:dyDescent="0.2">
      <c r="A1404" s="400"/>
      <c r="B1404" s="289"/>
      <c r="C1404" s="315"/>
      <c r="D1404" s="201"/>
      <c r="E1404" s="144"/>
      <c r="F1404" s="145"/>
      <c r="G1404" s="146"/>
    </row>
    <row r="1405" spans="1:7" x14ac:dyDescent="0.2">
      <c r="A1405" s="400"/>
      <c r="B1405" s="289"/>
      <c r="C1405" s="315"/>
      <c r="D1405" s="201"/>
      <c r="E1405" s="144"/>
      <c r="F1405" s="145"/>
      <c r="G1405" s="146"/>
    </row>
    <row r="1406" spans="1:7" x14ac:dyDescent="0.2">
      <c r="A1406" s="400"/>
      <c r="B1406" s="289"/>
      <c r="C1406" s="315"/>
      <c r="D1406" s="201"/>
      <c r="E1406" s="144"/>
      <c r="F1406" s="145"/>
      <c r="G1406" s="146"/>
    </row>
    <row r="1407" spans="1:7" x14ac:dyDescent="0.2">
      <c r="A1407" s="400"/>
      <c r="B1407" s="289"/>
      <c r="C1407" s="315"/>
      <c r="D1407" s="201"/>
      <c r="E1407" s="144"/>
      <c r="F1407" s="145"/>
      <c r="G1407" s="146"/>
    </row>
    <row r="1408" spans="1:7" x14ac:dyDescent="0.2">
      <c r="A1408" s="400"/>
      <c r="B1408" s="289"/>
      <c r="C1408" s="315"/>
      <c r="D1408" s="201"/>
      <c r="E1408" s="144"/>
      <c r="F1408" s="145"/>
      <c r="G1408" s="146"/>
    </row>
    <row r="1409" spans="1:7" x14ac:dyDescent="0.2">
      <c r="A1409" s="400"/>
      <c r="B1409" s="289"/>
      <c r="C1409" s="315"/>
      <c r="D1409" s="201"/>
      <c r="E1409" s="144"/>
      <c r="F1409" s="145"/>
      <c r="G1409" s="146"/>
    </row>
    <row r="1410" spans="1:7" x14ac:dyDescent="0.2">
      <c r="A1410" s="400"/>
      <c r="B1410" s="289"/>
      <c r="C1410" s="315"/>
      <c r="D1410" s="201"/>
      <c r="E1410" s="144"/>
      <c r="F1410" s="145"/>
      <c r="G1410" s="146"/>
    </row>
    <row r="1411" spans="1:7" x14ac:dyDescent="0.2">
      <c r="A1411" s="400"/>
      <c r="B1411" s="289"/>
      <c r="C1411" s="315"/>
      <c r="D1411" s="201"/>
      <c r="E1411" s="144"/>
      <c r="F1411" s="145"/>
      <c r="G1411" s="146"/>
    </row>
    <row r="1412" spans="1:7" ht="12.75" thickBot="1" x14ac:dyDescent="0.25">
      <c r="A1412" s="400"/>
      <c r="B1412" s="289"/>
      <c r="C1412" s="315"/>
      <c r="D1412" s="201"/>
      <c r="E1412" s="144"/>
      <c r="F1412" s="145"/>
      <c r="G1412" s="146"/>
    </row>
    <row r="1413" spans="1:7" x14ac:dyDescent="0.2">
      <c r="A1413" s="399"/>
      <c r="B1413" s="118" t="s">
        <v>400</v>
      </c>
      <c r="C1413" s="395"/>
      <c r="D1413" s="170"/>
      <c r="E1413" s="397"/>
      <c r="F1413" s="224"/>
      <c r="G1413" s="172"/>
    </row>
    <row r="1414" spans="1:7" ht="12.75" thickBot="1" x14ac:dyDescent="0.25">
      <c r="A1414" s="105"/>
      <c r="B1414" s="106" t="s">
        <v>401</v>
      </c>
      <c r="C1414" s="107"/>
      <c r="D1414" s="108"/>
      <c r="E1414" s="109"/>
      <c r="F1414" s="225"/>
      <c r="G1414" s="173">
        <f>SUM(G1362:G1413)</f>
        <v>0</v>
      </c>
    </row>
  </sheetData>
  <mergeCells count="49">
    <mergeCell ref="B566:F566"/>
    <mergeCell ref="B567:F567"/>
    <mergeCell ref="B754:F754"/>
    <mergeCell ref="B755:F755"/>
    <mergeCell ref="B756:F756"/>
    <mergeCell ref="A1:G1"/>
    <mergeCell ref="B758:G758"/>
    <mergeCell ref="B182:F182"/>
    <mergeCell ref="B183:F183"/>
    <mergeCell ref="B184:F184"/>
    <mergeCell ref="B185:F185"/>
    <mergeCell ref="B261:F261"/>
    <mergeCell ref="B262:F262"/>
    <mergeCell ref="B263:F263"/>
    <mergeCell ref="B94:F94"/>
    <mergeCell ref="B95:F95"/>
    <mergeCell ref="B96:F96"/>
    <mergeCell ref="B521:E521"/>
    <mergeCell ref="B522:E522"/>
    <mergeCell ref="B523:E523"/>
    <mergeCell ref="B565:F565"/>
    <mergeCell ref="B879:F879"/>
    <mergeCell ref="B880:F880"/>
    <mergeCell ref="B614:F614"/>
    <mergeCell ref="B662:F662"/>
    <mergeCell ref="B663:F663"/>
    <mergeCell ref="B664:F664"/>
    <mergeCell ref="B665:F665"/>
    <mergeCell ref="B827:E827"/>
    <mergeCell ref="B828:E828"/>
    <mergeCell ref="B829:E829"/>
    <mergeCell ref="B877:F877"/>
    <mergeCell ref="B878:F878"/>
    <mergeCell ref="B757:F757"/>
    <mergeCell ref="B922:F922"/>
    <mergeCell ref="B1252:F1252"/>
    <mergeCell ref="B1253:F1253"/>
    <mergeCell ref="B1254:F1254"/>
    <mergeCell ref="B1255:F1255"/>
    <mergeCell ref="B1096:F1096"/>
    <mergeCell ref="B1097:F1097"/>
    <mergeCell ref="B1098:F1098"/>
    <mergeCell ref="B1099:F1099"/>
    <mergeCell ref="B1100:F1100"/>
    <mergeCell ref="B1010:F1010"/>
    <mergeCell ref="B1011:F1011"/>
    <mergeCell ref="B1012:F1012"/>
    <mergeCell ref="B1013:F1013"/>
    <mergeCell ref="B1014:F1014"/>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&amp;L&amp;8B.EYDHAFUSHI SCHOOL&amp;R&amp;8     BILL OF QUANTITIES</oddHeader>
    <oddFooter>&amp;L&amp;8JUNE, 2015&amp;C&amp;8&amp;P&amp;R&amp;8ArchEng Studio Pvt. Ltd</oddFooter>
  </headerFooter>
  <rowBreaks count="3" manualBreakCount="3">
    <brk id="472" max="6" man="1"/>
    <brk id="872" max="6" man="1"/>
    <brk id="91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HUSSAIN</cp:lastModifiedBy>
  <cp:lastPrinted>2015-07-05T16:45:59Z</cp:lastPrinted>
  <dcterms:created xsi:type="dcterms:W3CDTF">2011-03-24T06:48:27Z</dcterms:created>
  <dcterms:modified xsi:type="dcterms:W3CDTF">2015-08-20T10:40:00Z</dcterms:modified>
</cp:coreProperties>
</file>