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55" windowWidth="15135" windowHeight="7755" activeTab="2"/>
  </bookViews>
  <sheets>
    <sheet name="Cover" sheetId="3" r:id="rId1"/>
    <sheet name="Summary" sheetId="2" r:id="rId2"/>
    <sheet name="Boq" sheetId="1" r:id="rId3"/>
  </sheets>
  <definedNames>
    <definedName name="_xlnm.Print_Area" localSheetId="2">Boq!$A$1:$G$875</definedName>
    <definedName name="_xlnm.Print_Area" localSheetId="0">Cover!$A$1:$A$33</definedName>
    <definedName name="_xlnm.Print_Area" localSheetId="1">Summary!$A$1:$C$21</definedName>
    <definedName name="_xlnm.Print_Titles" localSheetId="2">Boq!$3:$3</definedName>
  </definedNames>
  <calcPr calcId="145621"/>
</workbook>
</file>

<file path=xl/calcChain.xml><?xml version="1.0" encoding="utf-8"?>
<calcChain xmlns="http://schemas.openxmlformats.org/spreadsheetml/2006/main">
  <c r="L98" i="1" l="1"/>
  <c r="K98" i="1"/>
  <c r="I98" i="1"/>
  <c r="J98" i="1" s="1"/>
  <c r="L141" i="1"/>
  <c r="K141" i="1"/>
  <c r="J141" i="1"/>
  <c r="I141" i="1"/>
  <c r="D70" i="1"/>
  <c r="G726" i="1"/>
  <c r="G725" i="1"/>
  <c r="G724" i="1"/>
  <c r="I720" i="1"/>
  <c r="G720" i="1"/>
  <c r="I718" i="1"/>
  <c r="J718" i="1" s="1"/>
  <c r="G718" i="1"/>
  <c r="D717" i="1"/>
  <c r="I715" i="1"/>
  <c r="J715" i="1" s="1"/>
  <c r="D701" i="1"/>
  <c r="G701" i="1" s="1"/>
  <c r="D681" i="1"/>
  <c r="G694" i="1"/>
  <c r="G691" i="1"/>
  <c r="G692" i="1"/>
  <c r="G703" i="1"/>
  <c r="D702" i="1"/>
  <c r="G702" i="1" s="1"/>
  <c r="G700" i="1"/>
  <c r="G699" i="1"/>
  <c r="G698" i="1"/>
  <c r="G697" i="1"/>
  <c r="G696" i="1"/>
  <c r="G695" i="1"/>
  <c r="G693" i="1"/>
  <c r="G690" i="1"/>
  <c r="D682" i="1"/>
  <c r="D549" i="1"/>
  <c r="I543" i="1"/>
  <c r="I495" i="1"/>
  <c r="D548" i="1" s="1"/>
  <c r="I493" i="1"/>
  <c r="I586" i="1"/>
  <c r="I584" i="1"/>
  <c r="D498" i="1"/>
  <c r="G498" i="1" s="1"/>
  <c r="I406" i="1"/>
  <c r="I362" i="1"/>
  <c r="D388" i="1"/>
  <c r="I383" i="1"/>
  <c r="G383" i="1"/>
  <c r="I382" i="1"/>
  <c r="G382" i="1"/>
  <c r="I368" i="1"/>
  <c r="I370" i="1"/>
  <c r="I369" i="1"/>
  <c r="K365" i="1"/>
  <c r="I365" i="1"/>
  <c r="J365" i="1"/>
  <c r="I366" i="1"/>
  <c r="J366" i="1" s="1"/>
  <c r="I364" i="1"/>
  <c r="I363" i="1"/>
  <c r="I372" i="1"/>
  <c r="P328" i="1"/>
  <c r="Q328" i="1" s="1"/>
  <c r="I328" i="1"/>
  <c r="J328" i="1" s="1"/>
  <c r="K328" i="1" s="1"/>
  <c r="L328" i="1" s="1"/>
  <c r="M326" i="1"/>
  <c r="N326" i="1" s="1"/>
  <c r="I326" i="1"/>
  <c r="M328" i="1" s="1"/>
  <c r="I323" i="1"/>
  <c r="J323" i="1" s="1"/>
  <c r="I281" i="1"/>
  <c r="J281" i="1" s="1"/>
  <c r="K321" i="1"/>
  <c r="I321" i="1"/>
  <c r="J321" i="1" s="1"/>
  <c r="I286" i="1"/>
  <c r="J286" i="1" s="1"/>
  <c r="L286" i="1" s="1"/>
  <c r="I284" i="1"/>
  <c r="J284" i="1" s="1"/>
  <c r="L284" i="1" s="1"/>
  <c r="N284" i="1" s="1"/>
  <c r="O279" i="1"/>
  <c r="I279" i="1"/>
  <c r="J279" i="1" s="1"/>
  <c r="K202" i="1"/>
  <c r="L216" i="1"/>
  <c r="M216" i="1" s="1"/>
  <c r="J216" i="1"/>
  <c r="K216" i="1" s="1"/>
  <c r="I150" i="1"/>
  <c r="I149" i="1"/>
  <c r="I107" i="1"/>
  <c r="J107" i="1" s="1"/>
  <c r="I108" i="1"/>
  <c r="J108" i="1" s="1"/>
  <c r="I105" i="1"/>
  <c r="I104" i="1"/>
  <c r="K244" i="1"/>
  <c r="L244" i="1" s="1"/>
  <c r="J236" i="1"/>
  <c r="K236" i="1" s="1"/>
  <c r="L236" i="1" s="1"/>
  <c r="I157" i="1"/>
  <c r="J157" i="1" s="1"/>
  <c r="I156" i="1"/>
  <c r="J156" i="1" s="1"/>
  <c r="J240" i="1"/>
  <c r="J241" i="1"/>
  <c r="I241" i="1"/>
  <c r="G241" i="1"/>
  <c r="K240" i="1"/>
  <c r="L240" i="1" s="1"/>
  <c r="I240" i="1"/>
  <c r="G240" i="1"/>
  <c r="I159" i="1"/>
  <c r="I118" i="1"/>
  <c r="K156" i="1"/>
  <c r="G157" i="1"/>
  <c r="G156" i="1"/>
  <c r="I237" i="1"/>
  <c r="G237" i="1"/>
  <c r="I236" i="1"/>
  <c r="G236" i="1"/>
  <c r="M227" i="1"/>
  <c r="N227" i="1" s="1"/>
  <c r="K227" i="1"/>
  <c r="I227" i="1"/>
  <c r="G227" i="1"/>
  <c r="I226" i="1"/>
  <c r="G226" i="1"/>
  <c r="I223" i="1"/>
  <c r="G223" i="1"/>
  <c r="L222" i="1"/>
  <c r="M222" i="1" s="1"/>
  <c r="J222" i="1"/>
  <c r="I222" i="1"/>
  <c r="G222" i="1"/>
  <c r="J213" i="1"/>
  <c r="J212" i="1"/>
  <c r="K212" i="1" s="1"/>
  <c r="L212" i="1" s="1"/>
  <c r="J208" i="1"/>
  <c r="K208" i="1" s="1"/>
  <c r="L208" i="1" s="1"/>
  <c r="I208" i="1"/>
  <c r="G208" i="1"/>
  <c r="M98" i="1" l="1"/>
  <c r="I250" i="1"/>
  <c r="J250" i="1" s="1"/>
  <c r="I401" i="1"/>
  <c r="L365" i="1"/>
  <c r="K323" i="1"/>
  <c r="L323" i="1" s="1"/>
  <c r="M323" i="1" s="1"/>
  <c r="N323" i="1" s="1"/>
  <c r="N328" i="1"/>
  <c r="O328" i="1" s="1"/>
  <c r="I329" i="1" s="1"/>
  <c r="J329" i="1" s="1"/>
  <c r="L321" i="1"/>
  <c r="J326" i="1"/>
  <c r="L326" i="1" s="1"/>
  <c r="L156" i="1"/>
  <c r="I242" i="1"/>
  <c r="D239" i="1" s="1"/>
  <c r="G239" i="1" s="1"/>
  <c r="I238" i="1"/>
  <c r="N216" i="1"/>
  <c r="O216" i="1" s="1"/>
  <c r="I224" i="1"/>
  <c r="D221" i="1" s="1"/>
  <c r="D224" i="1" s="1"/>
  <c r="G224" i="1" s="1"/>
  <c r="I228" i="1"/>
  <c r="D225" i="1" s="1"/>
  <c r="D228" i="1" s="1"/>
  <c r="G228" i="1" s="1"/>
  <c r="I470" i="1"/>
  <c r="L469" i="1" s="1"/>
  <c r="I468" i="1"/>
  <c r="I469" i="1"/>
  <c r="J469" i="1" s="1"/>
  <c r="I477" i="1"/>
  <c r="I479" i="1"/>
  <c r="J479" i="1" s="1"/>
  <c r="G477" i="1"/>
  <c r="G473" i="1"/>
  <c r="O326" i="1" l="1"/>
  <c r="P326" i="1" s="1"/>
  <c r="D242" i="1"/>
  <c r="G242" i="1" s="1"/>
  <c r="G221" i="1"/>
  <c r="G225" i="1"/>
  <c r="K147" i="1"/>
  <c r="L147" i="1" s="1"/>
  <c r="K146" i="1"/>
  <c r="G150" i="1"/>
  <c r="G149" i="1"/>
  <c r="I147" i="1"/>
  <c r="J147" i="1" s="1"/>
  <c r="G147" i="1"/>
  <c r="I146" i="1"/>
  <c r="J146" i="1" s="1"/>
  <c r="G146" i="1"/>
  <c r="I153" i="1"/>
  <c r="I152" i="1"/>
  <c r="G153" i="1"/>
  <c r="G152" i="1"/>
  <c r="I110" i="1"/>
  <c r="J118" i="1"/>
  <c r="I116" i="1"/>
  <c r="J116" i="1" s="1"/>
  <c r="I115" i="1"/>
  <c r="J115" i="1" s="1"/>
  <c r="G116" i="1"/>
  <c r="G108" i="1"/>
  <c r="J104" i="1"/>
  <c r="J105" i="1"/>
  <c r="I95" i="1"/>
  <c r="I96" i="1"/>
  <c r="I138" i="1"/>
  <c r="I194" i="1"/>
  <c r="I195" i="1"/>
  <c r="G194" i="1"/>
  <c r="I190" i="1"/>
  <c r="G190" i="1"/>
  <c r="L146" i="1" l="1"/>
  <c r="M147" i="1"/>
  <c r="L190" i="1"/>
  <c r="M190" i="1" s="1"/>
  <c r="J190" i="1"/>
  <c r="I184" i="1"/>
  <c r="G184" i="1"/>
  <c r="I181" i="1"/>
  <c r="I182" i="1" s="1"/>
  <c r="G181" i="1"/>
  <c r="I178" i="1"/>
  <c r="G178" i="1"/>
  <c r="I139" i="1"/>
  <c r="G139" i="1"/>
  <c r="G138" i="1"/>
  <c r="I135" i="1"/>
  <c r="J135" i="1" s="1"/>
  <c r="I134" i="1"/>
  <c r="I133" i="1"/>
  <c r="G135" i="1"/>
  <c r="G134" i="1"/>
  <c r="G133" i="1"/>
  <c r="I111" i="1" l="1"/>
  <c r="G111" i="1"/>
  <c r="G110" i="1"/>
  <c r="I92" i="1"/>
  <c r="I91" i="1"/>
  <c r="I90" i="1"/>
  <c r="M87" i="1"/>
  <c r="N87" i="1" s="1"/>
  <c r="J87" i="1"/>
  <c r="I87" i="1"/>
  <c r="M60" i="1"/>
  <c r="N60" i="1" s="1"/>
  <c r="O60" i="1" s="1"/>
  <c r="J60" i="1"/>
  <c r="I60" i="1"/>
  <c r="K92" i="1" l="1"/>
  <c r="I276" i="1"/>
  <c r="J276" i="1" s="1"/>
  <c r="K60" i="1"/>
  <c r="L60" i="1" s="1"/>
  <c r="P60" i="1" s="1"/>
  <c r="K87" i="1"/>
  <c r="O87" i="1" s="1"/>
  <c r="I717" i="1"/>
  <c r="L248" i="1"/>
  <c r="J248" i="1"/>
  <c r="I248" i="1"/>
  <c r="O248" i="1"/>
  <c r="I231" i="1"/>
  <c r="G231" i="1"/>
  <c r="I230" i="1"/>
  <c r="G230" i="1"/>
  <c r="I198" i="1"/>
  <c r="I199" i="1"/>
  <c r="G199" i="1"/>
  <c r="G495" i="1"/>
  <c r="D685" i="1"/>
  <c r="G679" i="1"/>
  <c r="G671" i="1"/>
  <c r="G623" i="1"/>
  <c r="J549" i="1"/>
  <c r="I549" i="1"/>
  <c r="G549" i="1"/>
  <c r="I590" i="1"/>
  <c r="G583" i="1"/>
  <c r="G582" i="1"/>
  <c r="M361" i="1"/>
  <c r="N361" i="1" s="1"/>
  <c r="J371" i="1"/>
  <c r="K371" i="1" s="1"/>
  <c r="G412" i="1"/>
  <c r="J401" i="1"/>
  <c r="G401" i="1"/>
  <c r="J399" i="1"/>
  <c r="I399" i="1"/>
  <c r="G399" i="1"/>
  <c r="G397" i="1"/>
  <c r="G395" i="1"/>
  <c r="G369" i="1"/>
  <c r="G368" i="1"/>
  <c r="J390" i="1"/>
  <c r="I390" i="1"/>
  <c r="G388" i="1"/>
  <c r="G387" i="1"/>
  <c r="G385" i="1"/>
  <c r="I361" i="1"/>
  <c r="G363" i="1"/>
  <c r="G362" i="1"/>
  <c r="G361" i="1"/>
  <c r="I360" i="1"/>
  <c r="G365" i="1"/>
  <c r="I200" i="1" l="1"/>
  <c r="M141" i="1"/>
  <c r="I232" i="1"/>
  <c r="D229" i="1" s="1"/>
  <c r="G229" i="1" s="1"/>
  <c r="K549" i="1"/>
  <c r="K399" i="1"/>
  <c r="K401" i="1"/>
  <c r="M401" i="1"/>
  <c r="L281" i="1"/>
  <c r="M281" i="1" s="1"/>
  <c r="L279" i="1"/>
  <c r="M279" i="1" s="1"/>
  <c r="M133" i="1"/>
  <c r="G479" i="1"/>
  <c r="J477" i="1"/>
  <c r="J480" i="1" s="1"/>
  <c r="K480" i="1" s="1"/>
  <c r="I120" i="1"/>
  <c r="J120" i="1" s="1"/>
  <c r="G120" i="1"/>
  <c r="G119" i="1"/>
  <c r="D232" i="1" l="1"/>
  <c r="G232" i="1" s="1"/>
  <c r="O284" i="1"/>
  <c r="J237" i="1"/>
  <c r="I213" i="1" l="1"/>
  <c r="G213" i="1"/>
  <c r="G117" i="1"/>
  <c r="G118" i="1"/>
  <c r="I191" i="1"/>
  <c r="K185" i="1" l="1"/>
  <c r="L185" i="1" s="1"/>
  <c r="N185" i="1" s="1"/>
  <c r="K184" i="1"/>
  <c r="I65" i="1"/>
  <c r="D67" i="1"/>
  <c r="G66" i="1"/>
  <c r="I411" i="1" l="1"/>
  <c r="D723" i="1" l="1"/>
  <c r="G717" i="1"/>
  <c r="G670" i="1"/>
  <c r="G581" i="1"/>
  <c r="G406" i="1"/>
  <c r="G372" i="1"/>
  <c r="G371" i="1"/>
  <c r="G366" i="1"/>
  <c r="G286" i="1"/>
  <c r="G285" i="1"/>
  <c r="G284" i="1"/>
  <c r="G283" i="1"/>
  <c r="J468" i="1"/>
  <c r="G468" i="1"/>
  <c r="G469" i="1"/>
  <c r="I244" i="1"/>
  <c r="N244" i="1"/>
  <c r="O244" i="1" s="1"/>
  <c r="J143" i="1"/>
  <c r="G143" i="1"/>
  <c r="G142" i="1"/>
  <c r="G244" i="1"/>
  <c r="K469" i="1" l="1"/>
  <c r="M469" i="1" s="1"/>
  <c r="I245" i="1"/>
  <c r="D243" i="1" s="1"/>
  <c r="G243" i="1" s="1"/>
  <c r="D235" i="1"/>
  <c r="D238" i="1" s="1"/>
  <c r="G238" i="1" s="1"/>
  <c r="J209" i="1"/>
  <c r="K209" i="1" s="1"/>
  <c r="L209" i="1" s="1"/>
  <c r="I212" i="1"/>
  <c r="G212" i="1"/>
  <c r="G235" i="1" l="1"/>
  <c r="D245" i="1"/>
  <c r="G245" i="1" s="1"/>
  <c r="I185" i="1"/>
  <c r="G185" i="1"/>
  <c r="G159" i="1"/>
  <c r="G158" i="1"/>
  <c r="O226" i="1" l="1"/>
  <c r="P226" i="1" s="1"/>
  <c r="Q226" i="1" s="1"/>
  <c r="I186" i="1"/>
  <c r="D183" i="1" s="1"/>
  <c r="G183" i="1" s="1"/>
  <c r="D180" i="1"/>
  <c r="D182" i="1" s="1"/>
  <c r="G182" i="1" s="1"/>
  <c r="G115" i="1"/>
  <c r="D186" i="1" l="1"/>
  <c r="G186" i="1" s="1"/>
  <c r="G180" i="1"/>
  <c r="G90" i="1" l="1"/>
  <c r="G91" i="1"/>
  <c r="G92" i="1"/>
  <c r="G875" i="1" l="1"/>
  <c r="C18" i="2" s="1"/>
  <c r="G816" i="1"/>
  <c r="C17" i="2" s="1"/>
  <c r="G723" i="1"/>
  <c r="G722" i="1"/>
  <c r="G716" i="1"/>
  <c r="G715" i="1"/>
  <c r="F27" i="1" l="1"/>
  <c r="G757" i="1" l="1"/>
  <c r="C16" i="2" s="1"/>
  <c r="G34" i="1"/>
  <c r="G33" i="1"/>
  <c r="I548" i="1"/>
  <c r="K390" i="1" l="1"/>
  <c r="J470" i="1"/>
  <c r="J471" i="1" s="1"/>
  <c r="M248" i="1" l="1"/>
  <c r="K100" i="1" l="1"/>
  <c r="L100" i="1" l="1"/>
  <c r="G408" i="1" l="1"/>
  <c r="G330" i="1"/>
  <c r="G673" i="1" l="1"/>
  <c r="G472" i="1" l="1"/>
  <c r="I202" i="1" l="1"/>
  <c r="G685" i="1"/>
  <c r="D684" i="1"/>
  <c r="D588" i="1" l="1"/>
  <c r="G588" i="1" s="1"/>
  <c r="G590" i="1"/>
  <c r="G589" i="1"/>
  <c r="D587" i="1"/>
  <c r="G587" i="1" s="1"/>
  <c r="G586" i="1"/>
  <c r="J585" i="1"/>
  <c r="G585" i="1"/>
  <c r="G584" i="1"/>
  <c r="G580" i="1"/>
  <c r="G579" i="1"/>
  <c r="J548" i="1"/>
  <c r="G548" i="1"/>
  <c r="G370" i="1"/>
  <c r="D318" i="1"/>
  <c r="D252" i="1" s="1"/>
  <c r="G281" i="1"/>
  <c r="G250" i="1"/>
  <c r="G249" i="1"/>
  <c r="G246" i="1"/>
  <c r="G247" i="1"/>
  <c r="G248" i="1"/>
  <c r="G251" i="1"/>
  <c r="G253" i="1"/>
  <c r="I209" i="1"/>
  <c r="I210" i="1" s="1"/>
  <c r="G531" i="1" l="1"/>
  <c r="G252" i="1"/>
  <c r="I216" i="1"/>
  <c r="I217" i="1" s="1"/>
  <c r="D215" i="1" s="1"/>
  <c r="G216" i="1"/>
  <c r="D207" i="1"/>
  <c r="G209" i="1"/>
  <c r="G148" i="1"/>
  <c r="G141" i="1"/>
  <c r="G140" i="1"/>
  <c r="G107" i="1"/>
  <c r="G106" i="1"/>
  <c r="G105" i="1"/>
  <c r="G104" i="1"/>
  <c r="G100" i="1"/>
  <c r="G99" i="1"/>
  <c r="D210" i="1" l="1"/>
  <c r="G210" i="1" s="1"/>
  <c r="I179" i="1"/>
  <c r="I214" i="1"/>
  <c r="D211" i="1" s="1"/>
  <c r="D217" i="1"/>
  <c r="G217" i="1" s="1"/>
  <c r="G215" i="1"/>
  <c r="G207" i="1"/>
  <c r="L352" i="1"/>
  <c r="K352" i="1"/>
  <c r="K353" i="1"/>
  <c r="G211" i="1" l="1"/>
  <c r="D214" i="1"/>
  <c r="G214" i="1" s="1"/>
  <c r="M352" i="1"/>
  <c r="N353" i="1" s="1"/>
  <c r="O353" i="1" s="1"/>
  <c r="K354" i="1"/>
  <c r="L354" i="1" s="1"/>
  <c r="M354" i="1" s="1"/>
  <c r="G675" i="1" l="1"/>
  <c r="G676" i="1"/>
  <c r="G621" i="1"/>
  <c r="G622" i="1"/>
  <c r="G328" i="1"/>
  <c r="G327" i="1"/>
  <c r="G326" i="1"/>
  <c r="L370" i="1" l="1"/>
  <c r="G195" i="1" l="1"/>
  <c r="G191" i="1"/>
  <c r="I192" i="1" l="1"/>
  <c r="I196" i="1"/>
  <c r="D177" i="1"/>
  <c r="G689" i="1" l="1"/>
  <c r="G577" i="1"/>
  <c r="G610" i="1" s="1"/>
  <c r="G364" i="1"/>
  <c r="G360" i="1"/>
  <c r="J387" i="1"/>
  <c r="I387" i="1"/>
  <c r="K387" i="1" l="1"/>
  <c r="D193" i="1" l="1"/>
  <c r="D189" i="1"/>
  <c r="G193" i="1" l="1"/>
  <c r="D196" i="1"/>
  <c r="G196" i="1" s="1"/>
  <c r="G189" i="1"/>
  <c r="D192" i="1"/>
  <c r="G192" i="1" s="1"/>
  <c r="G32" i="1" l="1"/>
  <c r="L202" i="1" l="1"/>
  <c r="G688" i="1" l="1"/>
  <c r="G684" i="1"/>
  <c r="G318" i="1" l="1"/>
  <c r="G323" i="1" l="1"/>
  <c r="G322" i="1"/>
  <c r="G321" i="1"/>
  <c r="G320" i="1"/>
  <c r="G325" i="1"/>
  <c r="M390" i="1" l="1"/>
  <c r="G470" i="1" l="1"/>
  <c r="G483" i="1" l="1"/>
  <c r="G96" i="1"/>
  <c r="G95" i="1"/>
  <c r="G674" i="1" l="1"/>
  <c r="G672" i="1"/>
  <c r="G390" i="1" l="1"/>
  <c r="G202" i="1" l="1"/>
  <c r="D179" i="1"/>
  <c r="G179" i="1" s="1"/>
  <c r="I203" i="1" l="1"/>
  <c r="G680" i="1" l="1"/>
  <c r="G683" i="1"/>
  <c r="G668" i="1"/>
  <c r="G667" i="1"/>
  <c r="G669" i="1"/>
  <c r="G677" i="1"/>
  <c r="G678" i="1"/>
  <c r="G198" i="1"/>
  <c r="D201" i="1"/>
  <c r="G681" i="1" l="1"/>
  <c r="G682" i="1"/>
  <c r="D197" i="1"/>
  <c r="D203" i="1"/>
  <c r="G203" i="1" s="1"/>
  <c r="G201" i="1"/>
  <c r="G709" i="1" l="1"/>
  <c r="C15" i="2" s="1"/>
  <c r="D200" i="1"/>
  <c r="G200" i="1" s="1"/>
  <c r="G197" i="1"/>
  <c r="G23" i="1" l="1"/>
  <c r="G653" i="1" l="1"/>
  <c r="C13" i="2"/>
  <c r="G543" i="1" l="1"/>
  <c r="G367" i="1" l="1"/>
  <c r="G359" i="1"/>
  <c r="G456" i="1" l="1"/>
  <c r="G280" i="1"/>
  <c r="G278" i="1"/>
  <c r="G187" i="1" l="1"/>
  <c r="G98" i="1"/>
  <c r="G97" i="1"/>
  <c r="G87" i="1"/>
  <c r="G71" i="1"/>
  <c r="G70" i="1"/>
  <c r="G69" i="1"/>
  <c r="G68" i="1"/>
  <c r="G67" i="1"/>
  <c r="G65" i="1"/>
  <c r="G61" i="1"/>
  <c r="G60" i="1"/>
  <c r="G59" i="1"/>
  <c r="G58" i="1"/>
  <c r="G57" i="1"/>
  <c r="G56" i="1"/>
  <c r="G55" i="1"/>
  <c r="G54" i="1"/>
  <c r="G53" i="1"/>
  <c r="G52" i="1"/>
  <c r="G51" i="1"/>
  <c r="G24" i="1"/>
  <c r="G25" i="1"/>
  <c r="G26" i="1"/>
  <c r="G27" i="1"/>
  <c r="G547" i="1" l="1"/>
  <c r="G546" i="1"/>
  <c r="G542" i="1"/>
  <c r="G541" i="1"/>
  <c r="G22" i="1"/>
  <c r="G569" i="1" l="1"/>
  <c r="G31" i="1"/>
  <c r="G30" i="1"/>
  <c r="G28" i="1"/>
  <c r="G44" i="1" l="1"/>
  <c r="C5" i="2" s="1"/>
  <c r="C14" i="2"/>
  <c r="C10" i="2"/>
  <c r="G279" i="1" l="1"/>
  <c r="G276" i="1" l="1"/>
  <c r="G351" i="1" s="1"/>
  <c r="C11" i="2" l="1"/>
  <c r="G666" i="1" l="1"/>
  <c r="G78" i="1" l="1"/>
  <c r="C6" i="2" l="1"/>
  <c r="G177" i="1" l="1"/>
  <c r="C12" i="2" l="1"/>
  <c r="C9" i="2" l="1"/>
  <c r="C8" i="2" l="1"/>
  <c r="G265" i="1"/>
  <c r="C7" i="2" s="1"/>
  <c r="C19" i="2" l="1"/>
  <c r="C20" i="2" s="1"/>
  <c r="C21" i="2" s="1"/>
  <c r="F16" i="2" l="1"/>
  <c r="F19" i="2"/>
  <c r="F18" i="2"/>
</calcChain>
</file>

<file path=xl/sharedStrings.xml><?xml version="1.0" encoding="utf-8"?>
<sst xmlns="http://schemas.openxmlformats.org/spreadsheetml/2006/main" count="922" uniqueCount="441">
  <si>
    <t>Item</t>
  </si>
  <si>
    <t>Description</t>
  </si>
  <si>
    <t>Unit</t>
  </si>
  <si>
    <t>Qty</t>
  </si>
  <si>
    <t>Material
Rate</t>
  </si>
  <si>
    <t>Labour
Rate</t>
  </si>
  <si>
    <t>Total</t>
  </si>
  <si>
    <t>(1)</t>
  </si>
  <si>
    <t>nos</t>
  </si>
  <si>
    <t>kg</t>
  </si>
  <si>
    <t>2.2</t>
  </si>
  <si>
    <t>REINFORCEMENT WORK</t>
  </si>
  <si>
    <t>FORM WORK</t>
  </si>
  <si>
    <t>REINFORCED CONCRETE</t>
  </si>
  <si>
    <t>Binding wire</t>
  </si>
  <si>
    <t>item</t>
  </si>
  <si>
    <t>2.3</t>
  </si>
  <si>
    <t>BILL No: 01</t>
  </si>
  <si>
    <t>PRELIMINARIES</t>
  </si>
  <si>
    <t>General Notes</t>
  </si>
  <si>
    <t>Abbreviations</t>
  </si>
  <si>
    <t>m - metre</t>
  </si>
  <si>
    <t>no - numbers</t>
  </si>
  <si>
    <t>m³ - cubic metre</t>
  </si>
  <si>
    <t>m² - square metre</t>
  </si>
  <si>
    <t>t - tonnes</t>
  </si>
  <si>
    <t>incl - including</t>
  </si>
  <si>
    <t>mm - millimetre</t>
  </si>
  <si>
    <t>dia - diameter</t>
  </si>
  <si>
    <t>SS - Stainless Steel</t>
  </si>
  <si>
    <t>GI - Galvanised Iron</t>
  </si>
  <si>
    <t>Site Management Costs</t>
  </si>
  <si>
    <t>Sign Board</t>
  </si>
  <si>
    <t>Allow for sign board.</t>
  </si>
  <si>
    <t>No</t>
  </si>
  <si>
    <t>Clean-up</t>
  </si>
  <si>
    <t>Allow for clean-up of completed works and site upon completion.</t>
  </si>
  <si>
    <t>BILL No: 01 PRELIMINARIES</t>
  </si>
  <si>
    <t>TOTAL OF BILL No: 01 - Carried over to summary</t>
  </si>
  <si>
    <t>BILL NO : 02</t>
  </si>
  <si>
    <t>GROUND WORK</t>
  </si>
  <si>
    <t>General</t>
  </si>
  <si>
    <t>Shoring</t>
  </si>
  <si>
    <t>Charges for construction of 150mm thick solid block Masonry wall complete including plastering, below existing adjacent building to protect side buildings.</t>
  </si>
  <si>
    <t>m²</t>
  </si>
  <si>
    <t>Excavation</t>
  </si>
  <si>
    <t xml:space="preserve">(a) Excavation quantities are measured to the faces of concrete members. Rates shall include for all additional excavation required to place the formwork , back fill , dewatering and others </t>
  </si>
  <si>
    <t>m³</t>
  </si>
  <si>
    <t>2.4</t>
  </si>
  <si>
    <t>Back filling</t>
  </si>
  <si>
    <t>2.4.1</t>
  </si>
  <si>
    <t>Damp Proof Membrane</t>
  </si>
  <si>
    <t>(a) Rates shall include for: dressing around and sealing to all penetrations,   laps and turnups.</t>
  </si>
  <si>
    <t xml:space="preserve">Polythene damp proof membrane (500 gauge) laid on blinding layer.  </t>
  </si>
  <si>
    <t>BILL No: 02 GROUND WORKS</t>
  </si>
  <si>
    <t>TOTAL OF BILL No: 02 - Carried over to summary</t>
  </si>
  <si>
    <t>BILL NO : 03</t>
  </si>
  <si>
    <t>3.0</t>
  </si>
  <si>
    <t>CONCRETE</t>
  </si>
  <si>
    <t xml:space="preserve"> </t>
  </si>
  <si>
    <t>Site clearance</t>
  </si>
  <si>
    <t>Clearing site - Demolition of Existing building and dispatch all debris, clearing and dispose all unwanted materials away from site and prepare site ready for proposed construction.</t>
  </si>
  <si>
    <t>3.1.1</t>
  </si>
  <si>
    <t>LEAN CONCRETE</t>
  </si>
  <si>
    <t>FOUNDATIONS</t>
  </si>
  <si>
    <t>(a)</t>
  </si>
  <si>
    <t>(b)</t>
  </si>
  <si>
    <t>GROUND FLOOR</t>
  </si>
  <si>
    <t>3.2</t>
  </si>
  <si>
    <t>FIRST FLOOR</t>
  </si>
  <si>
    <t>(c)</t>
  </si>
  <si>
    <t>3.3</t>
  </si>
  <si>
    <t>(b) Timber used for unexposed concrete surface shall sound dressed and seasoned good quality common timber while for exposed concrete surfaces dressedand matched boards uniformly thick and not more than 251mm wide.</t>
  </si>
  <si>
    <t>c) Plywood used for forms shall be of commercial standard, moisture resistane conrete form plywoodnot lessthan 6mm thick and atleast 12mm thick.</t>
  </si>
  <si>
    <t>(d) Rates shall include for; all necessary boarding,supports, erecting, framing, temporary cambering cutting, perforations for reinforcing bars, bolts,straps,ties, hangers, pipes and removal of  formwork.</t>
  </si>
  <si>
    <t>SUMMARY OF BILL OF QUANTITIES</t>
  </si>
  <si>
    <t>Bl.no</t>
  </si>
  <si>
    <t>Item Description</t>
  </si>
  <si>
    <t>Amount</t>
  </si>
  <si>
    <t>1</t>
  </si>
  <si>
    <t>2</t>
  </si>
  <si>
    <t>GROUND WORKS</t>
  </si>
  <si>
    <t>3</t>
  </si>
  <si>
    <t>CONCRETE WORKS</t>
  </si>
  <si>
    <t>4</t>
  </si>
  <si>
    <t>MASONRY  &amp;  PLASTERING</t>
  </si>
  <si>
    <t>5</t>
  </si>
  <si>
    <t>FLOORING  &amp;  TILING</t>
  </si>
  <si>
    <t>6</t>
  </si>
  <si>
    <t>7</t>
  </si>
  <si>
    <t>DOORS  &amp;  WINDOWS</t>
  </si>
  <si>
    <t>8</t>
  </si>
  <si>
    <t>CEILING</t>
  </si>
  <si>
    <t>9</t>
  </si>
  <si>
    <t>PAINTING</t>
  </si>
  <si>
    <t>10</t>
  </si>
  <si>
    <t>METAL WORK</t>
  </si>
  <si>
    <t>11</t>
  </si>
  <si>
    <t>HYDRAULICS  &amp;  DRAINAGE</t>
  </si>
  <si>
    <t>ELECTRICAL INSTALLATIONS</t>
  </si>
  <si>
    <t>3.4</t>
  </si>
  <si>
    <t>(a)  Main reinforcement steel shall be high tensile  steel hot rolled deformed bars complying with  BS 1119  or  BS 1172  Characteristic strength not  less than 160N/mm2.</t>
  </si>
  <si>
    <t>(b) Stirrups shall be hot rolled mildsteel round bars complying with BS 1119, Characteristic strength  not less than 250N/mm2</t>
  </si>
  <si>
    <t>4.1</t>
  </si>
  <si>
    <t>BILL No: 04</t>
  </si>
  <si>
    <t>MASONRY AND PLASTERING</t>
  </si>
  <si>
    <t xml:space="preserve"> PLASTERING</t>
  </si>
  <si>
    <t>BILL N0: 05</t>
  </si>
  <si>
    <t>FLOORING &amp; TILING</t>
  </si>
  <si>
    <t>5.1</t>
  </si>
  <si>
    <t>DOORS AND WINDOWS</t>
  </si>
  <si>
    <t>7.1</t>
  </si>
  <si>
    <t>GROUND  FLOOR</t>
  </si>
  <si>
    <t>no</t>
  </si>
  <si>
    <t>TOTAL OF BILL No: 07 - Carried over to summary</t>
  </si>
  <si>
    <t>BILL No: 08</t>
  </si>
  <si>
    <t>8.1</t>
  </si>
  <si>
    <t>(b) Rates shall include for applying approved quality wood preservators as per manufactures instructions for all Timber  structures.</t>
  </si>
  <si>
    <t>TOTAL OF BILL No: 08 - Carried over to summary</t>
  </si>
  <si>
    <t>BILL No: 09</t>
  </si>
  <si>
    <t>9.1</t>
  </si>
  <si>
    <t>TOTAL OF BILL No: 09 - Carried over to summary</t>
  </si>
  <si>
    <t>BILL No: 10</t>
  </si>
  <si>
    <t>10.1</t>
  </si>
  <si>
    <t>RAILING</t>
  </si>
  <si>
    <t>m</t>
  </si>
  <si>
    <t>TOTAL OF BILL No: 10 - Carried over to summary</t>
  </si>
  <si>
    <t>BILL No: 11</t>
  </si>
  <si>
    <t>HYDRAULICS &amp; DRAINAGE</t>
  </si>
  <si>
    <t>11.1</t>
  </si>
  <si>
    <t>TOTAL OF BILL No: 11 - Carried over to summary</t>
  </si>
  <si>
    <t>(a) Exposed surface shall have fair finish while remaining may have rough finish.</t>
  </si>
  <si>
    <t>t</t>
  </si>
  <si>
    <t>4.2</t>
  </si>
  <si>
    <t>4.3</t>
  </si>
  <si>
    <t>BELOW GROUND LEVEL</t>
  </si>
  <si>
    <t>MASONRY</t>
  </si>
  <si>
    <t>External surface of exeterior wall</t>
  </si>
  <si>
    <t>(a) Rates shall include for laying 50mm thick cement mortar in 1 : 5 mix ratio,cleaning down to reveals where necessary and water proofing of Toilet and Balcony floors &amp; Terrace.</t>
  </si>
  <si>
    <t>(a) Rates shall include for ; all labour in framing,  cutting, welding, cleats, baseplates, flanges,screws, nails, bends, and similar complete with  grinding, surface smoothening and polish finishes.</t>
  </si>
  <si>
    <t>5.2</t>
  </si>
  <si>
    <t>5.3</t>
  </si>
  <si>
    <t>TILING</t>
  </si>
  <si>
    <t>BILL No: 05 -FLOORING AND TILING</t>
  </si>
  <si>
    <t>TOTAL OF BILL No: 05 - Carried over to summary</t>
  </si>
  <si>
    <t>BILL No: 04 - MASONRY AND PLASTERING</t>
  </si>
  <si>
    <t>BILL No: 03 - CONCRETE WORKS</t>
  </si>
  <si>
    <t>1.0</t>
  </si>
  <si>
    <t>2.0</t>
  </si>
  <si>
    <t>4.0</t>
  </si>
  <si>
    <t>5.0</t>
  </si>
  <si>
    <t>6.0</t>
  </si>
  <si>
    <t>2.1</t>
  </si>
  <si>
    <t>3.1</t>
  </si>
  <si>
    <t>(c) Quantity is measured to the edges of concrete foundation members. Rates shall be inclusive for any additional concrete 
required to place the formwork.</t>
  </si>
  <si>
    <t xml:space="preserve">(b)Rates shall include for External plastering shall 20mm thick (12+8mm)  2 coats in 1:4 cement and river sand mix ratio </t>
  </si>
  <si>
    <t>(d) The cost shall include for; sockets, running joints, connectors, elbows, junctions, reducers, expansion joints, back nuts and similar, incidental fittings, clips, saddles, brackets, straps, hangers, screws, nails , pvc glues, threadseals and fixing complete, including cutting and forming holes, excavating, laying pipes , backfilling trenches.</t>
  </si>
  <si>
    <t>(b) The following items and description and the plumbing drawings are given as guidance as to the nature of the information to be returned by the contractor.</t>
  </si>
  <si>
    <t>(a) Design provide and install plumbing network for the entire building complete in accordance  to standard set by the local governing body MWSC</t>
  </si>
  <si>
    <t>WOOD WORK &amp;  CEILING</t>
  </si>
  <si>
    <t>1 )</t>
  </si>
  <si>
    <t>2 )</t>
  </si>
  <si>
    <t>PREPARED BY</t>
  </si>
  <si>
    <t>5.5</t>
  </si>
  <si>
    <t>6.1</t>
  </si>
  <si>
    <t>7.2</t>
  </si>
  <si>
    <t>9.2</t>
  </si>
  <si>
    <t>COLUMNS</t>
  </si>
  <si>
    <t>TOTAL OF BILL No: 03 - Carried over to summary</t>
  </si>
  <si>
    <t>1.5</t>
  </si>
  <si>
    <t xml:space="preserve">                                                                                                                                                                                                                </t>
  </si>
  <si>
    <t>3 )</t>
  </si>
  <si>
    <t>4 )</t>
  </si>
  <si>
    <t>5 )</t>
  </si>
  <si>
    <t>6 )</t>
  </si>
  <si>
    <t>7 )</t>
  </si>
  <si>
    <t>8 )</t>
  </si>
  <si>
    <t>BILL No: 11 - ELECTRICAL INSTALLATIONS</t>
  </si>
  <si>
    <t>a )</t>
  </si>
  <si>
    <t>b )</t>
  </si>
  <si>
    <t>BILL N0: 06</t>
  </si>
  <si>
    <t>BILL N0: 06 -  DOORS AND WINDOWS</t>
  </si>
  <si>
    <t>TOTAL OF BILL No: 06 - Carried over to summary</t>
  </si>
  <si>
    <t>BILL No: 07</t>
  </si>
  <si>
    <t xml:space="preserve">BILL No: 07 -  WOOD WORK   &amp;  CEILING </t>
  </si>
  <si>
    <t>BILL No: 08 - PAINTING</t>
  </si>
  <si>
    <t>BILL No: 09  -  METAL WORK</t>
  </si>
  <si>
    <t>BILL No: 10 - HYDRAULICS  AND  DRAINAGE</t>
  </si>
  <si>
    <t>200mm thick Solid block wall</t>
  </si>
  <si>
    <t>STAIRCASE</t>
  </si>
  <si>
    <t>TOTAL OF BILL No: 04 - Carried over to summary</t>
  </si>
  <si>
    <t>R.C.C. GROUND FLOOR SLAB</t>
  </si>
  <si>
    <t>OTHER CONCRETE WORKS</t>
  </si>
  <si>
    <t>FLOORING</t>
  </si>
  <si>
    <t>DRAINAGE</t>
  </si>
  <si>
    <t>GROUND FLOOR SLAB</t>
  </si>
  <si>
    <t>Foundations</t>
  </si>
  <si>
    <t>(e) All doors and windows shall be  accordance with  door/window drawing details.</t>
  </si>
  <si>
    <t xml:space="preserve">50mm thick Floor Screeding </t>
  </si>
  <si>
    <t>TILE ADHESIVE</t>
  </si>
  <si>
    <t>ELECTRIC BOARDS</t>
  </si>
  <si>
    <t>ELECTRIC FIXTURES</t>
  </si>
  <si>
    <t xml:space="preserve">ELECTRICAL WIRING </t>
  </si>
  <si>
    <t>points</t>
  </si>
  <si>
    <t>Allow for all on and off site management cost including costs of foreman and assistants, temporary services, telephone, fax, hoardings, fences, Crane/Concrete pump, Machinaries  and similar items</t>
  </si>
  <si>
    <t>(a) Rates shall include for: leveling, grading, trimming, compacting to faces of excavation, keep sides plumb, backfilling, consolidating, additional working space and disposing surplus soil.</t>
  </si>
  <si>
    <t>(b) Mix ratio for  reinforced concrete shall be 
1:2:3 and lean concrete shall be 1:2:6 by volume.</t>
  </si>
  <si>
    <t>(a) Rates shall include for: placing in position; making good after removal of formwork and casting in all required items; additional concrete required to conform to structural and excavated tolerances.</t>
  </si>
  <si>
    <t>BELOW GROUND</t>
  </si>
  <si>
    <t>16mm dia deformed bars - 6m</t>
  </si>
  <si>
    <t>12mm dia deformed bars - 6m</t>
  </si>
  <si>
    <t>10mm dia deformed bars - 6m</t>
  </si>
  <si>
    <t>6mm dia MS Round bars - 6m</t>
  </si>
  <si>
    <t>FLOOR TILING</t>
  </si>
  <si>
    <t xml:space="preserve">SKIRTING </t>
  </si>
  <si>
    <t>(a) Rates shall include for: Fixing, bedding, grouting, and pointing materials, making good around pipes, sanitary fixtures, and similar; cleaning &amp; Polishing.</t>
  </si>
  <si>
    <t>(b) All Tiling work in accordance with specifications and finishes schedule.</t>
  </si>
  <si>
    <t>A )</t>
  </si>
  <si>
    <t>B )</t>
  </si>
  <si>
    <t>C )</t>
  </si>
  <si>
    <t>(c) Rates shall include for 9mm thick Cement board fixed on 35 x 50mm Timber frame,trimming, nails, screws,hooks, hangers,  clips and similar.</t>
  </si>
  <si>
    <t>(a) Rates shall include for: leveling, grading, 
trimming and compacting.</t>
  </si>
  <si>
    <t>(b) Ground need to be compacted to the density 
required  by the consultant</t>
  </si>
  <si>
    <t>External Plastering</t>
  </si>
  <si>
    <t>Internal Plastering</t>
  </si>
  <si>
    <t>Internal surface of external wall and both 
surface of Interior walls</t>
  </si>
  <si>
    <t>Both surface of below ground walls</t>
  </si>
  <si>
    <t>200x100x50mm MCPW solid 
block wall above all foundation beams.</t>
  </si>
  <si>
    <t>15mm thick Plastering</t>
  </si>
  <si>
    <t>Homogeneous/Porcelain Step Tiles</t>
  </si>
  <si>
    <t>(a) Rates shall include for: all labour in framing, notching and fitting around projections, pipes, light fittings, hatches, grilles and similar and complete with cleats, packers, wedges and similar and all nails,bolts &amp; screws.</t>
  </si>
  <si>
    <t>WATER PROOFING &amp; ADD MIXTURES</t>
  </si>
  <si>
    <t>(c) Ground water connection shall be made as 
specified in the drawings.</t>
  </si>
  <si>
    <t>(e) All pipes shall be High Pressure  uPVC 
"Mutha" or equivalent brand.</t>
  </si>
  <si>
    <t>50mm thick lean concrete below Foundation</t>
  </si>
  <si>
    <t>c) Rates shall include for approved brand water proofing compound shall be mixed with cement mortar for external wall plastering as per manufacturers specifications.</t>
  </si>
  <si>
    <t>c ) All external wall and all inetrenal walls shall be 100mm thick Solid cement blocks and  for masonry mix ratio 1:5 (cement and river sand)</t>
  </si>
  <si>
    <t>ROOF LEVEL</t>
  </si>
  <si>
    <t>(d) All louvres, windows and sliding doors shall be  30 micron powder coated aluminium as per details given in Door/Window schedule.</t>
  </si>
  <si>
    <t>(c) All Timber door frames shall be treated 
timber. Rate shall include for Paint/Varnish finish.</t>
  </si>
  <si>
    <t>(b) Rates shall include for door frames and window frames, mullions, transoms, trims, glazing, tinting, timber panels, boardings, framing, lining, fastenings and all fixings and installation.</t>
  </si>
  <si>
    <t>(a) Rates shall include for locks, latches, closers, push plates, pull handles, bolts, kick plates, hinges and all door &amp; window hardware.</t>
  </si>
  <si>
    <t>(c) Rates shall include for electrical conduits, fittings, equipment and similar all fixings to various building surfaces and also all elecetrical work  shall be carried out according to STELCO standards and specifications.</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</si>
  <si>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</si>
  <si>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</si>
  <si>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(a) Rates shall include for: the provision, erection and removal of scaffolding, preparation, rubbing down between coats and similar work, the protection and/or masking floors, fittings and similar work, removing and 
replacing door and window furniture.</t>
  </si>
  <si>
    <t>Foundation Footings &amp; Tie beams</t>
  </si>
  <si>
    <t>Cabling to Data Network points</t>
  </si>
  <si>
    <t>ROOF BEAMS</t>
  </si>
  <si>
    <t>(c ) Rates shall include for; distribution steel, cleaning,  fabrication, placing, the provision for all necessary temporary fixings, and supports including chairs and tie wire , laps and wastage.</t>
  </si>
  <si>
    <t>50mm thick Cement/sand blinding layer (1:10 - Cement &amp; Local Sand mix) to receive damp proof membrane below ground floor slab</t>
  </si>
  <si>
    <t>100mm thick R.C. slab</t>
  </si>
  <si>
    <t>SLAB BEAMS</t>
  </si>
  <si>
    <t>FLOOR SLAB</t>
  </si>
  <si>
    <t>150mm thick R.c.c. Floor Slab</t>
  </si>
  <si>
    <t>4.4</t>
  </si>
  <si>
    <t>SLAB BEAM</t>
  </si>
  <si>
    <t>4.5</t>
  </si>
  <si>
    <t>WINDOW SILL &amp; LINTELS</t>
  </si>
  <si>
    <t xml:space="preserve">Charges for construction of R.c.c. Sills and Lintels for the windows and doors as per details. Rate shall include for shuttering and Reinforcement works complete. </t>
  </si>
  <si>
    <t>PARAPET WALL</t>
  </si>
  <si>
    <t>Interior walls</t>
  </si>
  <si>
    <t>External walls</t>
  </si>
  <si>
    <t>Staircase</t>
  </si>
  <si>
    <t>(d) Toilet wall tiles shall be 300 x 600 mm size ceramic Polished tiles including designed border tiles and Toilet Floor Tiles shall  be 300 x 300mm Non- Slip ceramicTiles.</t>
  </si>
  <si>
    <t>SUSPENDED ACOUSTIC CEILING SYSTEM ON ALUMINIUM FRAME</t>
  </si>
  <si>
    <t>ROOFING</t>
  </si>
  <si>
    <t>Mtr</t>
  </si>
  <si>
    <t>50mm thick double side Aluminium Foiled Rock wool Insulation laid as heat resistant below roofing sheet.</t>
  </si>
  <si>
    <t>25mm grid G.I. mesh laid as support to under the Rock wool insulation</t>
  </si>
  <si>
    <t>Capping -  Supply and Fixing 600mm wide Lysaght Ridge Capping</t>
  </si>
  <si>
    <t>mtr</t>
  </si>
  <si>
    <t>Gutter - Supply and Fixing 150 x 200mm Lysaght Gutter complete including brackets and clips.</t>
  </si>
  <si>
    <t>7.3</t>
  </si>
  <si>
    <t>WOOD WORK</t>
  </si>
  <si>
    <t>Timber Fascia Board: Supply and Fixing  25 x 250mm wide Timber Fascia board complete including Paint finishes.</t>
  </si>
  <si>
    <t>Ceiling Light - L 07</t>
  </si>
  <si>
    <t>Cabling to Speaker System</t>
  </si>
  <si>
    <t xml:space="preserve"> TOTAL           Mrf</t>
  </si>
  <si>
    <t>6% GST           Mrf</t>
  </si>
  <si>
    <t>GRAND TOTAL          Mrf</t>
  </si>
  <si>
    <t>12</t>
  </si>
  <si>
    <t>SHADING DEVICE</t>
  </si>
  <si>
    <t>WINDOW UNITS</t>
  </si>
  <si>
    <t>DOOR UNITS</t>
  </si>
  <si>
    <t>13</t>
  </si>
  <si>
    <t>14</t>
  </si>
  <si>
    <t>ADDITIONS</t>
  </si>
  <si>
    <t>OMISSIONS</t>
  </si>
  <si>
    <t>Provision  to include quantities as per the drawing which is missed in the bill of quantities.</t>
  </si>
  <si>
    <t>BILL No: 13</t>
  </si>
  <si>
    <t>Provision to remove excess quantity given in the bill quantities than the drawing details</t>
  </si>
  <si>
    <t>TOTAL OF BILL No: 13 - Carried over to summary</t>
  </si>
  <si>
    <t>BILL No: 14</t>
  </si>
  <si>
    <t>TOTAL OF BILL No: 14 - Carried over to summary</t>
  </si>
  <si>
    <t>MINISTRY OF EDUCATION</t>
  </si>
  <si>
    <t>REPUBLIC OF MALDIVES</t>
  </si>
  <si>
    <t>CLIENT</t>
  </si>
  <si>
    <t>PLASTERING ADMIXTURE</t>
  </si>
  <si>
    <t>(f)All Switches &amp; Sockets shall be  ABB OR CLIPSAL brand.</t>
  </si>
  <si>
    <t>(b) All painting work shall be carried in accordance with the Specifications</t>
  </si>
  <si>
    <t>(e) Rates shall include for supply and complete installation of fittings and fixtures.</t>
  </si>
  <si>
    <t>(d) Each Light/ light fixture and its switch is measured as one one point; similarly each fan or each socket outlet is measured as one point;</t>
  </si>
  <si>
    <t>BILL OF QUANTITIES</t>
  </si>
  <si>
    <r>
      <t>m</t>
    </r>
    <r>
      <rPr>
        <vertAlign val="superscript"/>
        <sz val="9"/>
        <color theme="1"/>
        <rFont val="Arial"/>
        <family val="2"/>
      </rPr>
      <t>3</t>
    </r>
  </si>
  <si>
    <r>
      <t>m</t>
    </r>
    <r>
      <rPr>
        <vertAlign val="superscript"/>
        <sz val="9"/>
        <rFont val="Arial"/>
        <family val="2"/>
      </rPr>
      <t>2</t>
    </r>
  </si>
  <si>
    <r>
      <t xml:space="preserve">Apply Rubberised bitumin water proofing paint, </t>
    </r>
    <r>
      <rPr>
        <b/>
        <sz val="9"/>
        <color theme="1"/>
        <rFont val="Arial"/>
        <family val="2"/>
      </rPr>
      <t>Conmix</t>
    </r>
    <r>
      <rPr>
        <sz val="9"/>
        <color theme="1"/>
        <rFont val="Arial"/>
        <family val="2"/>
      </rPr>
      <t xml:space="preserve"> </t>
    </r>
    <r>
      <rPr>
        <b/>
        <sz val="9"/>
        <color theme="1"/>
        <rFont val="Arial"/>
        <family val="2"/>
      </rPr>
      <t>Moya Shield RBE,</t>
    </r>
    <r>
      <rPr>
        <sz val="9"/>
        <color theme="1"/>
        <rFont val="Arial"/>
        <family val="2"/>
      </rPr>
      <t xml:space="preserve"> 2 coats to all exposed concrete and masonry surface below ground level.</t>
    </r>
  </si>
  <si>
    <r>
      <t>m</t>
    </r>
    <r>
      <rPr>
        <vertAlign val="superscript"/>
        <sz val="9"/>
        <color theme="1"/>
        <rFont val="Arial"/>
        <family val="2"/>
      </rPr>
      <t>2</t>
    </r>
  </si>
  <si>
    <r>
      <t xml:space="preserve">Add approved water proofing admixture </t>
    </r>
    <r>
      <rPr>
        <b/>
        <sz val="9"/>
        <color theme="1"/>
        <rFont val="Arial"/>
        <family val="2"/>
      </rPr>
      <t>Conmix</t>
    </r>
    <r>
      <rPr>
        <sz val="9"/>
        <color theme="1"/>
        <rFont val="Arial"/>
        <family val="2"/>
      </rPr>
      <t xml:space="preserve"> </t>
    </r>
    <r>
      <rPr>
        <b/>
        <sz val="9"/>
        <color theme="1"/>
        <rFont val="Arial"/>
        <family val="2"/>
      </rPr>
      <t>Mega Add WL1</t>
    </r>
    <r>
      <rPr>
        <sz val="9"/>
        <color theme="1"/>
        <rFont val="Arial"/>
        <family val="2"/>
      </rPr>
      <t xml:space="preserve"> as per specification to all concrete below ground level.</t>
    </r>
  </si>
  <si>
    <r>
      <t xml:space="preserve">Add Plasticiser admixture </t>
    </r>
    <r>
      <rPr>
        <b/>
        <sz val="9"/>
        <color theme="1"/>
        <rFont val="Arial"/>
        <family val="2"/>
      </rPr>
      <t>Conmix</t>
    </r>
    <r>
      <rPr>
        <sz val="9"/>
        <color theme="1"/>
        <rFont val="Arial"/>
        <family val="2"/>
      </rPr>
      <t xml:space="preserve"> </t>
    </r>
    <r>
      <rPr>
        <b/>
        <sz val="9"/>
        <color theme="1"/>
        <rFont val="Arial"/>
        <family val="2"/>
      </rPr>
      <t>Mega Flow P</t>
    </r>
    <r>
      <rPr>
        <sz val="9"/>
        <color theme="1"/>
        <rFont val="Arial"/>
        <family val="2"/>
      </rPr>
      <t xml:space="preserve"> as per specification to all concrete Substreucture and Super structure.</t>
    </r>
  </si>
  <si>
    <r>
      <t xml:space="preserve">(a) 20mm thick Cement plastering on Exterior surface of  External masonry walls and concrete surfaces and 15mm thick plastering on interior walls and concrete surface as specified incl. wire mesh shall be fixed at the joints of concrete surfaces and walls before plastering. </t>
    </r>
    <r>
      <rPr>
        <b/>
        <sz val="9"/>
        <rFont val="Arial"/>
        <family val="2"/>
      </rPr>
      <t>Quantity is measured including concrete surfaces - Parapetwalls, Liftwalls, columns &amp; beams.</t>
    </r>
  </si>
  <si>
    <r>
      <t xml:space="preserve">Charges for Plastering admixture </t>
    </r>
    <r>
      <rPr>
        <b/>
        <sz val="9"/>
        <color theme="1"/>
        <rFont val="Arial"/>
        <family val="2"/>
      </rPr>
      <t>Conmix Megaflow MP</t>
    </r>
    <r>
      <rPr>
        <sz val="9"/>
        <color theme="1"/>
        <rFont val="Arial"/>
        <family val="2"/>
      </rPr>
      <t xml:space="preserve"> to be mixed with the plastering mortar to all External and Interior plastering works.</t>
    </r>
  </si>
  <si>
    <r>
      <t xml:space="preserve">Charges for supplying special tiles adhesive  </t>
    </r>
    <r>
      <rPr>
        <b/>
        <sz val="9"/>
        <rFont val="Arial"/>
        <family val="2"/>
      </rPr>
      <t>Conmix C500</t>
    </r>
    <r>
      <rPr>
        <sz val="9"/>
        <rFont val="Arial"/>
        <family val="2"/>
      </rPr>
      <t xml:space="preserve"> for fixing Ceramic tiles.</t>
    </r>
  </si>
  <si>
    <r>
      <t xml:space="preserve">(c)Rate shall include for </t>
    </r>
    <r>
      <rPr>
        <b/>
        <sz val="9"/>
        <rFont val="Arial"/>
        <family val="2"/>
      </rPr>
      <t>Nippon brand weather proof  pain</t>
    </r>
    <r>
      <rPr>
        <sz val="9"/>
        <rFont val="Arial"/>
        <family val="2"/>
      </rPr>
      <t xml:space="preserve">t finish for </t>
    </r>
    <r>
      <rPr>
        <b/>
        <sz val="9"/>
        <rFont val="Arial"/>
        <family val="2"/>
      </rPr>
      <t>exterior surfaces of the wall</t>
    </r>
    <r>
      <rPr>
        <sz val="9"/>
        <rFont val="Arial"/>
        <family val="2"/>
      </rPr>
      <t xml:space="preserve"> complete including application of  two coats of oil based wall sealer and two coats of weather bond paint </t>
    </r>
  </si>
  <si>
    <r>
      <t xml:space="preserve">(d)Rate shall include for </t>
    </r>
    <r>
      <rPr>
        <b/>
        <sz val="9"/>
        <rFont val="Arial"/>
        <family val="2"/>
      </rPr>
      <t>Conmix Conputty</t>
    </r>
    <r>
      <rPr>
        <sz val="9"/>
        <rFont val="Arial"/>
        <family val="2"/>
      </rPr>
      <t xml:space="preserve"> and </t>
    </r>
    <r>
      <rPr>
        <b/>
        <sz val="9"/>
        <rFont val="Arial"/>
        <family val="2"/>
      </rPr>
      <t>Nippon brand Emulsion paint</t>
    </r>
    <r>
      <rPr>
        <sz val="9"/>
        <rFont val="Arial"/>
        <family val="2"/>
      </rPr>
      <t xml:space="preserve"> finish for </t>
    </r>
    <r>
      <rPr>
        <b/>
        <sz val="9"/>
        <rFont val="Arial"/>
        <family val="2"/>
      </rPr>
      <t>interior surfaces of the wall and ceilings</t>
    </r>
    <r>
      <rPr>
        <sz val="9"/>
        <rFont val="Arial"/>
        <family val="2"/>
      </rPr>
      <t xml:space="preserve"> complete including application of  two coats of wall sealer, two coats of  putty finish and two coats of  emulsion paint finish on top for Interior painting.</t>
    </r>
  </si>
  <si>
    <r>
      <t xml:space="preserve">Painting, </t>
    </r>
    <r>
      <rPr>
        <b/>
        <sz val="9"/>
        <rFont val="Arial"/>
        <family val="2"/>
      </rPr>
      <t xml:space="preserve">Nippon brand weather bond paint, </t>
    </r>
    <r>
      <rPr>
        <sz val="9"/>
        <rFont val="Arial"/>
        <family val="2"/>
      </rPr>
      <t>exterior surfaces of External Wall, Columns &amp; beams.</t>
    </r>
  </si>
  <si>
    <r>
      <t xml:space="preserve">Painting, </t>
    </r>
    <r>
      <rPr>
        <b/>
        <sz val="9"/>
        <rFont val="Arial"/>
        <family val="2"/>
      </rPr>
      <t>Nippon brand Emulsion paint,</t>
    </r>
    <r>
      <rPr>
        <sz val="9"/>
        <rFont val="Arial"/>
        <family val="2"/>
      </rPr>
      <t xml:space="preserve">  on interior surfaces (Wall, Columns &amp; beams) </t>
    </r>
  </si>
  <si>
    <r>
      <t>2.5mm</t>
    </r>
    <r>
      <rPr>
        <vertAlign val="superscript"/>
        <sz val="9"/>
        <rFont val="Arial"/>
        <family val="2"/>
      </rPr>
      <t>2</t>
    </r>
    <r>
      <rPr>
        <sz val="9"/>
        <rFont val="Arial"/>
        <family val="2"/>
      </rPr>
      <t xml:space="preserve">  Wiring to Light Points</t>
    </r>
  </si>
  <si>
    <r>
      <t>2.5mm</t>
    </r>
    <r>
      <rPr>
        <vertAlign val="superscript"/>
        <sz val="9"/>
        <rFont val="Arial"/>
        <family val="2"/>
      </rPr>
      <t xml:space="preserve">2  </t>
    </r>
    <r>
      <rPr>
        <sz val="9"/>
        <rFont val="Arial"/>
        <family val="2"/>
      </rPr>
      <t>Wiring to Power  Points</t>
    </r>
  </si>
  <si>
    <r>
      <t>16mm</t>
    </r>
    <r>
      <rPr>
        <vertAlign val="superscript"/>
        <sz val="9"/>
        <rFont val="Arial"/>
        <family val="2"/>
      </rPr>
      <t>2</t>
    </r>
    <r>
      <rPr>
        <sz val="9"/>
        <rFont val="Arial"/>
        <family val="2"/>
      </rPr>
      <t xml:space="preserve">  Cabling to DBs</t>
    </r>
  </si>
  <si>
    <t>a ) Rates shall include for cleaning out cavities, forming rebated reveals and pointing and cleaning down to  reveals where necessary; fractional size blocks, all necessary machine cutting, cutting or forming chases or edges of  floor slabs.</t>
  </si>
  <si>
    <t>b ) Cutting or leaving holes and openings as recesses for and building in pipes, conduits , sleeves and similar as required for all trades; leaving surfaces rough or raking out joints for  plastering and flashings, bedding frames or plates, building in joints.</t>
  </si>
  <si>
    <t>Supply and Installation of  STELCO approved (ABB or LEGRAND brand) Distribution board (Power &amp; Lights Distribution board Separately)</t>
  </si>
  <si>
    <t>Supply and Installation of  STELCO approved (ABB or LEGRAND brand) Distribution board (Power &amp; Light Distribution board Separately)</t>
  </si>
  <si>
    <t>1.6</t>
  </si>
  <si>
    <t>SAFETY ON SITE</t>
  </si>
  <si>
    <t>Safety on site:- Providing and maintainingadequate safety measure on site for all workers and all authorized visitors on site and protecting adjoining properties and people against falling objects or other with regard to the construction 
works</t>
  </si>
  <si>
    <t>LOGISTICS</t>
  </si>
  <si>
    <t>Charges for supply of materials to the site including transportation, Loading and unloading of materials,  for the project construction.</t>
  </si>
  <si>
    <t>6mm dia Round bars - 6m</t>
  </si>
  <si>
    <t>MASONRY - BLOCK WORK</t>
  </si>
  <si>
    <t xml:space="preserve">a ) </t>
  </si>
  <si>
    <t>300 x 150 x 150mm Solid Block work</t>
  </si>
  <si>
    <t>Below ground floor - Bitumen paint</t>
  </si>
  <si>
    <t>150mm thick Block wall with 300 x 150 x 150mm thick Solid blocks.</t>
  </si>
  <si>
    <t>Corridor</t>
  </si>
  <si>
    <t>600 x 600mm Non Slip Ceramic tiles</t>
  </si>
  <si>
    <t>600 x 600mm Non slip Ceramic tiles</t>
  </si>
  <si>
    <t>1)</t>
  </si>
  <si>
    <r>
      <t xml:space="preserve">Painting, </t>
    </r>
    <r>
      <rPr>
        <b/>
        <sz val="9"/>
        <rFont val="Arial"/>
        <family val="2"/>
      </rPr>
      <t>Nippon brand Emulsion paint</t>
    </r>
    <r>
      <rPr>
        <sz val="9"/>
        <rFont val="Arial"/>
        <family val="2"/>
      </rPr>
      <t>,  Soffit of Slab / Ceiling.</t>
    </r>
  </si>
  <si>
    <t>Roof Truss - Supply, Fabrication and Fixing Roof Trusses complete with  Base plates, Bolts, nuts, Washers etc including  Paint Finishes. Refer drawing detail    S 18</t>
  </si>
  <si>
    <t xml:space="preserve">Supply and Installation of STELCO approved Main Panel board with 5nos KWH meters. </t>
  </si>
  <si>
    <t>Sound system - Speaker - T03</t>
  </si>
  <si>
    <t>STAGE</t>
  </si>
  <si>
    <t xml:space="preserve">Below Stage </t>
  </si>
  <si>
    <t>Both sides of the wall below stage</t>
  </si>
  <si>
    <t>FLOOR FINISHES</t>
  </si>
  <si>
    <t xml:space="preserve">Supply, Fabrication and Fixing RAILING G.I.PIPE complete including paint finishes - Fixed at Middle of the Staircase as per details </t>
  </si>
  <si>
    <t>Highly compacted hard core backfilling at excavated area for foundations up to Ground level.</t>
  </si>
  <si>
    <t>200mm thick highly compacted hard core from Ground floor to below ground floor slab</t>
  </si>
  <si>
    <t>R.c.c. Staircase (Main Staircase)</t>
  </si>
  <si>
    <t>ROOF SLAB</t>
  </si>
  <si>
    <t>200mm thick x 600mm high R.c.c. Parapet wall around roof top slab.</t>
  </si>
  <si>
    <t>Staircase (Main)</t>
  </si>
  <si>
    <t>Entrance Steps</t>
  </si>
  <si>
    <t>Skirting - 600 x 100mm Ceramic Tiles</t>
  </si>
  <si>
    <t>450 x 450mm Polished Ceramic tiles</t>
  </si>
  <si>
    <r>
      <t xml:space="preserve">(c) Tiles for all general areas shall be </t>
    </r>
    <r>
      <rPr>
        <b/>
        <sz val="9"/>
        <rFont val="Arial"/>
        <family val="2"/>
      </rPr>
      <t>450 x 150mm Polished Ceramic tiles &amp; Corridor and balconies 600 x 600mm non slip ceramic tiles.</t>
    </r>
  </si>
  <si>
    <t>WATER PROOFING</t>
  </si>
  <si>
    <t>Charges for Apply 2 coats of water proofing compound Conmix WS2 as per specifications</t>
  </si>
  <si>
    <t>G.I. PIPE Railing  - Staircase 1 &amp; 2</t>
  </si>
  <si>
    <t>Supply and Fixing C - Purlins 100 10 (GI) @ 900mm spacing</t>
  </si>
  <si>
    <r>
      <t>Floor Paint - Apply 2 coats of Epoxy floor paint finishes including one coat primer in</t>
    </r>
    <r>
      <rPr>
        <b/>
        <sz val="9"/>
        <rFont val="Arial"/>
        <family val="2"/>
      </rPr>
      <t xml:space="preserve"> Multi purpose hall floor.</t>
    </r>
  </si>
  <si>
    <t>6MM THICK CEMENT BOARD CEILING ON 50 X 35MM THICK TIMBER FRAME</t>
  </si>
  <si>
    <t>Roof Level - Eave Ceiling</t>
  </si>
  <si>
    <r>
      <rPr>
        <b/>
        <u/>
        <sz val="9"/>
        <rFont val="Arial"/>
        <family val="2"/>
      </rPr>
      <t>RAINWATER DOWN PIPES</t>
    </r>
    <r>
      <rPr>
        <sz val="9"/>
        <rFont val="Arial"/>
        <family val="2"/>
      </rPr>
      <t>: Charges for piping for all Rain water discharge pipes and Drainage pipes including fittings and fixtures from the Roof Gutter to Ground floor.</t>
    </r>
  </si>
  <si>
    <t>7.3.1</t>
  </si>
  <si>
    <t xml:space="preserve">Roof Covering at Roof level - Supply and Fixing BHP Lysaght Roofing sheet </t>
  </si>
  <si>
    <t>R.c.c. Staircase (Main)</t>
  </si>
  <si>
    <t>F1, 900 x 900 x 300mm x 28nos.</t>
  </si>
  <si>
    <t>F2, 1350 x 1350 x 350mm x 26 nos.</t>
  </si>
  <si>
    <t>Tie beam TB1, 200 x 300mm</t>
  </si>
  <si>
    <t>C1 ,  200 x 200mm x 28nos: (4950mm H)</t>
  </si>
  <si>
    <t>C2 , 350 x 250mm x 26nos:(4950mm H)</t>
  </si>
  <si>
    <t>C2 , 350 x 250mm x 26nos: (3900mm H)</t>
  </si>
  <si>
    <t>100mm thick R.C.C. Ground floor slab</t>
  </si>
  <si>
    <t>F1</t>
  </si>
  <si>
    <t>TB1, 200 x 300mm</t>
  </si>
  <si>
    <t>C1 , 200 x 200mm x 28nos:</t>
  </si>
  <si>
    <t>C2, 350 x 250mm x 26nos</t>
  </si>
  <si>
    <t>F2</t>
  </si>
  <si>
    <t>B1 , 250 x 400mm</t>
  </si>
  <si>
    <t>B2 , 200 x 400mm</t>
  </si>
  <si>
    <t>RB1, 200 x 400mm</t>
  </si>
  <si>
    <t>C1 ,  200 x 200mm x 05nos:(3900mm H)</t>
  </si>
  <si>
    <t>C1 ,  200 x 200mm x 05nos: (3900mm H)</t>
  </si>
  <si>
    <t>C2 , 350 x 250mm x 26nos:(3900mm H)</t>
  </si>
  <si>
    <t>V1 - Coated Aluminium frame with Louvered aluminium panels, 3000mm x 900mm high (Fixed at the voids between external corridor columns)</t>
  </si>
  <si>
    <t>V2 - Coated Aluminium frame with Louvered aluminium panels, 2200 x 900mm high.</t>
  </si>
  <si>
    <t>D1 - 80micron White powder coated aluminium framed  door with 6mm thick Blue tinted laminated glass panel and Fixed louvers at top, 2500 x 2650mm.</t>
  </si>
  <si>
    <t>D2 - 80micron White powder coated aluminium framed  door with 6mm thick Blue tinted laminated glass panel and Fixed louvers at top, 1850 x 2650mm.</t>
  </si>
  <si>
    <t>D3 - 80micron White powder coated aluminium framed  door with 40mm thick Solid timber door panel, 950 x 2000mm.</t>
  </si>
  <si>
    <t>W1 - 80micron White Powder Coated Aluminium framed Window with Fixed glass panels and Fixed Louvered panels at top &amp; bottom , 1850 x 2700mm</t>
  </si>
  <si>
    <t>First floor</t>
  </si>
  <si>
    <t>B2, 200 x 400mm</t>
  </si>
  <si>
    <t>C1 , 200 x 200mm x 05nos:</t>
  </si>
  <si>
    <t>RB1 , 200 x 400mm</t>
  </si>
  <si>
    <t>160mm thick R.c.c. Floor Slab (Catwalk)</t>
  </si>
  <si>
    <t>Hall</t>
  </si>
  <si>
    <t>Stage</t>
  </si>
  <si>
    <t>Storage</t>
  </si>
  <si>
    <t>Electrical</t>
  </si>
  <si>
    <t>Catwalk</t>
  </si>
  <si>
    <t>Roof Top slab</t>
  </si>
  <si>
    <t>Stair Lobby</t>
  </si>
  <si>
    <t>Corridor / Open Terrace</t>
  </si>
  <si>
    <t xml:space="preserve">Roof Terrace </t>
  </si>
  <si>
    <t xml:space="preserve">Roof - Terrace </t>
  </si>
  <si>
    <t>5.4</t>
  </si>
  <si>
    <t>TR2 -  9.6mtr length</t>
  </si>
  <si>
    <t>TR1 - 13.05mtr length</t>
  </si>
  <si>
    <t>TR3 - 7.925mtr length</t>
  </si>
  <si>
    <t>TR4 - 4.46mtr length</t>
  </si>
  <si>
    <t>Connection Pipes: Supply and Fixing 60.3 x 2.5mm thick CHS (G.I) to be welded at the Top &amp; bottom of the Trusses as connection member from grid C to H</t>
  </si>
  <si>
    <r>
      <rPr>
        <b/>
        <u/>
        <sz val="9"/>
        <rFont val="Arial"/>
        <family val="2"/>
      </rPr>
      <t>CONNECTION RAIN WATER PIPE NETWORK</t>
    </r>
    <r>
      <rPr>
        <sz val="9"/>
        <rFont val="Arial"/>
        <family val="2"/>
      </rPr>
      <t>: Charges for Laying pipes at ground floor and connecting all the Rainwater pipe from the roof to the existing collecting tank.</t>
    </r>
  </si>
  <si>
    <t>Ceiling Light - L 03</t>
  </si>
  <si>
    <t>Weather proof wall Light - L06</t>
  </si>
  <si>
    <t xml:space="preserve">2 x 13A Power Socket - P01 </t>
  </si>
  <si>
    <t>1 Gang 1 way Switch</t>
  </si>
  <si>
    <t>2 Gang 1 way Switch</t>
  </si>
  <si>
    <t>3 Gang 1 way Switch</t>
  </si>
  <si>
    <t>4 Gang 1 way Switch</t>
  </si>
  <si>
    <t>Fan Dimmer Switch</t>
  </si>
  <si>
    <t>Data Socket outlet - T04</t>
  </si>
  <si>
    <t>Ceiling Light - L 04</t>
  </si>
  <si>
    <t>Ceiling Fan 1500mm dia.</t>
  </si>
  <si>
    <t>Backfilling</t>
  </si>
  <si>
    <t>Reinforced Concrete</t>
  </si>
  <si>
    <t>100mm thick Slab</t>
  </si>
  <si>
    <t>Synthetic Novillon floor finish</t>
  </si>
  <si>
    <t>Steps ( Stage)</t>
  </si>
  <si>
    <t>BILL No: 13 - STAGE</t>
  </si>
  <si>
    <t>BILL No: 14 - ADDITIONS</t>
  </si>
  <si>
    <t>BILL No: 15</t>
  </si>
  <si>
    <t>BILL No: 15 - OMISSIONS</t>
  </si>
  <si>
    <t>TOTAL OF BILL No: 15 - Carried over to summary</t>
  </si>
  <si>
    <t>Staircase (Ground floor to Stage top)</t>
  </si>
  <si>
    <t xml:space="preserve">Charges for construction of 100mm thick R.c.c.Parapet wall at First floor (Cat walk &amp; Exterior Parapet walls)  as per details. Rate shall include for Shuttering and Reinforcement work complete. </t>
  </si>
  <si>
    <t>PROJECT: TYPE 03 HALL BUILDING</t>
  </si>
  <si>
    <t>PROJECT : TYPE 03 HALL BUILDING</t>
  </si>
  <si>
    <t>GN. MJM MULTIPURPOSE HALL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</si>
</sst>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0_);_(* \(#,##0.0\);_(* &quot;-&quot;??_);_(@_)"/>
    <numFmt numFmtId="166" formatCode="_(* #,##0.000_);_(* \(#,##0.000\);_(* &quot;-&quot;???_);_(@_)"/>
    <numFmt numFmtId="167" formatCode="_(* #,##0.00_);_(* \(#,##0.00\);_(* \-??_);_(@_)"/>
    <numFmt numFmtId="168" formatCode="0.0"/>
    <numFmt numFmtId="169" formatCode="_(\$* #,##0.00_);_(\$* \(#,##0.00\);_(\$* \-??_);_(@_)"/>
    <numFmt numFmtId="170" formatCode="\(0\)"/>
  </numFmts>
  <fonts count="32" x14ac:knownFonts="1">
    <font>
      <sz val="11"/>
      <color theme="1"/>
      <name val="Calibri"/>
      <family val="2"/>
      <scheme val="minor"/>
    </font>
    <font>
      <sz val="11"/>
      <color theme="1"/>
      <name val="Calibri"/>
      <family val="2"/>
      <scheme val="minor"/>
    </font>
    <font>
      <sz val="10"/>
      <name val="Arial"/>
      <family val="2"/>
    </font>
    <font>
      <sz val="10"/>
      <name val="Times New Roman"/>
      <family val="1"/>
    </font>
    <font>
      <b/>
      <u/>
      <sz val="14"/>
      <name val="Times New Roman"/>
      <family val="1"/>
    </font>
    <font>
      <b/>
      <u/>
      <sz val="12"/>
      <name val="Times New Roman"/>
      <family val="1"/>
    </font>
    <font>
      <b/>
      <sz val="14"/>
      <name val="Times New Roman"/>
      <family val="1"/>
    </font>
    <font>
      <b/>
      <sz val="11"/>
      <name val="Times New Roman"/>
      <family val="1"/>
    </font>
    <font>
      <b/>
      <sz val="12"/>
      <name val="Times New Roman"/>
      <family val="1"/>
    </font>
    <font>
      <b/>
      <sz val="22"/>
      <name val="Arial Black"/>
      <family val="2"/>
    </font>
    <font>
      <sz val="11"/>
      <name val="Calibri"/>
      <family val="2"/>
      <scheme val="minor"/>
    </font>
    <font>
      <sz val="11"/>
      <name val="Arial Black"/>
      <family val="2"/>
    </font>
    <font>
      <b/>
      <sz val="16"/>
      <name val="Arial Black"/>
      <family val="2"/>
    </font>
    <font>
      <b/>
      <u/>
      <sz val="11"/>
      <name val="Arial Black"/>
      <family val="2"/>
    </font>
    <font>
      <b/>
      <sz val="11"/>
      <name val="Arial Black"/>
      <family val="2"/>
    </font>
    <font>
      <b/>
      <sz val="9"/>
      <color theme="1"/>
      <name val="Arial"/>
      <family val="2"/>
    </font>
    <font>
      <sz val="9"/>
      <color theme="1"/>
      <name val="Arial"/>
      <family val="2"/>
    </font>
    <font>
      <sz val="9"/>
      <name val="Arial"/>
      <family val="2"/>
    </font>
    <font>
      <b/>
      <u/>
      <sz val="9"/>
      <name val="Arial"/>
      <family val="2"/>
    </font>
    <font>
      <b/>
      <sz val="9"/>
      <name val="Arial"/>
      <family val="2"/>
    </font>
    <font>
      <b/>
      <sz val="9"/>
      <color rgb="FFFF0000"/>
      <name val="Arial"/>
      <family val="2"/>
    </font>
    <font>
      <u/>
      <sz val="9"/>
      <name val="Arial"/>
      <family val="2"/>
    </font>
    <font>
      <b/>
      <u/>
      <sz val="9"/>
      <color theme="1"/>
      <name val="Arial"/>
      <family val="2"/>
    </font>
    <font>
      <vertAlign val="superscript"/>
      <sz val="9"/>
      <color theme="1"/>
      <name val="Arial"/>
      <family val="2"/>
    </font>
    <font>
      <vertAlign val="superscript"/>
      <sz val="9"/>
      <name val="Arial"/>
      <family val="2"/>
    </font>
    <font>
      <u/>
      <sz val="9"/>
      <color theme="1"/>
      <name val="Arial"/>
      <family val="2"/>
    </font>
    <font>
      <b/>
      <sz val="9"/>
      <color indexed="9"/>
      <name val="Arial"/>
      <family val="2"/>
    </font>
    <font>
      <sz val="10"/>
      <name val="Arial"/>
    </font>
    <font>
      <b/>
      <u/>
      <sz val="10"/>
      <name val="Arial"/>
      <family val="2"/>
    </font>
    <font>
      <b/>
      <sz val="10"/>
      <name val="Arial"/>
      <family val="2"/>
    </font>
    <font>
      <sz val="10"/>
      <color theme="1"/>
      <name val="Arial"/>
      <family val="2"/>
    </font>
    <font>
      <sz val="10"/>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65"/>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indexed="9"/>
        <bgColor indexed="26"/>
      </patternFill>
    </fill>
  </fills>
  <borders count="32">
    <border>
      <left/>
      <right/>
      <top/>
      <bottom/>
      <diagonal/>
    </border>
    <border>
      <left style="hair">
        <color auto="1"/>
      </left>
      <right style="hair">
        <color auto="1"/>
      </right>
      <top style="hair">
        <color auto="1"/>
      </top>
      <bottom style="hair">
        <color auto="1"/>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indexed="64"/>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167" fontId="27" fillId="0" borderId="0" applyFill="0" applyBorder="0" applyAlignment="0" applyProtection="0"/>
    <xf numFmtId="0" fontId="27" fillId="0" borderId="0"/>
    <xf numFmtId="169" fontId="27" fillId="0" borderId="0" applyFill="0" applyBorder="0" applyAlignment="0" applyProtection="0"/>
  </cellStyleXfs>
  <cellXfs count="400">
    <xf numFmtId="0" fontId="0" fillId="0" borderId="0" xfId="0"/>
    <xf numFmtId="49" fontId="3" fillId="2" borderId="2" xfId="0" applyNumberFormat="1" applyFont="1" applyFill="1" applyBorder="1"/>
    <xf numFmtId="0" fontId="3" fillId="2" borderId="2" xfId="0" applyFont="1" applyFill="1" applyBorder="1"/>
    <xf numFmtId="43" fontId="3" fillId="2" borderId="2" xfId="1" applyFont="1" applyFill="1" applyBorder="1"/>
    <xf numFmtId="49" fontId="6" fillId="2" borderId="3" xfId="0" applyNumberFormat="1" applyFont="1" applyFill="1" applyBorder="1"/>
    <xf numFmtId="0" fontId="6" fillId="2" borderId="4" xfId="0" applyFont="1" applyFill="1" applyBorder="1" applyAlignment="1">
      <alignment horizontal="center"/>
    </xf>
    <xf numFmtId="0" fontId="6" fillId="2" borderId="5" xfId="0" applyFont="1" applyFill="1" applyBorder="1" applyAlignment="1">
      <alignment horizontal="center"/>
    </xf>
    <xf numFmtId="49" fontId="7" fillId="2" borderId="6" xfId="0" applyNumberFormat="1" applyFont="1" applyFill="1" applyBorder="1" applyAlignment="1">
      <alignment horizontal="center"/>
    </xf>
    <xf numFmtId="0" fontId="7" fillId="2" borderId="7" xfId="0" applyFont="1" applyFill="1" applyBorder="1" applyAlignment="1">
      <alignment horizontal="left"/>
    </xf>
    <xf numFmtId="43" fontId="7" fillId="2" borderId="8" xfId="1" applyFont="1" applyFill="1" applyBorder="1" applyAlignment="1">
      <alignment horizontal="center"/>
    </xf>
    <xf numFmtId="49" fontId="7" fillId="2" borderId="9" xfId="0" applyNumberFormat="1" applyFont="1" applyFill="1" applyBorder="1" applyAlignment="1">
      <alignment horizontal="center"/>
    </xf>
    <xf numFmtId="0" fontId="7" fillId="2" borderId="10" xfId="0" applyFont="1" applyFill="1" applyBorder="1" applyAlignment="1">
      <alignment horizontal="left"/>
    </xf>
    <xf numFmtId="43" fontId="7" fillId="2" borderId="11" xfId="1" applyFont="1" applyFill="1" applyBorder="1" applyAlignment="1">
      <alignment horizontal="center"/>
    </xf>
    <xf numFmtId="49" fontId="3" fillId="2" borderId="3" xfId="0" applyNumberFormat="1" applyFont="1" applyFill="1" applyBorder="1"/>
    <xf numFmtId="0" fontId="8" fillId="2" borderId="4" xfId="0" applyFont="1" applyFill="1" applyBorder="1" applyAlignment="1">
      <alignment horizontal="center"/>
    </xf>
    <xf numFmtId="43" fontId="8" fillId="2" borderId="5" xfId="0" applyNumberFormat="1" applyFont="1" applyFill="1" applyBorder="1" applyAlignment="1">
      <alignment horizontal="center"/>
    </xf>
    <xf numFmtId="164" fontId="0" fillId="0" borderId="0" xfId="0" applyNumberFormat="1"/>
    <xf numFmtId="0" fontId="9" fillId="0" borderId="0" xfId="0" applyFont="1" applyAlignment="1">
      <alignment horizontal="center"/>
    </xf>
    <xf numFmtId="0" fontId="10" fillId="0" borderId="0" xfId="0" applyFont="1"/>
    <xf numFmtId="0" fontId="11" fillId="0" borderId="0" xfId="0" applyFont="1"/>
    <xf numFmtId="0" fontId="12"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horizontal="center"/>
    </xf>
    <xf numFmtId="0" fontId="11" fillId="0" borderId="0" xfId="0" applyFont="1" applyAlignment="1">
      <alignment horizontal="center"/>
    </xf>
    <xf numFmtId="0" fontId="14" fillId="0" borderId="0" xfId="0" applyFont="1" applyAlignment="1">
      <alignment horizontal="center"/>
    </xf>
    <xf numFmtId="0" fontId="15" fillId="0" borderId="0" xfId="0" applyFont="1"/>
    <xf numFmtId="49" fontId="16" fillId="0" borderId="0" xfId="0" applyNumberFormat="1" applyFont="1"/>
    <xf numFmtId="0" fontId="16" fillId="0" borderId="0" xfId="0" applyFont="1"/>
    <xf numFmtId="0" fontId="16" fillId="0" borderId="0" xfId="0" applyFont="1" applyAlignment="1">
      <alignment horizontal="center"/>
    </xf>
    <xf numFmtId="43" fontId="16" fillId="0" borderId="0" xfId="1" applyNumberFormat="1" applyFont="1"/>
    <xf numFmtId="165" fontId="16" fillId="0" borderId="0" xfId="1" applyNumberFormat="1" applyFont="1"/>
    <xf numFmtId="43" fontId="16" fillId="0" borderId="0" xfId="1" applyFont="1"/>
    <xf numFmtId="43" fontId="16" fillId="0" borderId="25" xfId="1" applyFont="1" applyBorder="1" applyAlignment="1">
      <alignment horizontal="center" vertical="center" wrapText="1"/>
    </xf>
    <xf numFmtId="43" fontId="16" fillId="0" borderId="26" xfId="1" applyFont="1" applyBorder="1" applyAlignment="1">
      <alignment horizontal="center" vertical="center" wrapText="1"/>
    </xf>
    <xf numFmtId="0" fontId="16" fillId="0" borderId="0" xfId="0" applyFont="1" applyAlignment="1">
      <alignment horizontal="center" vertical="center"/>
    </xf>
    <xf numFmtId="49" fontId="17" fillId="2" borderId="19" xfId="2" applyNumberFormat="1" applyFont="1" applyFill="1" applyBorder="1" applyAlignment="1">
      <alignment horizontal="center" vertical="justify"/>
    </xf>
    <xf numFmtId="0" fontId="18" fillId="2" borderId="20" xfId="2" quotePrefix="1" applyNumberFormat="1" applyFont="1" applyFill="1" applyBorder="1" applyAlignment="1">
      <alignment horizontal="center"/>
    </xf>
    <xf numFmtId="43" fontId="19" fillId="2" borderId="20" xfId="2" applyFont="1" applyFill="1" applyBorder="1" applyAlignment="1">
      <alignment horizontal="center"/>
    </xf>
    <xf numFmtId="43" fontId="19" fillId="3" borderId="20" xfId="1" applyNumberFormat="1" applyFont="1" applyFill="1" applyBorder="1" applyAlignment="1">
      <alignment horizontal="center"/>
    </xf>
    <xf numFmtId="165" fontId="17" fillId="2" borderId="20" xfId="1" applyNumberFormat="1" applyFont="1" applyFill="1" applyBorder="1" applyAlignment="1">
      <alignment horizontal="center"/>
    </xf>
    <xf numFmtId="43" fontId="16" fillId="0" borderId="20" xfId="1" applyFont="1" applyBorder="1" applyAlignment="1">
      <alignment horizontal="center" vertical="center" wrapText="1"/>
    </xf>
    <xf numFmtId="43" fontId="16" fillId="0" borderId="21" xfId="1" applyFont="1" applyBorder="1" applyAlignment="1">
      <alignment horizontal="center" vertical="center" wrapText="1"/>
    </xf>
    <xf numFmtId="0" fontId="20" fillId="0" borderId="0" xfId="0" applyFont="1" applyAlignment="1">
      <alignment horizontal="center" vertical="center"/>
    </xf>
    <xf numFmtId="0" fontId="15" fillId="0" borderId="0" xfId="0" applyFont="1" applyAlignment="1">
      <alignment horizontal="center" vertical="center"/>
    </xf>
    <xf numFmtId="0" fontId="18" fillId="2" borderId="20" xfId="2" applyNumberFormat="1" applyFont="1" applyFill="1" applyBorder="1" applyAlignment="1">
      <alignment horizontal="center"/>
    </xf>
    <xf numFmtId="0" fontId="19" fillId="2" borderId="20" xfId="2" applyNumberFormat="1" applyFont="1" applyFill="1" applyBorder="1" applyAlignment="1">
      <alignment horizontal="left"/>
    </xf>
    <xf numFmtId="0" fontId="18" fillId="2" borderId="20" xfId="2" applyNumberFormat="1" applyFont="1" applyFill="1" applyBorder="1" applyAlignment="1">
      <alignment horizontal="left"/>
    </xf>
    <xf numFmtId="49" fontId="17" fillId="2" borderId="19" xfId="2" quotePrefix="1" applyNumberFormat="1" applyFont="1" applyFill="1" applyBorder="1" applyAlignment="1">
      <alignment horizontal="center" vertical="justify"/>
    </xf>
    <xf numFmtId="0" fontId="21" fillId="2" borderId="20" xfId="2" applyNumberFormat="1" applyFont="1" applyFill="1" applyBorder="1" applyAlignment="1">
      <alignment horizontal="left"/>
    </xf>
    <xf numFmtId="0" fontId="17" fillId="2" borderId="20" xfId="2" applyNumberFormat="1" applyFont="1" applyFill="1" applyBorder="1" applyAlignment="1">
      <alignment horizontal="left"/>
    </xf>
    <xf numFmtId="0" fontId="18" fillId="2" borderId="20" xfId="2" applyNumberFormat="1" applyFont="1" applyFill="1" applyBorder="1"/>
    <xf numFmtId="43" fontId="17" fillId="2" borderId="20" xfId="2" applyFont="1" applyFill="1" applyBorder="1" applyAlignment="1">
      <alignment horizontal="center"/>
    </xf>
    <xf numFmtId="43" fontId="17" fillId="3" borderId="20" xfId="1" applyNumberFormat="1" applyFont="1" applyFill="1" applyBorder="1" applyAlignment="1">
      <alignment horizontal="center"/>
    </xf>
    <xf numFmtId="0" fontId="17" fillId="2" borderId="20" xfId="2" applyNumberFormat="1" applyFont="1" applyFill="1" applyBorder="1" applyAlignment="1">
      <alignment horizontal="justify"/>
    </xf>
    <xf numFmtId="43" fontId="16" fillId="0" borderId="20" xfId="1" applyFont="1" applyBorder="1"/>
    <xf numFmtId="43" fontId="16" fillId="0" borderId="21" xfId="1" applyFont="1" applyBorder="1"/>
    <xf numFmtId="0" fontId="17" fillId="2" borderId="20" xfId="2" applyNumberFormat="1" applyFont="1" applyFill="1" applyBorder="1"/>
    <xf numFmtId="0" fontId="17" fillId="2" borderId="20" xfId="2" applyNumberFormat="1" applyFont="1" applyFill="1" applyBorder="1" applyAlignment="1">
      <alignment wrapText="1"/>
    </xf>
    <xf numFmtId="49" fontId="17" fillId="2" borderId="19" xfId="2" applyNumberFormat="1" applyFont="1" applyFill="1" applyBorder="1" applyAlignment="1">
      <alignment horizontal="center" vertical="top"/>
    </xf>
    <xf numFmtId="0" fontId="18" fillId="2" borderId="20" xfId="2" applyNumberFormat="1" applyFont="1" applyFill="1" applyBorder="1" applyAlignment="1">
      <alignment vertical="top"/>
    </xf>
    <xf numFmtId="43" fontId="17" fillId="2" borderId="20" xfId="2" applyFont="1" applyFill="1" applyBorder="1" applyAlignment="1">
      <alignment horizontal="center" vertical="top"/>
    </xf>
    <xf numFmtId="43" fontId="17" fillId="3" borderId="20" xfId="1" applyNumberFormat="1" applyFont="1" applyFill="1" applyBorder="1" applyAlignment="1">
      <alignment horizontal="center" vertical="top"/>
    </xf>
    <xf numFmtId="0" fontId="17" fillId="2" borderId="20" xfId="2" applyNumberFormat="1" applyFont="1" applyFill="1" applyBorder="1" applyAlignment="1">
      <alignment vertical="top" wrapText="1"/>
    </xf>
    <xf numFmtId="49" fontId="17" fillId="2" borderId="24" xfId="2" applyNumberFormat="1" applyFont="1" applyFill="1" applyBorder="1" applyAlignment="1">
      <alignment horizontal="center" vertical="justify"/>
    </xf>
    <xf numFmtId="0" fontId="19" fillId="2" borderId="25" xfId="2" quotePrefix="1" applyNumberFormat="1" applyFont="1" applyFill="1" applyBorder="1" applyAlignment="1">
      <alignment horizontal="left"/>
    </xf>
    <xf numFmtId="0" fontId="17" fillId="3" borderId="25" xfId="3" applyFont="1" applyFill="1" applyBorder="1" applyAlignment="1">
      <alignment horizontal="center"/>
    </xf>
    <xf numFmtId="43" fontId="17" fillId="3" borderId="25" xfId="1" applyNumberFormat="1" applyFont="1" applyFill="1" applyBorder="1" applyAlignment="1">
      <alignment horizontal="center"/>
    </xf>
    <xf numFmtId="165" fontId="17" fillId="2" borderId="25" xfId="1" applyNumberFormat="1" applyFont="1" applyFill="1" applyBorder="1" applyAlignment="1">
      <alignment horizontal="center"/>
    </xf>
    <xf numFmtId="49" fontId="17" fillId="2" borderId="27" xfId="2" applyNumberFormat="1" applyFont="1" applyFill="1" applyBorder="1" applyAlignment="1">
      <alignment horizontal="center" vertical="justify"/>
    </xf>
    <xf numFmtId="0" fontId="19" fillId="2" borderId="23" xfId="2" quotePrefix="1" applyNumberFormat="1" applyFont="1" applyFill="1" applyBorder="1" applyAlignment="1">
      <alignment horizontal="left"/>
    </xf>
    <xf numFmtId="0" fontId="17" fillId="4" borderId="23" xfId="3" applyFont="1" applyFill="1" applyBorder="1" applyAlignment="1">
      <alignment horizontal="center"/>
    </xf>
    <xf numFmtId="43" fontId="17" fillId="3" borderId="23" xfId="1" applyNumberFormat="1" applyFont="1" applyFill="1" applyBorder="1" applyAlignment="1">
      <alignment horizontal="center"/>
    </xf>
    <xf numFmtId="165" fontId="17" fillId="2" borderId="23" xfId="1" applyNumberFormat="1" applyFont="1" applyFill="1" applyBorder="1" applyAlignment="1">
      <alignment horizontal="center"/>
    </xf>
    <xf numFmtId="43" fontId="16" fillId="0" borderId="23" xfId="1" applyFont="1" applyBorder="1" applyAlignment="1">
      <alignment horizontal="center" vertical="center" wrapText="1"/>
    </xf>
    <xf numFmtId="43" fontId="15" fillId="0" borderId="28" xfId="1" applyFont="1" applyBorder="1" applyAlignment="1">
      <alignment horizontal="center" vertical="center" wrapText="1"/>
    </xf>
    <xf numFmtId="0" fontId="19" fillId="2" borderId="20" xfId="2" quotePrefix="1" applyNumberFormat="1" applyFont="1" applyFill="1" applyBorder="1" applyAlignment="1">
      <alignment horizontal="left"/>
    </xf>
    <xf numFmtId="0" fontId="17" fillId="3" borderId="20" xfId="3" applyFont="1" applyFill="1" applyBorder="1" applyAlignment="1">
      <alignment horizontal="center"/>
    </xf>
    <xf numFmtId="0" fontId="17" fillId="2" borderId="20" xfId="2" quotePrefix="1" applyNumberFormat="1" applyFont="1" applyFill="1" applyBorder="1" applyAlignment="1">
      <alignment wrapText="1"/>
    </xf>
    <xf numFmtId="0" fontId="17" fillId="2" borderId="20" xfId="2" quotePrefix="1" applyNumberFormat="1" applyFont="1" applyFill="1" applyBorder="1" applyAlignment="1"/>
    <xf numFmtId="0" fontId="17" fillId="2" borderId="21" xfId="2" quotePrefix="1" applyNumberFormat="1" applyFont="1" applyFill="1" applyBorder="1" applyAlignment="1"/>
    <xf numFmtId="49" fontId="16" fillId="0" borderId="19" xfId="0" applyNumberFormat="1" applyFont="1" applyBorder="1" applyAlignment="1">
      <alignment horizontal="center" vertical="center"/>
    </xf>
    <xf numFmtId="0" fontId="16" fillId="0" borderId="20" xfId="0" applyFont="1" applyBorder="1" applyAlignment="1">
      <alignment horizontal="center" vertical="center"/>
    </xf>
    <xf numFmtId="43" fontId="16" fillId="0" borderId="20" xfId="0" applyNumberFormat="1" applyFont="1" applyBorder="1" applyAlignment="1">
      <alignment horizontal="center" vertical="center"/>
    </xf>
    <xf numFmtId="165" fontId="16" fillId="0" borderId="20" xfId="0" applyNumberFormat="1" applyFont="1" applyBorder="1" applyAlignment="1">
      <alignment horizontal="center" vertical="center"/>
    </xf>
    <xf numFmtId="0" fontId="16" fillId="0" borderId="21" xfId="0" applyFont="1" applyBorder="1" applyAlignment="1">
      <alignment horizontal="center" vertical="center"/>
    </xf>
    <xf numFmtId="0" fontId="18" fillId="2" borderId="20" xfId="2" applyNumberFormat="1" applyFont="1" applyFill="1" applyBorder="1" applyAlignment="1">
      <alignment horizontal="justify"/>
    </xf>
    <xf numFmtId="43" fontId="16" fillId="0" borderId="20" xfId="1" applyNumberFormat="1" applyFont="1" applyBorder="1"/>
    <xf numFmtId="165" fontId="16" fillId="0" borderId="20" xfId="1" applyNumberFormat="1" applyFont="1" applyBorder="1"/>
    <xf numFmtId="43" fontId="17" fillId="3" borderId="20" xfId="2" applyNumberFormat="1" applyFont="1" applyFill="1" applyBorder="1" applyAlignment="1">
      <alignment horizontal="center"/>
    </xf>
    <xf numFmtId="43" fontId="18" fillId="2" borderId="20" xfId="2" applyFont="1" applyFill="1" applyBorder="1" applyAlignment="1">
      <alignment horizontal="justify" vertical="top"/>
    </xf>
    <xf numFmtId="43" fontId="17" fillId="3" borderId="20" xfId="1" applyNumberFormat="1" applyFont="1" applyFill="1" applyBorder="1" applyAlignment="1">
      <alignment horizontal="right"/>
    </xf>
    <xf numFmtId="43" fontId="17" fillId="2" borderId="20" xfId="2" applyFont="1" applyFill="1" applyBorder="1" applyAlignment="1">
      <alignment horizontal="justify" vertical="top"/>
    </xf>
    <xf numFmtId="0" fontId="17" fillId="2" borderId="20" xfId="2" applyNumberFormat="1" applyFont="1" applyFill="1" applyBorder="1" applyAlignment="1">
      <alignment horizontal="justify" vertical="top" wrapText="1"/>
    </xf>
    <xf numFmtId="0" fontId="18" fillId="2" borderId="20" xfId="2" applyNumberFormat="1" applyFont="1" applyFill="1" applyBorder="1" applyAlignment="1">
      <alignment horizontal="justify" vertical="top"/>
    </xf>
    <xf numFmtId="0" fontId="17" fillId="2" borderId="20" xfId="2" quotePrefix="1" applyNumberFormat="1" applyFont="1" applyFill="1" applyBorder="1" applyAlignment="1">
      <alignment vertical="justify"/>
    </xf>
    <xf numFmtId="0" fontId="21" fillId="2" borderId="20" xfId="2" quotePrefix="1" applyNumberFormat="1" applyFont="1" applyFill="1" applyBorder="1" applyAlignment="1">
      <alignment horizontal="left" vertical="top"/>
    </xf>
    <xf numFmtId="49" fontId="17" fillId="2" borderId="19" xfId="2" applyNumberFormat="1" applyFont="1" applyFill="1" applyBorder="1" applyAlignment="1">
      <alignment horizontal="center"/>
    </xf>
    <xf numFmtId="0" fontId="17" fillId="2" borderId="20" xfId="2" applyNumberFormat="1" applyFont="1" applyFill="1" applyBorder="1" applyAlignment="1">
      <alignment horizontal="left" wrapText="1"/>
    </xf>
    <xf numFmtId="43" fontId="16" fillId="0" borderId="20" xfId="1" applyFont="1" applyBorder="1" applyAlignment="1"/>
    <xf numFmtId="43" fontId="16" fillId="0" borderId="21" xfId="1" applyFont="1" applyBorder="1" applyAlignment="1"/>
    <xf numFmtId="0" fontId="17" fillId="2" borderId="20" xfId="2" applyNumberFormat="1" applyFont="1" applyFill="1" applyBorder="1" applyAlignment="1">
      <alignment horizontal="left" vertical="top" wrapText="1"/>
    </xf>
    <xf numFmtId="0" fontId="18" fillId="2" borderId="20" xfId="2" applyNumberFormat="1" applyFont="1" applyFill="1" applyBorder="1" applyAlignment="1">
      <alignment horizontal="left" vertical="top" wrapText="1"/>
    </xf>
    <xf numFmtId="0" fontId="17" fillId="2" borderId="20" xfId="2" quotePrefix="1" applyNumberFormat="1" applyFont="1" applyFill="1" applyBorder="1" applyAlignment="1">
      <alignment vertical="top" wrapText="1"/>
    </xf>
    <xf numFmtId="0" fontId="17" fillId="2" borderId="20" xfId="2" quotePrefix="1" applyNumberFormat="1" applyFont="1" applyFill="1" applyBorder="1" applyAlignment="1">
      <alignment vertical="top"/>
    </xf>
    <xf numFmtId="0" fontId="17" fillId="2" borderId="20" xfId="2" applyNumberFormat="1" applyFont="1" applyFill="1" applyBorder="1" applyAlignment="1">
      <alignment vertical="top"/>
    </xf>
    <xf numFmtId="0" fontId="17" fillId="2" borderId="20" xfId="2" applyNumberFormat="1" applyFont="1" applyFill="1" applyBorder="1" applyAlignment="1">
      <alignment horizontal="justify" vertical="top"/>
    </xf>
    <xf numFmtId="0" fontId="17" fillId="2" borderId="20" xfId="2" quotePrefix="1" applyNumberFormat="1" applyFont="1" applyFill="1" applyBorder="1" applyAlignment="1">
      <alignment horizontal="justify" vertical="top"/>
    </xf>
    <xf numFmtId="43" fontId="16" fillId="0" borderId="0" xfId="0" applyNumberFormat="1" applyFont="1" applyAlignment="1">
      <alignment horizontal="center" vertical="center"/>
    </xf>
    <xf numFmtId="43" fontId="17" fillId="2" borderId="25" xfId="2" applyFont="1" applyFill="1" applyBorder="1" applyAlignment="1">
      <alignment horizontal="center"/>
    </xf>
    <xf numFmtId="43" fontId="17" fillId="2" borderId="23" xfId="2" applyFont="1" applyFill="1" applyBorder="1" applyAlignment="1">
      <alignment horizontal="center"/>
    </xf>
    <xf numFmtId="43" fontId="15" fillId="0" borderId="21" xfId="1" applyFont="1" applyBorder="1" applyAlignment="1">
      <alignment horizontal="center" vertical="center" wrapText="1"/>
    </xf>
    <xf numFmtId="0" fontId="18" fillId="2" borderId="20" xfId="2" applyNumberFormat="1" applyFont="1" applyFill="1" applyBorder="1" applyAlignment="1">
      <alignment horizontal="center" vertical="top"/>
    </xf>
    <xf numFmtId="0" fontId="17" fillId="2" borderId="21" xfId="2" quotePrefix="1" applyNumberFormat="1" applyFont="1" applyFill="1" applyBorder="1" applyAlignment="1">
      <alignment vertical="top"/>
    </xf>
    <xf numFmtId="49" fontId="19" fillId="5" borderId="19" xfId="2" applyNumberFormat="1" applyFont="1" applyFill="1" applyBorder="1" applyAlignment="1">
      <alignment horizontal="center" vertical="justify"/>
    </xf>
    <xf numFmtId="0" fontId="18" fillId="5" borderId="20" xfId="2" applyNumberFormat="1" applyFont="1" applyFill="1" applyBorder="1" applyAlignment="1">
      <alignment horizontal="justify" vertical="top"/>
    </xf>
    <xf numFmtId="43" fontId="17" fillId="5" borderId="20" xfId="2" applyNumberFormat="1" applyFont="1" applyFill="1" applyBorder="1" applyAlignment="1">
      <alignment horizontal="center"/>
    </xf>
    <xf numFmtId="43" fontId="17" fillId="5" borderId="20" xfId="1" applyNumberFormat="1" applyFont="1" applyFill="1" applyBorder="1" applyAlignment="1">
      <alignment horizontal="center"/>
    </xf>
    <xf numFmtId="165" fontId="17" fillId="5" borderId="20" xfId="1" applyNumberFormat="1" applyFont="1" applyFill="1" applyBorder="1" applyAlignment="1">
      <alignment horizontal="center"/>
    </xf>
    <xf numFmtId="43" fontId="16" fillId="5" borderId="20" xfId="1" applyFont="1" applyFill="1" applyBorder="1" applyAlignment="1">
      <alignment horizontal="center" vertical="center" wrapText="1"/>
    </xf>
    <xf numFmtId="43" fontId="16" fillId="5" borderId="21" xfId="1" applyFont="1" applyFill="1" applyBorder="1" applyAlignment="1">
      <alignment horizontal="center" vertical="center" wrapText="1"/>
    </xf>
    <xf numFmtId="165" fontId="17" fillId="2" borderId="20" xfId="1" applyNumberFormat="1" applyFont="1" applyFill="1" applyBorder="1" applyAlignment="1">
      <alignment horizontal="center" vertical="top"/>
    </xf>
    <xf numFmtId="43" fontId="16" fillId="0" borderId="20" xfId="1" applyFont="1" applyBorder="1" applyAlignment="1">
      <alignment horizontal="center" vertical="top" wrapText="1"/>
    </xf>
    <xf numFmtId="43" fontId="16" fillId="0" borderId="21" xfId="1" applyFont="1" applyBorder="1" applyAlignment="1">
      <alignment horizontal="center" vertical="top" wrapText="1"/>
    </xf>
    <xf numFmtId="0" fontId="16" fillId="0" borderId="0" xfId="0" applyFont="1" applyAlignment="1">
      <alignment horizontal="center" vertical="top"/>
    </xf>
    <xf numFmtId="49" fontId="17" fillId="5" borderId="19" xfId="2" applyNumberFormat="1" applyFont="1" applyFill="1" applyBorder="1" applyAlignment="1">
      <alignment horizontal="center"/>
    </xf>
    <xf numFmtId="0" fontId="18" fillId="5" borderId="20" xfId="2" applyNumberFormat="1" applyFont="1" applyFill="1" applyBorder="1" applyAlignment="1">
      <alignment horizontal="left" vertical="top"/>
    </xf>
    <xf numFmtId="43" fontId="17" fillId="5" borderId="20" xfId="2" applyFont="1" applyFill="1" applyBorder="1" applyAlignment="1">
      <alignment horizontal="center"/>
    </xf>
    <xf numFmtId="49" fontId="15" fillId="6" borderId="19" xfId="0" applyNumberFormat="1" applyFont="1" applyFill="1" applyBorder="1"/>
    <xf numFmtId="0" fontId="22" fillId="6" borderId="20" xfId="0" applyFont="1" applyFill="1" applyBorder="1" applyAlignment="1">
      <alignment wrapText="1"/>
    </xf>
    <xf numFmtId="0" fontId="15" fillId="6" borderId="20" xfId="0" applyFont="1" applyFill="1" applyBorder="1" applyAlignment="1">
      <alignment horizontal="center"/>
    </xf>
    <xf numFmtId="43" fontId="15" fillId="6" borderId="20" xfId="1" applyNumberFormat="1" applyFont="1" applyFill="1" applyBorder="1"/>
    <xf numFmtId="165" fontId="15" fillId="6" borderId="20" xfId="1" applyNumberFormat="1" applyFont="1" applyFill="1" applyBorder="1"/>
    <xf numFmtId="43" fontId="15" fillId="6" borderId="20" xfId="1" applyFont="1" applyFill="1" applyBorder="1"/>
    <xf numFmtId="43" fontId="15" fillId="6" borderId="21" xfId="1" applyFont="1" applyFill="1" applyBorder="1"/>
    <xf numFmtId="43" fontId="16" fillId="0" borderId="0" xfId="0" applyNumberFormat="1" applyFont="1"/>
    <xf numFmtId="164" fontId="16" fillId="0" borderId="0" xfId="0" applyNumberFormat="1" applyFont="1" applyAlignment="1">
      <alignment horizontal="center" vertical="center"/>
    </xf>
    <xf numFmtId="49" fontId="16" fillId="0" borderId="19" xfId="0" applyNumberFormat="1" applyFont="1" applyBorder="1"/>
    <xf numFmtId="0" fontId="16" fillId="0" borderId="20" xfId="0" applyFont="1" applyBorder="1" applyAlignment="1">
      <alignment wrapText="1"/>
    </xf>
    <xf numFmtId="0" fontId="16" fillId="0" borderId="20" xfId="0" applyFont="1" applyBorder="1" applyAlignment="1">
      <alignment horizontal="center"/>
    </xf>
    <xf numFmtId="49" fontId="15" fillId="0" borderId="19" xfId="0" applyNumberFormat="1" applyFont="1" applyBorder="1"/>
    <xf numFmtId="0" fontId="22" fillId="0" borderId="20" xfId="0" applyFont="1" applyBorder="1" applyAlignment="1">
      <alignment wrapText="1"/>
    </xf>
    <xf numFmtId="0" fontId="15" fillId="0" borderId="20" xfId="0" applyFont="1" applyBorder="1" applyAlignment="1">
      <alignment horizontal="center"/>
    </xf>
    <xf numFmtId="43" fontId="15" fillId="0" borderId="20" xfId="1" applyNumberFormat="1" applyFont="1" applyBorder="1"/>
    <xf numFmtId="165" fontId="15" fillId="0" borderId="20" xfId="1" applyNumberFormat="1" applyFont="1" applyBorder="1"/>
    <xf numFmtId="43" fontId="15" fillId="0" borderId="20" xfId="1" applyFont="1" applyBorder="1"/>
    <xf numFmtId="43" fontId="15" fillId="0" borderId="21" xfId="1" applyFont="1" applyBorder="1"/>
    <xf numFmtId="49" fontId="16" fillId="0" borderId="27" xfId="0" applyNumberFormat="1" applyFont="1" applyBorder="1"/>
    <xf numFmtId="0" fontId="16" fillId="0" borderId="23" xfId="0" applyFont="1" applyBorder="1" applyAlignment="1">
      <alignment wrapText="1"/>
    </xf>
    <xf numFmtId="0" fontId="16" fillId="0" borderId="23" xfId="0" applyFont="1" applyBorder="1" applyAlignment="1">
      <alignment horizontal="center"/>
    </xf>
    <xf numFmtId="43" fontId="16" fillId="0" borderId="23" xfId="1" applyNumberFormat="1" applyFont="1" applyBorder="1"/>
    <xf numFmtId="43" fontId="16" fillId="0" borderId="23" xfId="1" applyFont="1" applyBorder="1"/>
    <xf numFmtId="43" fontId="16" fillId="0" borderId="28" xfId="1" applyFont="1" applyBorder="1"/>
    <xf numFmtId="0" fontId="18" fillId="5" borderId="20" xfId="2" applyNumberFormat="1" applyFont="1" applyFill="1" applyBorder="1" applyAlignment="1">
      <alignment horizontal="center" vertical="top"/>
    </xf>
    <xf numFmtId="43" fontId="19" fillId="5" borderId="21" xfId="1" applyNumberFormat="1" applyFont="1" applyFill="1" applyBorder="1"/>
    <xf numFmtId="0" fontId="17" fillId="2" borderId="21" xfId="2" applyNumberFormat="1" applyFont="1" applyFill="1" applyBorder="1" applyAlignment="1">
      <alignment vertical="top" wrapText="1"/>
    </xf>
    <xf numFmtId="0" fontId="17" fillId="2" borderId="21" xfId="2" applyNumberFormat="1" applyFont="1" applyFill="1" applyBorder="1" applyAlignment="1">
      <alignment wrapText="1"/>
    </xf>
    <xf numFmtId="49" fontId="17" fillId="2" borderId="20" xfId="2" applyNumberFormat="1" applyFont="1" applyFill="1" applyBorder="1" applyAlignment="1">
      <alignment horizontal="center"/>
    </xf>
    <xf numFmtId="0" fontId="16" fillId="6" borderId="20" xfId="0" applyFont="1" applyFill="1" applyBorder="1" applyAlignment="1">
      <alignment horizontal="center"/>
    </xf>
    <xf numFmtId="43" fontId="16" fillId="6" borderId="20" xfId="1" applyNumberFormat="1" applyFont="1" applyFill="1" applyBorder="1"/>
    <xf numFmtId="165" fontId="16" fillId="6" borderId="20" xfId="1" applyNumberFormat="1" applyFont="1" applyFill="1" applyBorder="1"/>
    <xf numFmtId="43" fontId="16" fillId="6" borderId="20" xfId="1" applyFont="1" applyFill="1" applyBorder="1"/>
    <xf numFmtId="43" fontId="16" fillId="6" borderId="21" xfId="1" applyFont="1" applyFill="1" applyBorder="1"/>
    <xf numFmtId="0" fontId="25" fillId="0" borderId="20" xfId="0" applyFont="1" applyBorder="1" applyAlignment="1">
      <alignment wrapText="1"/>
    </xf>
    <xf numFmtId="164" fontId="16" fillId="0" borderId="0" xfId="0" applyNumberFormat="1" applyFont="1"/>
    <xf numFmtId="49" fontId="15" fillId="3" borderId="19" xfId="0" applyNumberFormat="1" applyFont="1" applyFill="1" applyBorder="1"/>
    <xf numFmtId="0" fontId="22" fillId="3" borderId="20" xfId="0" applyFont="1" applyFill="1" applyBorder="1" applyAlignment="1">
      <alignment wrapText="1"/>
    </xf>
    <xf numFmtId="0" fontId="15" fillId="3" borderId="20" xfId="0" applyFont="1" applyFill="1" applyBorder="1" applyAlignment="1">
      <alignment horizontal="center"/>
    </xf>
    <xf numFmtId="43" fontId="15" fillId="3" borderId="20" xfId="1" applyNumberFormat="1" applyFont="1" applyFill="1" applyBorder="1"/>
    <xf numFmtId="165" fontId="15" fillId="3" borderId="20" xfId="1" applyNumberFormat="1" applyFont="1" applyFill="1" applyBorder="1"/>
    <xf numFmtId="0" fontId="16" fillId="3" borderId="0" xfId="0" applyFont="1" applyFill="1"/>
    <xf numFmtId="166" fontId="16" fillId="0" borderId="0" xfId="0" applyNumberFormat="1" applyFont="1"/>
    <xf numFmtId="49" fontId="16" fillId="3" borderId="19" xfId="0" applyNumberFormat="1" applyFont="1" applyFill="1" applyBorder="1"/>
    <xf numFmtId="0" fontId="16" fillId="3" borderId="20" xfId="0" applyFont="1" applyFill="1" applyBorder="1" applyAlignment="1">
      <alignment horizontal="center"/>
    </xf>
    <xf numFmtId="43" fontId="16" fillId="3" borderId="20" xfId="1" applyNumberFormat="1" applyFont="1" applyFill="1" applyBorder="1"/>
    <xf numFmtId="165" fontId="16" fillId="3" borderId="20" xfId="1" applyNumberFormat="1" applyFont="1" applyFill="1" applyBorder="1"/>
    <xf numFmtId="43" fontId="16" fillId="3" borderId="20" xfId="1" applyFont="1" applyFill="1" applyBorder="1"/>
    <xf numFmtId="0" fontId="16" fillId="3" borderId="20" xfId="0" applyFont="1" applyFill="1" applyBorder="1" applyAlignment="1">
      <alignment wrapText="1"/>
    </xf>
    <xf numFmtId="165" fontId="16" fillId="0" borderId="23" xfId="1" applyNumberFormat="1" applyFont="1" applyBorder="1"/>
    <xf numFmtId="165" fontId="16" fillId="3" borderId="23" xfId="1" applyNumberFormat="1" applyFont="1" applyFill="1" applyBorder="1"/>
    <xf numFmtId="43" fontId="16" fillId="3" borderId="23" xfId="1" applyFont="1" applyFill="1" applyBorder="1"/>
    <xf numFmtId="49" fontId="15" fillId="0" borderId="19" xfId="0" applyNumberFormat="1" applyFont="1" applyBorder="1" applyAlignment="1">
      <alignment vertical="top"/>
    </xf>
    <xf numFmtId="49" fontId="16" fillId="0" borderId="19" xfId="0" applyNumberFormat="1" applyFont="1" applyBorder="1" applyAlignment="1">
      <alignment vertical="top"/>
    </xf>
    <xf numFmtId="0" fontId="17" fillId="3" borderId="20" xfId="3" applyFont="1" applyFill="1" applyBorder="1" applyAlignment="1">
      <alignment horizontal="left" wrapText="1"/>
    </xf>
    <xf numFmtId="43" fontId="17" fillId="3" borderId="20" xfId="1" applyFont="1" applyFill="1" applyBorder="1" applyAlignment="1">
      <alignment horizontal="center"/>
    </xf>
    <xf numFmtId="0" fontId="15" fillId="0" borderId="20" xfId="0" applyFont="1" applyBorder="1" applyAlignment="1">
      <alignment wrapText="1"/>
    </xf>
    <xf numFmtId="43" fontId="16" fillId="0" borderId="25" xfId="1" applyFont="1" applyBorder="1"/>
    <xf numFmtId="43" fontId="16" fillId="0" borderId="26" xfId="1" applyFont="1" applyBorder="1"/>
    <xf numFmtId="43" fontId="15" fillId="0" borderId="28" xfId="1" applyFont="1" applyBorder="1"/>
    <xf numFmtId="49" fontId="19" fillId="2" borderId="19" xfId="2" applyNumberFormat="1" applyFont="1" applyFill="1" applyBorder="1" applyAlignment="1">
      <alignment horizontal="center" vertical="justify"/>
    </xf>
    <xf numFmtId="0" fontId="17" fillId="2" borderId="20" xfId="2" applyNumberFormat="1" applyFont="1" applyFill="1" applyBorder="1" applyAlignment="1"/>
    <xf numFmtId="0" fontId="17" fillId="2" borderId="21" xfId="2" applyNumberFormat="1" applyFont="1" applyFill="1" applyBorder="1" applyAlignment="1"/>
    <xf numFmtId="0" fontId="22" fillId="0" borderId="20" xfId="0" applyFont="1" applyBorder="1"/>
    <xf numFmtId="0" fontId="22" fillId="6" borderId="20" xfId="0" applyFont="1" applyFill="1" applyBorder="1"/>
    <xf numFmtId="0" fontId="15" fillId="0" borderId="20" xfId="0" applyFont="1" applyBorder="1"/>
    <xf numFmtId="0" fontId="16" fillId="0" borderId="20" xfId="0" applyFont="1" applyBorder="1"/>
    <xf numFmtId="0" fontId="18" fillId="5" borderId="20" xfId="2" applyNumberFormat="1" applyFont="1" applyFill="1" applyBorder="1" applyAlignment="1">
      <alignment horizontal="center"/>
    </xf>
    <xf numFmtId="43" fontId="19" fillId="5" borderId="21" xfId="2" applyFont="1" applyFill="1" applyBorder="1"/>
    <xf numFmtId="43" fontId="15" fillId="0" borderId="20" xfId="1" applyFont="1" applyBorder="1" applyAlignment="1"/>
    <xf numFmtId="0" fontId="16" fillId="0" borderId="0" xfId="0" applyFont="1" applyAlignment="1"/>
    <xf numFmtId="49" fontId="19" fillId="3" borderId="19" xfId="2" applyNumberFormat="1" applyFont="1" applyFill="1" applyBorder="1" applyAlignment="1">
      <alignment horizontal="center" vertical="justify"/>
    </xf>
    <xf numFmtId="0" fontId="18" fillId="3" borderId="20" xfId="2" quotePrefix="1" applyNumberFormat="1" applyFont="1" applyFill="1" applyBorder="1" applyAlignment="1">
      <alignment horizontal="center"/>
    </xf>
    <xf numFmtId="43" fontId="19" fillId="3" borderId="20" xfId="2" applyFont="1" applyFill="1" applyBorder="1" applyAlignment="1">
      <alignment horizontal="center"/>
    </xf>
    <xf numFmtId="165" fontId="17" fillId="3" borderId="20" xfId="1" applyNumberFormat="1" applyFont="1" applyFill="1" applyBorder="1" applyAlignment="1">
      <alignment horizontal="center"/>
    </xf>
    <xf numFmtId="0" fontId="18" fillId="3" borderId="20" xfId="2" applyNumberFormat="1" applyFont="1" applyFill="1" applyBorder="1" applyAlignment="1">
      <alignment horizontal="center"/>
    </xf>
    <xf numFmtId="49" fontId="19" fillId="10" borderId="19" xfId="2" applyNumberFormat="1" applyFont="1" applyFill="1" applyBorder="1" applyAlignment="1">
      <alignment horizontal="center"/>
    </xf>
    <xf numFmtId="0" fontId="18" fillId="10" borderId="20" xfId="2" applyNumberFormat="1" applyFont="1" applyFill="1" applyBorder="1" applyAlignment="1">
      <alignment horizontal="left" wrapText="1"/>
    </xf>
    <xf numFmtId="43" fontId="19" fillId="10" borderId="20" xfId="2" applyFont="1" applyFill="1" applyBorder="1" applyAlignment="1">
      <alignment horizontal="center"/>
    </xf>
    <xf numFmtId="43" fontId="19" fillId="10" borderId="20" xfId="1" applyNumberFormat="1" applyFont="1" applyFill="1" applyBorder="1" applyAlignment="1">
      <alignment horizontal="center"/>
    </xf>
    <xf numFmtId="165" fontId="17" fillId="10" borderId="20" xfId="1" applyNumberFormat="1" applyFont="1" applyFill="1" applyBorder="1" applyAlignment="1">
      <alignment horizontal="center"/>
    </xf>
    <xf numFmtId="43" fontId="16" fillId="10" borderId="20" xfId="1" applyFont="1" applyFill="1" applyBorder="1"/>
    <xf numFmtId="43" fontId="16" fillId="10" borderId="21" xfId="1" applyFont="1" applyFill="1" applyBorder="1"/>
    <xf numFmtId="43" fontId="16" fillId="3" borderId="21" xfId="1" applyFont="1" applyFill="1" applyBorder="1"/>
    <xf numFmtId="43" fontId="17" fillId="10" borderId="20" xfId="2" applyFont="1" applyFill="1" applyBorder="1" applyAlignment="1">
      <alignment horizontal="center"/>
    </xf>
    <xf numFmtId="43" fontId="17" fillId="10" borderId="20" xfId="1" applyNumberFormat="1" applyFont="1" applyFill="1" applyBorder="1" applyAlignment="1">
      <alignment horizontal="center"/>
    </xf>
    <xf numFmtId="49" fontId="19" fillId="2" borderId="19" xfId="2" applyNumberFormat="1" applyFont="1" applyFill="1" applyBorder="1" applyAlignment="1">
      <alignment horizontal="center"/>
    </xf>
    <xf numFmtId="165" fontId="17" fillId="6" borderId="20" xfId="1" applyNumberFormat="1" applyFont="1" applyFill="1" applyBorder="1" applyAlignment="1">
      <alignment horizontal="center"/>
    </xf>
    <xf numFmtId="0" fontId="17" fillId="2" borderId="1" xfId="2" applyNumberFormat="1" applyFont="1" applyFill="1" applyBorder="1" applyAlignment="1">
      <alignment horizontal="left" wrapText="1"/>
    </xf>
    <xf numFmtId="0" fontId="16" fillId="0" borderId="1" xfId="0" applyFont="1" applyBorder="1" applyAlignment="1">
      <alignment horizontal="center"/>
    </xf>
    <xf numFmtId="43" fontId="17" fillId="3" borderId="1" xfId="1" applyNumberFormat="1" applyFont="1" applyFill="1" applyBorder="1" applyAlignment="1">
      <alignment horizontal="center"/>
    </xf>
    <xf numFmtId="49" fontId="19" fillId="5" borderId="19" xfId="2" applyNumberFormat="1" applyFont="1" applyFill="1" applyBorder="1" applyAlignment="1">
      <alignment horizontal="center"/>
    </xf>
    <xf numFmtId="0" fontId="18" fillId="5" borderId="20" xfId="2" applyNumberFormat="1" applyFont="1" applyFill="1" applyBorder="1" applyAlignment="1">
      <alignment horizontal="left" wrapText="1"/>
    </xf>
    <xf numFmtId="43" fontId="16" fillId="5" borderId="20" xfId="1" applyFont="1" applyFill="1" applyBorder="1"/>
    <xf numFmtId="43" fontId="16" fillId="5" borderId="21" xfId="1" applyFont="1" applyFill="1" applyBorder="1"/>
    <xf numFmtId="49" fontId="19" fillId="3" borderId="19" xfId="2" applyNumberFormat="1" applyFont="1" applyFill="1" applyBorder="1" applyAlignment="1">
      <alignment horizontal="center"/>
    </xf>
    <xf numFmtId="0" fontId="17" fillId="3" borderId="20" xfId="2" applyNumberFormat="1" applyFont="1" applyFill="1" applyBorder="1" applyAlignment="1">
      <alignment horizontal="left" wrapText="1"/>
    </xf>
    <xf numFmtId="49" fontId="17" fillId="3" borderId="19" xfId="2" applyNumberFormat="1" applyFont="1" applyFill="1" applyBorder="1" applyAlignment="1">
      <alignment horizontal="center" vertical="top"/>
    </xf>
    <xf numFmtId="49" fontId="19" fillId="6" borderId="19" xfId="2" applyNumberFormat="1" applyFont="1" applyFill="1" applyBorder="1" applyAlignment="1">
      <alignment horizontal="center" vertical="justify"/>
    </xf>
    <xf numFmtId="0" fontId="18" fillId="6" borderId="20" xfId="2" applyNumberFormat="1" applyFont="1" applyFill="1" applyBorder="1" applyAlignment="1">
      <alignment horizontal="left" vertical="top"/>
    </xf>
    <xf numFmtId="43" fontId="17" fillId="6" borderId="20" xfId="2" applyFont="1" applyFill="1" applyBorder="1" applyAlignment="1">
      <alignment horizontal="center"/>
    </xf>
    <xf numFmtId="43" fontId="17" fillId="6" borderId="20" xfId="1" applyNumberFormat="1" applyFont="1" applyFill="1" applyBorder="1" applyAlignment="1">
      <alignment horizontal="center"/>
    </xf>
    <xf numFmtId="49" fontId="19" fillId="8" borderId="19" xfId="2" applyNumberFormat="1" applyFont="1" applyFill="1" applyBorder="1" applyAlignment="1">
      <alignment horizontal="center" vertical="justify"/>
    </xf>
    <xf numFmtId="0" fontId="18" fillId="8" borderId="20" xfId="2" applyNumberFormat="1" applyFont="1" applyFill="1" applyBorder="1" applyAlignment="1">
      <alignment horizontal="left" vertical="top"/>
    </xf>
    <xf numFmtId="43" fontId="17" fillId="8" borderId="20" xfId="2" applyFont="1" applyFill="1" applyBorder="1" applyAlignment="1">
      <alignment horizontal="center"/>
    </xf>
    <xf numFmtId="43" fontId="17" fillId="8" borderId="20" xfId="1" applyNumberFormat="1" applyFont="1" applyFill="1" applyBorder="1" applyAlignment="1">
      <alignment horizontal="center"/>
    </xf>
    <xf numFmtId="165" fontId="17" fillId="8" borderId="20" xfId="1" applyNumberFormat="1" applyFont="1" applyFill="1" applyBorder="1" applyAlignment="1">
      <alignment horizontal="center"/>
    </xf>
    <xf numFmtId="43" fontId="16" fillId="8" borderId="20" xfId="1" applyFont="1" applyFill="1" applyBorder="1"/>
    <xf numFmtId="43" fontId="16" fillId="8" borderId="21" xfId="1" applyFont="1" applyFill="1" applyBorder="1"/>
    <xf numFmtId="0" fontId="17" fillId="0" borderId="20" xfId="3" applyFont="1" applyBorder="1" applyAlignment="1">
      <alignment horizontal="left" wrapText="1"/>
    </xf>
    <xf numFmtId="0" fontId="17" fillId="0" borderId="20" xfId="3" applyFont="1" applyFill="1" applyBorder="1" applyAlignment="1">
      <alignment horizontal="center"/>
    </xf>
    <xf numFmtId="164" fontId="16" fillId="0" borderId="0" xfId="0" applyNumberFormat="1" applyFont="1" applyAlignment="1"/>
    <xf numFmtId="43" fontId="16" fillId="0" borderId="0" xfId="0" applyNumberFormat="1" applyFont="1" applyAlignment="1"/>
    <xf numFmtId="49" fontId="19" fillId="2" borderId="24" xfId="2" applyNumberFormat="1" applyFont="1" applyFill="1" applyBorder="1" applyAlignment="1">
      <alignment horizontal="center" vertical="justify"/>
    </xf>
    <xf numFmtId="43" fontId="19" fillId="2" borderId="25" xfId="2" applyFont="1" applyFill="1" applyBorder="1" applyAlignment="1">
      <alignment horizontal="center"/>
    </xf>
    <xf numFmtId="43" fontId="19" fillId="3" borderId="25" xfId="1" applyNumberFormat="1" applyFont="1" applyFill="1" applyBorder="1" applyAlignment="1">
      <alignment horizontal="center"/>
    </xf>
    <xf numFmtId="49" fontId="19" fillId="2" borderId="27" xfId="2" applyNumberFormat="1" applyFont="1" applyFill="1" applyBorder="1" applyAlignment="1">
      <alignment horizontal="center" vertical="justify"/>
    </xf>
    <xf numFmtId="43" fontId="19" fillId="2" borderId="23" xfId="2" applyFont="1" applyFill="1" applyBorder="1" applyAlignment="1">
      <alignment horizontal="center"/>
    </xf>
    <xf numFmtId="43" fontId="19" fillId="3" borderId="23" xfId="1" applyNumberFormat="1" applyFont="1" applyFill="1" applyBorder="1" applyAlignment="1">
      <alignment horizontal="center"/>
    </xf>
    <xf numFmtId="0" fontId="17" fillId="7" borderId="20" xfId="1" applyNumberFormat="1" applyFont="1" applyFill="1" applyBorder="1" applyAlignment="1">
      <alignment vertical="center" wrapText="1"/>
    </xf>
    <xf numFmtId="0" fontId="17" fillId="7" borderId="20" xfId="1" applyNumberFormat="1" applyFont="1" applyFill="1" applyBorder="1" applyAlignment="1">
      <alignment vertical="center"/>
    </xf>
    <xf numFmtId="0" fontId="17" fillId="7" borderId="21" xfId="1" applyNumberFormat="1" applyFont="1" applyFill="1" applyBorder="1" applyAlignment="1">
      <alignment vertical="center"/>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2" borderId="20" xfId="3" applyNumberFormat="1" applyFont="1" applyFill="1" applyBorder="1" applyAlignment="1">
      <alignment wrapText="1"/>
    </xf>
    <xf numFmtId="0" fontId="17" fillId="2" borderId="21" xfId="3" applyNumberFormat="1" applyFont="1" applyFill="1" applyBorder="1" applyAlignment="1">
      <alignment wrapText="1"/>
    </xf>
    <xf numFmtId="0" fontId="18" fillId="5" borderId="20" xfId="2" applyNumberFormat="1" applyFont="1" applyFill="1" applyBorder="1" applyAlignment="1">
      <alignment horizontal="left"/>
    </xf>
    <xf numFmtId="0" fontId="19" fillId="6" borderId="20" xfId="3" applyFont="1" applyFill="1" applyBorder="1" applyAlignment="1">
      <alignment horizontal="center"/>
    </xf>
    <xf numFmtId="43" fontId="19" fillId="6" borderId="20" xfId="1" applyNumberFormat="1" applyFont="1" applyFill="1" applyBorder="1" applyAlignment="1">
      <alignment horizontal="center"/>
    </xf>
    <xf numFmtId="165" fontId="19" fillId="6" borderId="20" xfId="1" applyNumberFormat="1" applyFont="1" applyFill="1" applyBorder="1" applyAlignment="1">
      <alignment horizontal="center"/>
    </xf>
    <xf numFmtId="0" fontId="17" fillId="3" borderId="20" xfId="2" applyNumberFormat="1" applyFont="1" applyFill="1" applyBorder="1" applyAlignment="1">
      <alignment horizontal="justify"/>
    </xf>
    <xf numFmtId="0" fontId="16" fillId="0" borderId="1" xfId="0" applyFont="1" applyBorder="1"/>
    <xf numFmtId="43" fontId="16" fillId="0" borderId="1" xfId="1" applyNumberFormat="1" applyFont="1" applyBorder="1"/>
    <xf numFmtId="0" fontId="17" fillId="2" borderId="21" xfId="2" applyNumberFormat="1" applyFont="1" applyFill="1" applyBorder="1" applyAlignment="1">
      <alignment vertical="top"/>
    </xf>
    <xf numFmtId="0" fontId="16" fillId="0" borderId="0" xfId="0" applyFont="1" applyAlignment="1">
      <alignment vertical="top"/>
    </xf>
    <xf numFmtId="43" fontId="15" fillId="0" borderId="1" xfId="1" applyNumberFormat="1" applyFont="1" applyBorder="1"/>
    <xf numFmtId="0" fontId="22" fillId="6" borderId="1" xfId="0" applyFont="1" applyFill="1" applyBorder="1"/>
    <xf numFmtId="43" fontId="15" fillId="6" borderId="1" xfId="1" applyNumberFormat="1" applyFont="1" applyFill="1" applyBorder="1"/>
    <xf numFmtId="0" fontId="17" fillId="2" borderId="20" xfId="3" applyFont="1" applyFill="1" applyBorder="1" applyAlignment="1">
      <alignment horizontal="left" wrapText="1"/>
    </xf>
    <xf numFmtId="0" fontId="17" fillId="0" borderId="20" xfId="3" applyFont="1" applyBorder="1" applyAlignment="1">
      <alignment horizontal="center"/>
    </xf>
    <xf numFmtId="43" fontId="16" fillId="0" borderId="0" xfId="1" applyNumberFormat="1" applyFont="1" applyBorder="1"/>
    <xf numFmtId="0" fontId="18" fillId="6" borderId="20" xfId="2" applyNumberFormat="1" applyFont="1" applyFill="1" applyBorder="1" applyAlignment="1">
      <alignment horizontal="left"/>
    </xf>
    <xf numFmtId="0" fontId="17" fillId="6" borderId="20" xfId="2" applyNumberFormat="1" applyFont="1" applyFill="1" applyBorder="1" applyAlignment="1">
      <alignment horizontal="center"/>
    </xf>
    <xf numFmtId="43" fontId="17" fillId="6" borderId="21" xfId="2" applyFont="1" applyFill="1" applyBorder="1"/>
    <xf numFmtId="49" fontId="19" fillId="2" borderId="19" xfId="3" applyNumberFormat="1" applyFont="1" applyFill="1" applyBorder="1" applyAlignment="1">
      <alignment horizontal="center"/>
    </xf>
    <xf numFmtId="0" fontId="18" fillId="0" borderId="20" xfId="3" applyFont="1" applyFill="1" applyBorder="1" applyAlignment="1">
      <alignment horizontal="left" wrapText="1"/>
    </xf>
    <xf numFmtId="0" fontId="26" fillId="0" borderId="20" xfId="3" applyFont="1" applyFill="1" applyBorder="1" applyAlignment="1">
      <alignment horizontal="center"/>
    </xf>
    <xf numFmtId="43" fontId="26" fillId="3" borderId="20" xfId="1" applyNumberFormat="1" applyFont="1" applyFill="1" applyBorder="1" applyAlignment="1">
      <alignment horizontal="center"/>
    </xf>
    <xf numFmtId="165" fontId="19" fillId="2" borderId="20" xfId="1" applyNumberFormat="1" applyFont="1" applyFill="1" applyBorder="1" applyAlignment="1">
      <alignment horizontal="center"/>
    </xf>
    <xf numFmtId="49" fontId="19" fillId="6" borderId="19" xfId="1" applyNumberFormat="1" applyFont="1" applyFill="1" applyBorder="1" applyAlignment="1">
      <alignment horizontal="left" vertical="justify"/>
    </xf>
    <xf numFmtId="0" fontId="18" fillId="6" borderId="20" xfId="2" applyNumberFormat="1" applyFont="1" applyFill="1" applyBorder="1" applyAlignment="1">
      <alignment horizontal="justify"/>
    </xf>
    <xf numFmtId="43" fontId="19" fillId="6" borderId="20" xfId="2" applyFont="1" applyFill="1" applyBorder="1" applyAlignment="1">
      <alignment horizontal="center"/>
    </xf>
    <xf numFmtId="43" fontId="19" fillId="6" borderId="20" xfId="1" applyFont="1" applyFill="1" applyBorder="1" applyAlignment="1">
      <alignment horizontal="center"/>
    </xf>
    <xf numFmtId="49" fontId="19" fillId="10" borderId="19" xfId="1" applyNumberFormat="1" applyFont="1" applyFill="1" applyBorder="1" applyAlignment="1">
      <alignment horizontal="left" vertical="justify"/>
    </xf>
    <xf numFmtId="43" fontId="17" fillId="10" borderId="20" xfId="1" applyFont="1" applyFill="1" applyBorder="1" applyAlignment="1">
      <alignment horizontal="center"/>
    </xf>
    <xf numFmtId="49" fontId="17" fillId="3" borderId="19" xfId="1" applyNumberFormat="1" applyFont="1" applyFill="1" applyBorder="1" applyAlignment="1">
      <alignment horizontal="left" vertical="justify"/>
    </xf>
    <xf numFmtId="0" fontId="18" fillId="10" borderId="20" xfId="3" applyFont="1" applyFill="1" applyBorder="1" applyAlignment="1">
      <alignment horizontal="left" wrapText="1"/>
    </xf>
    <xf numFmtId="0" fontId="19" fillId="10" borderId="20" xfId="3" applyFont="1" applyFill="1" applyBorder="1" applyAlignment="1">
      <alignment horizontal="center"/>
    </xf>
    <xf numFmtId="49" fontId="19" fillId="2" borderId="19" xfId="2" applyNumberFormat="1" applyFont="1" applyFill="1" applyBorder="1" applyAlignment="1">
      <alignment horizontal="left" vertical="justify"/>
    </xf>
    <xf numFmtId="43" fontId="17" fillId="2" borderId="20" xfId="1" applyNumberFormat="1" applyFont="1" applyFill="1" applyBorder="1" applyAlignment="1">
      <alignment horizontal="center"/>
    </xf>
    <xf numFmtId="49" fontId="17" fillId="2" borderId="19" xfId="2" applyNumberFormat="1" applyFont="1" applyFill="1" applyBorder="1" applyAlignment="1">
      <alignment horizontal="left" vertical="justify"/>
    </xf>
    <xf numFmtId="49" fontId="17" fillId="2" borderId="19" xfId="2" applyNumberFormat="1" applyFont="1" applyFill="1" applyBorder="1" applyAlignment="1">
      <alignment horizontal="left"/>
    </xf>
    <xf numFmtId="0" fontId="19" fillId="2" borderId="20" xfId="2" applyNumberFormat="1" applyFont="1" applyFill="1" applyBorder="1" applyAlignment="1">
      <alignment wrapText="1"/>
    </xf>
    <xf numFmtId="49" fontId="19" fillId="9" borderId="19" xfId="1" applyNumberFormat="1" applyFont="1" applyFill="1" applyBorder="1" applyAlignment="1">
      <alignment horizontal="left" vertical="justify"/>
    </xf>
    <xf numFmtId="0" fontId="18" fillId="9" borderId="20" xfId="2" applyNumberFormat="1" applyFont="1" applyFill="1" applyBorder="1" applyAlignment="1">
      <alignment horizontal="justify"/>
    </xf>
    <xf numFmtId="43" fontId="19" fillId="9" borderId="20" xfId="2" applyFont="1" applyFill="1" applyBorder="1" applyAlignment="1">
      <alignment horizontal="center"/>
    </xf>
    <xf numFmtId="43" fontId="19" fillId="9" borderId="20" xfId="1" applyFont="1" applyFill="1" applyBorder="1" applyAlignment="1">
      <alignment horizontal="center"/>
    </xf>
    <xf numFmtId="165" fontId="19" fillId="9" borderId="20" xfId="1" applyNumberFormat="1" applyFont="1" applyFill="1" applyBorder="1" applyAlignment="1">
      <alignment horizontal="center"/>
    </xf>
    <xf numFmtId="43" fontId="16" fillId="9" borderId="20" xfId="1" applyFont="1" applyFill="1" applyBorder="1"/>
    <xf numFmtId="43" fontId="16" fillId="9" borderId="21" xfId="1" applyFont="1" applyFill="1" applyBorder="1"/>
    <xf numFmtId="43" fontId="17" fillId="3" borderId="20" xfId="1" applyNumberFormat="1" applyFont="1" applyFill="1" applyBorder="1" applyAlignment="1"/>
    <xf numFmtId="43" fontId="15" fillId="3" borderId="21" xfId="1" applyFont="1" applyFill="1" applyBorder="1" applyAlignment="1"/>
    <xf numFmtId="43" fontId="15" fillId="3" borderId="21" xfId="1" applyFont="1" applyFill="1" applyBorder="1"/>
    <xf numFmtId="43" fontId="17" fillId="3" borderId="23" xfId="1" applyNumberFormat="1" applyFont="1" applyFill="1" applyBorder="1" applyAlignment="1"/>
    <xf numFmtId="43" fontId="15" fillId="3" borderId="28" xfId="1" applyFont="1" applyFill="1" applyBorder="1"/>
    <xf numFmtId="0" fontId="16" fillId="0" borderId="25" xfId="0" applyFont="1" applyBorder="1" applyAlignment="1">
      <alignment horizontal="center"/>
    </xf>
    <xf numFmtId="43" fontId="16" fillId="0" borderId="25" xfId="1" applyNumberFormat="1" applyFont="1" applyBorder="1"/>
    <xf numFmtId="165" fontId="16" fillId="0" borderId="25" xfId="1" applyNumberFormat="1" applyFont="1" applyBorder="1"/>
    <xf numFmtId="165" fontId="17" fillId="2" borderId="19" xfId="1" applyNumberFormat="1" applyFont="1" applyFill="1" applyBorder="1" applyAlignment="1">
      <alignment horizontal="left" vertical="justify"/>
    </xf>
    <xf numFmtId="165" fontId="19" fillId="5" borderId="19" xfId="1" applyNumberFormat="1" applyFont="1" applyFill="1" applyBorder="1" applyAlignment="1">
      <alignment horizontal="left" vertical="justify"/>
    </xf>
    <xf numFmtId="0" fontId="17" fillId="5" borderId="20" xfId="3" applyFont="1" applyFill="1" applyBorder="1" applyAlignment="1">
      <alignment horizontal="center"/>
    </xf>
    <xf numFmtId="43" fontId="17" fillId="5" borderId="20" xfId="1" applyFont="1" applyFill="1" applyBorder="1" applyAlignment="1">
      <alignment horizontal="center"/>
    </xf>
    <xf numFmtId="165" fontId="17" fillId="2" borderId="24" xfId="1" applyNumberFormat="1" applyFont="1" applyFill="1" applyBorder="1" applyAlignment="1">
      <alignment horizontal="left" vertical="justify"/>
    </xf>
    <xf numFmtId="165" fontId="17" fillId="2" borderId="27" xfId="1" applyNumberFormat="1" applyFont="1" applyFill="1" applyBorder="1" applyAlignment="1">
      <alignment horizontal="left" vertical="justify"/>
    </xf>
    <xf numFmtId="165" fontId="17" fillId="5" borderId="19" xfId="1" applyNumberFormat="1" applyFont="1" applyFill="1" applyBorder="1" applyAlignment="1">
      <alignment horizontal="left" vertical="justify"/>
    </xf>
    <xf numFmtId="165" fontId="17" fillId="3" borderId="19" xfId="1" applyNumberFormat="1" applyFont="1" applyFill="1" applyBorder="1" applyAlignment="1">
      <alignment horizontal="left" vertical="justify"/>
    </xf>
    <xf numFmtId="0" fontId="18" fillId="3" borderId="20" xfId="2" applyNumberFormat="1" applyFont="1" applyFill="1" applyBorder="1" applyAlignment="1">
      <alignment horizontal="left"/>
    </xf>
    <xf numFmtId="49" fontId="17" fillId="3" borderId="19" xfId="0" applyNumberFormat="1" applyFont="1" applyFill="1" applyBorder="1" applyAlignment="1">
      <alignment horizontal="center" vertical="center"/>
    </xf>
    <xf numFmtId="0" fontId="18" fillId="3" borderId="20" xfId="0" applyFont="1" applyFill="1" applyBorder="1" applyAlignment="1">
      <alignment vertical="center" wrapText="1"/>
    </xf>
    <xf numFmtId="0" fontId="17" fillId="3" borderId="20" xfId="0" applyFont="1" applyFill="1" applyBorder="1" applyAlignment="1">
      <alignment horizontal="center" vertical="center"/>
    </xf>
    <xf numFmtId="43" fontId="17" fillId="3" borderId="20" xfId="0" applyNumberFormat="1" applyFont="1" applyFill="1" applyBorder="1" applyAlignment="1">
      <alignment horizontal="center" vertical="center"/>
    </xf>
    <xf numFmtId="49" fontId="17" fillId="6" borderId="19" xfId="0" applyNumberFormat="1" applyFont="1" applyFill="1" applyBorder="1" applyAlignment="1">
      <alignment horizontal="center" vertical="center"/>
    </xf>
    <xf numFmtId="0" fontId="18" fillId="6" borderId="20" xfId="0" applyFont="1" applyFill="1" applyBorder="1" applyAlignment="1">
      <alignment vertical="center" wrapText="1"/>
    </xf>
    <xf numFmtId="0" fontId="17" fillId="6" borderId="20" xfId="0" applyFont="1" applyFill="1" applyBorder="1" applyAlignment="1">
      <alignment horizontal="center" vertical="center"/>
    </xf>
    <xf numFmtId="43" fontId="17" fillId="6" borderId="20" xfId="0" applyNumberFormat="1" applyFont="1" applyFill="1" applyBorder="1" applyAlignment="1">
      <alignment horizontal="center" vertical="center"/>
    </xf>
    <xf numFmtId="0" fontId="17" fillId="3" borderId="20" xfId="0" applyFont="1" applyFill="1" applyBorder="1" applyAlignment="1">
      <alignment vertical="center" wrapText="1"/>
    </xf>
    <xf numFmtId="0" fontId="21" fillId="3" borderId="20" xfId="0" applyFont="1" applyFill="1" applyBorder="1" applyAlignment="1">
      <alignment vertical="center" wrapText="1"/>
    </xf>
    <xf numFmtId="0" fontId="17" fillId="3" borderId="23" xfId="0" applyFont="1" applyFill="1" applyBorder="1" applyAlignment="1">
      <alignment horizontal="center" vertical="center"/>
    </xf>
    <xf numFmtId="43" fontId="17" fillId="3" borderId="23" xfId="0" applyNumberFormat="1" applyFont="1" applyFill="1" applyBorder="1" applyAlignment="1">
      <alignment horizontal="center" vertical="center"/>
    </xf>
    <xf numFmtId="49" fontId="19" fillId="3" borderId="19" xfId="0" applyNumberFormat="1" applyFont="1" applyFill="1" applyBorder="1" applyAlignment="1">
      <alignment horizontal="center" vertical="top"/>
    </xf>
    <xf numFmtId="0" fontId="18" fillId="3" borderId="20" xfId="0" applyFont="1" applyFill="1" applyBorder="1" applyAlignment="1">
      <alignment vertical="justify" wrapText="1"/>
    </xf>
    <xf numFmtId="49" fontId="17" fillId="3" borderId="19" xfId="0" applyNumberFormat="1" applyFont="1" applyFill="1" applyBorder="1" applyAlignment="1">
      <alignment horizontal="center" vertical="top"/>
    </xf>
    <xf numFmtId="0" fontId="17" fillId="3" borderId="20" xfId="0" applyFont="1" applyFill="1" applyBorder="1" applyAlignment="1">
      <alignment wrapText="1"/>
    </xf>
    <xf numFmtId="0" fontId="17" fillId="3" borderId="20" xfId="0" applyFont="1" applyFill="1" applyBorder="1" applyAlignment="1">
      <alignment horizontal="center"/>
    </xf>
    <xf numFmtId="43" fontId="17" fillId="3" borderId="20" xfId="0" applyNumberFormat="1" applyFont="1" applyFill="1" applyBorder="1" applyAlignment="1">
      <alignment horizontal="center"/>
    </xf>
    <xf numFmtId="0" fontId="17" fillId="3" borderId="20" xfId="0" applyFont="1" applyFill="1" applyBorder="1" applyAlignment="1">
      <alignment vertical="justify" wrapText="1"/>
    </xf>
    <xf numFmtId="0" fontId="19" fillId="3" borderId="20" xfId="0" applyFont="1" applyFill="1" applyBorder="1" applyAlignment="1">
      <alignment horizontal="center" vertical="center"/>
    </xf>
    <xf numFmtId="43" fontId="19" fillId="3" borderId="20" xfId="0" applyNumberFormat="1" applyFont="1" applyFill="1" applyBorder="1" applyAlignment="1">
      <alignment horizontal="center" vertical="center"/>
    </xf>
    <xf numFmtId="0" fontId="17" fillId="3" borderId="20" xfId="0" applyFont="1" applyFill="1" applyBorder="1" applyAlignment="1">
      <alignment vertical="top" wrapText="1"/>
    </xf>
    <xf numFmtId="168" fontId="2" fillId="11" borderId="19" xfId="4" applyNumberFormat="1" applyFont="1" applyFill="1" applyBorder="1" applyAlignment="1" applyProtection="1">
      <alignment horizontal="left" wrapText="1"/>
    </xf>
    <xf numFmtId="167" fontId="28" fillId="11" borderId="20" xfId="4" applyFont="1" applyFill="1" applyBorder="1" applyAlignment="1" applyProtection="1">
      <alignment horizontal="justify" wrapText="1"/>
    </xf>
    <xf numFmtId="43" fontId="29" fillId="0" borderId="20" xfId="1" applyFont="1" applyFill="1" applyBorder="1" applyAlignment="1" applyProtection="1">
      <alignment horizontal="center"/>
    </xf>
    <xf numFmtId="0" fontId="29" fillId="0" borderId="20" xfId="5" applyFont="1" applyFill="1" applyBorder="1" applyAlignment="1">
      <alignment horizontal="center"/>
    </xf>
    <xf numFmtId="167" fontId="31" fillId="0" borderId="20" xfId="6" applyNumberFormat="1" applyFont="1" applyFill="1" applyBorder="1" applyAlignment="1" applyProtection="1">
      <alignment horizontal="right"/>
    </xf>
    <xf numFmtId="43" fontId="30" fillId="0" borderId="21" xfId="1" applyFont="1" applyBorder="1"/>
    <xf numFmtId="170" fontId="17" fillId="0" borderId="19" xfId="4" applyNumberFormat="1" applyFont="1" applyFill="1" applyBorder="1" applyAlignment="1" applyProtection="1">
      <alignment horizontal="left" wrapText="1"/>
    </xf>
    <xf numFmtId="167" fontId="16" fillId="11" borderId="20" xfId="4" applyFont="1" applyFill="1" applyBorder="1" applyAlignment="1" applyProtection="1">
      <alignment horizontal="left" wrapText="1"/>
    </xf>
    <xf numFmtId="43" fontId="16" fillId="0" borderId="20" xfId="1" applyFont="1" applyFill="1" applyBorder="1" applyAlignment="1" applyProtection="1">
      <alignment horizontal="center"/>
    </xf>
    <xf numFmtId="167" fontId="16" fillId="0" borderId="20" xfId="6" applyNumberFormat="1" applyFont="1" applyFill="1" applyBorder="1" applyAlignment="1" applyProtection="1">
      <alignment horizontal="right"/>
    </xf>
    <xf numFmtId="0" fontId="18" fillId="2" borderId="20" xfId="2" quotePrefix="1" applyNumberFormat="1" applyFont="1" applyFill="1" applyBorder="1" applyAlignment="1">
      <alignment horizontal="left"/>
    </xf>
    <xf numFmtId="0" fontId="17" fillId="2" borderId="20" xfId="2" quotePrefix="1" applyNumberFormat="1" applyFont="1" applyFill="1" applyBorder="1" applyAlignment="1">
      <alignment horizontal="left"/>
    </xf>
    <xf numFmtId="0" fontId="21" fillId="2" borderId="20" xfId="2" quotePrefix="1" applyNumberFormat="1" applyFont="1" applyFill="1" applyBorder="1" applyAlignment="1">
      <alignment horizontal="left"/>
    </xf>
    <xf numFmtId="49" fontId="17" fillId="3" borderId="27" xfId="0" applyNumberFormat="1" applyFont="1" applyFill="1" applyBorder="1" applyAlignment="1">
      <alignment horizontal="center" vertical="center"/>
    </xf>
    <xf numFmtId="0" fontId="17" fillId="3" borderId="23" xfId="0" applyFont="1" applyFill="1" applyBorder="1" applyAlignment="1">
      <alignment vertical="center" wrapText="1"/>
    </xf>
    <xf numFmtId="43" fontId="16" fillId="3" borderId="28" xfId="1" applyFont="1" applyFill="1" applyBorder="1"/>
    <xf numFmtId="0" fontId="17" fillId="0" borderId="23" xfId="3" applyFont="1" applyBorder="1" applyAlignment="1">
      <alignment horizontal="left" wrapText="1"/>
    </xf>
    <xf numFmtId="0" fontId="17" fillId="0" borderId="23" xfId="3" applyFont="1" applyBorder="1" applyAlignment="1">
      <alignment horizontal="center"/>
    </xf>
    <xf numFmtId="0" fontId="21" fillId="3" borderId="20" xfId="2" applyNumberFormat="1" applyFont="1" applyFill="1" applyBorder="1" applyAlignment="1">
      <alignment horizontal="justify"/>
    </xf>
    <xf numFmtId="49" fontId="17" fillId="2" borderId="23" xfId="2" applyNumberFormat="1" applyFont="1" applyFill="1" applyBorder="1" applyAlignment="1">
      <alignment horizontal="center"/>
    </xf>
    <xf numFmtId="0" fontId="16" fillId="0" borderId="23" xfId="0" applyFont="1" applyBorder="1"/>
    <xf numFmtId="49" fontId="17" fillId="3" borderId="27" xfId="0" applyNumberFormat="1" applyFont="1" applyFill="1" applyBorder="1" applyAlignment="1">
      <alignment horizontal="center" vertical="top"/>
    </xf>
    <xf numFmtId="0" fontId="17" fillId="3" borderId="23" xfId="0" applyFont="1" applyFill="1" applyBorder="1" applyAlignment="1">
      <alignment vertical="justify" wrapText="1"/>
    </xf>
    <xf numFmtId="165" fontId="17" fillId="3" borderId="23" xfId="1" applyNumberFormat="1" applyFont="1" applyFill="1" applyBorder="1" applyAlignment="1">
      <alignment horizontal="center"/>
    </xf>
    <xf numFmtId="49" fontId="16" fillId="3" borderId="27" xfId="0" applyNumberFormat="1" applyFont="1" applyFill="1" applyBorder="1"/>
    <xf numFmtId="0" fontId="16" fillId="3" borderId="23" xfId="0" applyFont="1" applyFill="1" applyBorder="1" applyAlignment="1">
      <alignment wrapText="1"/>
    </xf>
    <xf numFmtId="0" fontId="16" fillId="3" borderId="23" xfId="0" applyFont="1" applyFill="1" applyBorder="1" applyAlignment="1">
      <alignment horizontal="center"/>
    </xf>
    <xf numFmtId="43" fontId="16" fillId="3" borderId="23" xfId="1" applyNumberFormat="1" applyFont="1" applyFill="1" applyBorder="1"/>
    <xf numFmtId="49" fontId="16" fillId="0" borderId="29" xfId="0" applyNumberFormat="1" applyFont="1" applyBorder="1" applyAlignment="1">
      <alignment horizontal="center" vertical="center"/>
    </xf>
    <xf numFmtId="0" fontId="16" fillId="0" borderId="30" xfId="0" applyFont="1" applyBorder="1" applyAlignment="1">
      <alignment horizontal="center" vertical="center"/>
    </xf>
    <xf numFmtId="43" fontId="16" fillId="0" borderId="30" xfId="1" applyNumberFormat="1" applyFont="1" applyBorder="1" applyAlignment="1">
      <alignment horizontal="center" vertical="center"/>
    </xf>
    <xf numFmtId="165" fontId="16" fillId="0" borderId="30" xfId="1" applyNumberFormat="1" applyFont="1" applyBorder="1" applyAlignment="1">
      <alignment horizontal="center" vertical="center" wrapText="1"/>
    </xf>
    <xf numFmtId="43" fontId="16" fillId="0" borderId="30" xfId="1" applyFont="1" applyBorder="1" applyAlignment="1">
      <alignment horizontal="center" vertical="center" wrapText="1"/>
    </xf>
    <xf numFmtId="43" fontId="16" fillId="0" borderId="31" xfId="1" applyFont="1" applyBorder="1" applyAlignment="1">
      <alignment horizontal="center" vertical="center" wrapText="1"/>
    </xf>
    <xf numFmtId="0" fontId="11" fillId="0" borderId="0" xfId="0" applyFont="1" applyAlignment="1">
      <alignment horizontal="center"/>
    </xf>
    <xf numFmtId="49" fontId="4" fillId="2" borderId="0" xfId="0" applyNumberFormat="1" applyFont="1" applyFill="1" applyBorder="1" applyAlignment="1">
      <alignment horizontal="center"/>
    </xf>
    <xf numFmtId="49" fontId="5" fillId="2" borderId="0" xfId="0" applyNumberFormat="1" applyFont="1" applyFill="1" applyBorder="1" applyAlignment="1">
      <alignment horizontal="center"/>
    </xf>
    <xf numFmtId="0" fontId="19" fillId="2" borderId="12" xfId="2" applyNumberFormat="1" applyFont="1" applyFill="1" applyBorder="1" applyAlignment="1">
      <alignment horizontal="left" wrapText="1"/>
    </xf>
    <xf numFmtId="0" fontId="19" fillId="2" borderId="0" xfId="2" applyNumberFormat="1" applyFont="1" applyFill="1" applyBorder="1" applyAlignment="1">
      <alignment horizontal="left" wrapText="1"/>
    </xf>
    <xf numFmtId="0" fontId="19" fillId="2" borderId="22" xfId="2" applyNumberFormat="1" applyFont="1" applyFill="1" applyBorder="1" applyAlignment="1">
      <alignment horizontal="left" wrapText="1"/>
    </xf>
    <xf numFmtId="0" fontId="19" fillId="2" borderId="16" xfId="2" applyNumberFormat="1" applyFont="1" applyFill="1" applyBorder="1" applyAlignment="1">
      <alignment horizontal="left" wrapText="1"/>
    </xf>
    <xf numFmtId="0" fontId="19" fillId="2" borderId="17" xfId="2" applyNumberFormat="1" applyFont="1" applyFill="1" applyBorder="1" applyAlignment="1">
      <alignment horizontal="left" wrapText="1"/>
    </xf>
    <xf numFmtId="0" fontId="19" fillId="2" borderId="18" xfId="2" applyNumberFormat="1" applyFont="1" applyFill="1" applyBorder="1" applyAlignment="1">
      <alignment horizontal="left" wrapText="1"/>
    </xf>
    <xf numFmtId="0" fontId="17" fillId="2" borderId="12" xfId="2" applyNumberFormat="1" applyFont="1" applyFill="1" applyBorder="1" applyAlignment="1">
      <alignment horizontal="left" vertical="top" wrapText="1"/>
    </xf>
    <xf numFmtId="0" fontId="17" fillId="2" borderId="0" xfId="2" applyNumberFormat="1" applyFont="1" applyFill="1" applyBorder="1" applyAlignment="1">
      <alignment horizontal="left" vertical="top" wrapText="1"/>
    </xf>
    <xf numFmtId="0" fontId="17" fillId="2" borderId="22" xfId="2" applyNumberFormat="1" applyFont="1" applyFill="1" applyBorder="1" applyAlignment="1">
      <alignment horizontal="left" vertical="top" wrapText="1"/>
    </xf>
    <xf numFmtId="0" fontId="17" fillId="2" borderId="13" xfId="2" applyNumberFormat="1" applyFont="1" applyFill="1" applyBorder="1" applyAlignment="1">
      <alignment horizontal="left" wrapText="1"/>
    </xf>
    <xf numFmtId="0" fontId="17" fillId="2" borderId="14" xfId="2" applyNumberFormat="1" applyFont="1" applyFill="1" applyBorder="1" applyAlignment="1">
      <alignment horizontal="left" wrapText="1"/>
    </xf>
    <xf numFmtId="0" fontId="17" fillId="2" borderId="15" xfId="2" applyNumberFormat="1" applyFont="1" applyFill="1" applyBorder="1" applyAlignment="1">
      <alignment horizontal="left" wrapText="1"/>
    </xf>
    <xf numFmtId="0" fontId="17" fillId="2" borderId="12" xfId="2" applyNumberFormat="1" applyFont="1" applyFill="1" applyBorder="1" applyAlignment="1">
      <alignment horizontal="left" wrapText="1"/>
    </xf>
    <xf numFmtId="0" fontId="17" fillId="2" borderId="0" xfId="2" applyNumberFormat="1" applyFont="1" applyFill="1" applyBorder="1" applyAlignment="1">
      <alignment horizontal="left" wrapText="1"/>
    </xf>
    <xf numFmtId="0" fontId="17" fillId="2" borderId="22" xfId="2" applyNumberFormat="1" applyFont="1" applyFill="1" applyBorder="1" applyAlignment="1">
      <alignment horizontal="left" wrapText="1"/>
    </xf>
    <xf numFmtId="49" fontId="22" fillId="0" borderId="0" xfId="0" applyNumberFormat="1" applyFont="1" applyAlignment="1">
      <alignment horizontal="center"/>
    </xf>
    <xf numFmtId="0" fontId="19" fillId="2" borderId="20" xfId="2" applyNumberFormat="1" applyFont="1" applyFill="1" applyBorder="1" applyAlignment="1">
      <alignment horizontal="left" wrapText="1"/>
    </xf>
    <xf numFmtId="0" fontId="19" fillId="2" borderId="20" xfId="2" applyNumberFormat="1" applyFont="1" applyFill="1" applyBorder="1" applyAlignment="1">
      <alignment horizontal="left"/>
    </xf>
    <xf numFmtId="0" fontId="19" fillId="2" borderId="21" xfId="2" applyNumberFormat="1" applyFont="1" applyFill="1" applyBorder="1" applyAlignment="1">
      <alignment horizontal="left"/>
    </xf>
    <xf numFmtId="0" fontId="17" fillId="2" borderId="13" xfId="2" applyNumberFormat="1" applyFont="1" applyFill="1" applyBorder="1" applyAlignment="1">
      <alignment horizontal="left" vertical="top" wrapText="1"/>
    </xf>
    <xf numFmtId="0" fontId="17" fillId="2" borderId="14" xfId="2" applyNumberFormat="1" applyFont="1" applyFill="1" applyBorder="1" applyAlignment="1">
      <alignment horizontal="left" vertical="top" wrapText="1"/>
    </xf>
    <xf numFmtId="0" fontId="17" fillId="2" borderId="15" xfId="2" applyNumberFormat="1" applyFont="1" applyFill="1" applyBorder="1" applyAlignment="1">
      <alignment horizontal="left" vertical="top" wrapText="1"/>
    </xf>
    <xf numFmtId="0" fontId="17" fillId="2" borderId="16" xfId="2" applyNumberFormat="1" applyFont="1" applyFill="1" applyBorder="1" applyAlignment="1">
      <alignment horizontal="left" wrapText="1"/>
    </xf>
    <xf numFmtId="0" fontId="17" fillId="2" borderId="17" xfId="2" applyNumberFormat="1" applyFont="1" applyFill="1" applyBorder="1" applyAlignment="1">
      <alignment horizontal="left" wrapText="1"/>
    </xf>
    <xf numFmtId="0" fontId="17" fillId="2" borderId="18" xfId="2" applyNumberFormat="1" applyFont="1" applyFill="1" applyBorder="1" applyAlignment="1">
      <alignment horizontal="left" wrapText="1"/>
    </xf>
  </cellXfs>
  <cellStyles count="7">
    <cellStyle name="Comma" xfId="1" builtinId="3"/>
    <cellStyle name="Comma 2" xfId="2"/>
    <cellStyle name="Comma 2 2" xfId="4"/>
    <cellStyle name="Currency 2 2" xfId="6"/>
    <cellStyle name="Normal" xfId="0" builtinId="0"/>
    <cellStyle name="Normal 2" xfId="3"/>
    <cellStyle name="Normal 7"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2130937</xdr:colOff>
      <xdr:row>29</xdr:row>
      <xdr:rowOff>104775</xdr:rowOff>
    </xdr:from>
    <xdr:to>
      <xdr:col>0</xdr:col>
      <xdr:colOff>4171950</xdr:colOff>
      <xdr:row>30</xdr:row>
      <xdr:rowOff>762000</xdr:rowOff>
    </xdr:to>
    <xdr:pic>
      <xdr:nvPicPr>
        <xdr:cNvPr id="3" name="Picture 4" descr="\\ADMIN-PC\ArchEng\archeng\Archeng Logo\New Archeng 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0937" y="6972300"/>
          <a:ext cx="2041013"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53</xdr:row>
      <xdr:rowOff>47625</xdr:rowOff>
    </xdr:from>
    <xdr:to>
      <xdr:col>6</xdr:col>
      <xdr:colOff>771525</xdr:colOff>
      <xdr:row>54</xdr:row>
      <xdr:rowOff>619125</xdr:rowOff>
    </xdr:to>
    <xdr:cxnSp macro="">
      <xdr:nvCxnSpPr>
        <xdr:cNvPr id="3" name="Straight Connector 2"/>
        <xdr:cNvCxnSpPr/>
      </xdr:nvCxnSpPr>
      <xdr:spPr>
        <a:xfrm>
          <a:off x="0" y="11744325"/>
          <a:ext cx="5791200" cy="7239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A33"/>
  <sheetViews>
    <sheetView topLeftCell="A82" workbookViewId="0">
      <selection activeCell="A32" sqref="A32"/>
    </sheetView>
  </sheetViews>
  <sheetFormatPr defaultRowHeight="15" x14ac:dyDescent="0.25"/>
  <cols>
    <col min="1" max="1" width="100.85546875" style="18" customWidth="1"/>
    <col min="2" max="16384" width="9.140625" style="18"/>
  </cols>
  <sheetData>
    <row r="10" spans="1:1" ht="33.75" x14ac:dyDescent="0.65">
      <c r="A10" s="17" t="s">
        <v>303</v>
      </c>
    </row>
    <row r="11" spans="1:1" ht="18.75" x14ac:dyDescent="0.4">
      <c r="A11" s="19"/>
    </row>
    <row r="12" spans="1:1" ht="18.75" x14ac:dyDescent="0.4">
      <c r="A12" s="19"/>
    </row>
    <row r="13" spans="1:1" ht="18.75" x14ac:dyDescent="0.4">
      <c r="A13" s="19"/>
    </row>
    <row r="14" spans="1:1" ht="24.75" x14ac:dyDescent="0.5">
      <c r="A14" s="20"/>
    </row>
    <row r="15" spans="1:1" ht="18.75" x14ac:dyDescent="0.4">
      <c r="A15" s="19"/>
    </row>
    <row r="16" spans="1:1" ht="18.75" x14ac:dyDescent="0.4">
      <c r="A16" s="19"/>
    </row>
    <row r="17" spans="1:1" s="22" customFormat="1" ht="47.25" customHeight="1" x14ac:dyDescent="0.25">
      <c r="A17" s="21" t="s">
        <v>440</v>
      </c>
    </row>
    <row r="23" spans="1:1" ht="18.75" x14ac:dyDescent="0.4">
      <c r="A23" s="23" t="s">
        <v>297</v>
      </c>
    </row>
    <row r="24" spans="1:1" ht="18.75" x14ac:dyDescent="0.4">
      <c r="A24" s="24" t="s">
        <v>295</v>
      </c>
    </row>
    <row r="25" spans="1:1" ht="18.75" x14ac:dyDescent="0.4">
      <c r="A25" s="24" t="s">
        <v>296</v>
      </c>
    </row>
    <row r="26" spans="1:1" ht="18.75" x14ac:dyDescent="0.4">
      <c r="A26" s="19"/>
    </row>
    <row r="27" spans="1:1" ht="18.75" x14ac:dyDescent="0.4">
      <c r="A27" s="19"/>
    </row>
    <row r="28" spans="1:1" ht="18.75" x14ac:dyDescent="0.4">
      <c r="A28" s="19"/>
    </row>
    <row r="29" spans="1:1" ht="18.75" x14ac:dyDescent="0.4">
      <c r="A29" s="23" t="s">
        <v>162</v>
      </c>
    </row>
    <row r="30" spans="1:1" ht="18.75" customHeight="1" x14ac:dyDescent="0.25">
      <c r="A30" s="372"/>
    </row>
    <row r="31" spans="1:1" ht="65.25" customHeight="1" x14ac:dyDescent="0.25">
      <c r="A31" s="372"/>
    </row>
    <row r="32" spans="1:1" ht="18.75" x14ac:dyDescent="0.4">
      <c r="A32" s="25"/>
    </row>
    <row r="33" spans="1:1" ht="18.75" x14ac:dyDescent="0.4">
      <c r="A33" s="19"/>
    </row>
  </sheetData>
  <mergeCells count="1">
    <mergeCell ref="A30:A31"/>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sqref="A1:C1"/>
    </sheetView>
  </sheetViews>
  <sheetFormatPr defaultRowHeight="15" x14ac:dyDescent="0.25"/>
  <cols>
    <col min="2" max="2" width="47.5703125" customWidth="1"/>
    <col min="3" max="3" width="28.5703125" customWidth="1"/>
    <col min="6" max="6" width="44.5703125" customWidth="1"/>
    <col min="9" max="9" width="21.140625" customWidth="1"/>
  </cols>
  <sheetData>
    <row r="1" spans="1:6" ht="18.75" x14ac:dyDescent="0.3">
      <c r="A1" s="373" t="s">
        <v>438</v>
      </c>
      <c r="B1" s="373"/>
      <c r="C1" s="373"/>
    </row>
    <row r="2" spans="1:6" ht="15.75" x14ac:dyDescent="0.25">
      <c r="A2" s="374" t="s">
        <v>75</v>
      </c>
      <c r="B2" s="374"/>
      <c r="C2" s="374"/>
    </row>
    <row r="3" spans="1:6" ht="15.75" thickBot="1" x14ac:dyDescent="0.3">
      <c r="A3" s="1"/>
      <c r="B3" s="2"/>
      <c r="C3" s="3"/>
    </row>
    <row r="4" spans="1:6" ht="20.100000000000001" customHeight="1" thickTop="1" thickBot="1" x14ac:dyDescent="0.35">
      <c r="A4" s="4" t="s">
        <v>76</v>
      </c>
      <c r="B4" s="5" t="s">
        <v>77</v>
      </c>
      <c r="C4" s="6" t="s">
        <v>78</v>
      </c>
    </row>
    <row r="5" spans="1:6" ht="24.95" customHeight="1" thickTop="1" x14ac:dyDescent="0.25">
      <c r="A5" s="7" t="s">
        <v>79</v>
      </c>
      <c r="B5" s="8" t="s">
        <v>18</v>
      </c>
      <c r="C5" s="9">
        <f>Boq!G44</f>
        <v>0</v>
      </c>
    </row>
    <row r="6" spans="1:6" ht="24.95" customHeight="1" x14ac:dyDescent="0.25">
      <c r="A6" s="10" t="s">
        <v>80</v>
      </c>
      <c r="B6" s="11" t="s">
        <v>81</v>
      </c>
      <c r="C6" s="12">
        <f>Boq!G78</f>
        <v>0</v>
      </c>
    </row>
    <row r="7" spans="1:6" ht="24.95" customHeight="1" x14ac:dyDescent="0.25">
      <c r="A7" s="10" t="s">
        <v>82</v>
      </c>
      <c r="B7" s="11" t="s">
        <v>83</v>
      </c>
      <c r="C7" s="12">
        <f>Boq!G265</f>
        <v>0</v>
      </c>
    </row>
    <row r="8" spans="1:6" ht="24.95" customHeight="1" x14ac:dyDescent="0.25">
      <c r="A8" s="10" t="s">
        <v>84</v>
      </c>
      <c r="B8" s="11" t="s">
        <v>85</v>
      </c>
      <c r="C8" s="12">
        <f>Boq!G351</f>
        <v>0</v>
      </c>
    </row>
    <row r="9" spans="1:6" ht="24.95" customHeight="1" x14ac:dyDescent="0.25">
      <c r="A9" s="10" t="s">
        <v>86</v>
      </c>
      <c r="B9" s="11" t="s">
        <v>87</v>
      </c>
      <c r="C9" s="12">
        <f>Boq!G456</f>
        <v>0</v>
      </c>
    </row>
    <row r="10" spans="1:6" ht="24.95" customHeight="1" x14ac:dyDescent="0.25">
      <c r="A10" s="10" t="s">
        <v>88</v>
      </c>
      <c r="B10" s="11" t="s">
        <v>90</v>
      </c>
      <c r="C10" s="12">
        <f>Boq!G483</f>
        <v>0</v>
      </c>
    </row>
    <row r="11" spans="1:6" ht="24.95" customHeight="1" x14ac:dyDescent="0.25">
      <c r="A11" s="10" t="s">
        <v>89</v>
      </c>
      <c r="B11" s="11" t="s">
        <v>92</v>
      </c>
      <c r="C11" s="12">
        <f>Boq!G531</f>
        <v>0</v>
      </c>
    </row>
    <row r="12" spans="1:6" ht="24.95" customHeight="1" x14ac:dyDescent="0.25">
      <c r="A12" s="10" t="s">
        <v>91</v>
      </c>
      <c r="B12" s="11" t="s">
        <v>94</v>
      </c>
      <c r="C12" s="12">
        <f>Boq!G569</f>
        <v>0</v>
      </c>
    </row>
    <row r="13" spans="1:6" ht="24.95" customHeight="1" x14ac:dyDescent="0.25">
      <c r="A13" s="10" t="s">
        <v>93</v>
      </c>
      <c r="B13" s="11" t="s">
        <v>96</v>
      </c>
      <c r="C13" s="12">
        <f>Boq!G610</f>
        <v>0</v>
      </c>
    </row>
    <row r="14" spans="1:6" ht="24.95" customHeight="1" x14ac:dyDescent="0.25">
      <c r="A14" s="10" t="s">
        <v>95</v>
      </c>
      <c r="B14" s="11" t="s">
        <v>98</v>
      </c>
      <c r="C14" s="12">
        <f>Boq!G653</f>
        <v>0</v>
      </c>
    </row>
    <row r="15" spans="1:6" ht="24.95" customHeight="1" x14ac:dyDescent="0.25">
      <c r="A15" s="10" t="s">
        <v>97</v>
      </c>
      <c r="B15" s="11" t="s">
        <v>99</v>
      </c>
      <c r="C15" s="12">
        <f>Boq!G709</f>
        <v>0</v>
      </c>
    </row>
    <row r="16" spans="1:6" ht="24.95" customHeight="1" x14ac:dyDescent="0.25">
      <c r="A16" s="10" t="s">
        <v>281</v>
      </c>
      <c r="B16" s="11" t="s">
        <v>343</v>
      </c>
      <c r="C16" s="12">
        <f>Boq!G757</f>
        <v>0</v>
      </c>
      <c r="F16" s="16" t="e">
        <f>C19/#REF!</f>
        <v>#REF!</v>
      </c>
    </row>
    <row r="17" spans="1:6" ht="24.95" customHeight="1" x14ac:dyDescent="0.25">
      <c r="A17" s="10" t="s">
        <v>285</v>
      </c>
      <c r="B17" s="11" t="s">
        <v>287</v>
      </c>
      <c r="C17" s="12">
        <f>Boq!G816</f>
        <v>0</v>
      </c>
    </row>
    <row r="18" spans="1:6" ht="24.95" customHeight="1" thickBot="1" x14ac:dyDescent="0.3">
      <c r="A18" s="10" t="s">
        <v>286</v>
      </c>
      <c r="B18" s="11" t="s">
        <v>288</v>
      </c>
      <c r="C18" s="12">
        <f>-Boq!G875</f>
        <v>0</v>
      </c>
      <c r="F18" s="16">
        <f>C19*3%</f>
        <v>0</v>
      </c>
    </row>
    <row r="19" spans="1:6" ht="24.95" customHeight="1" thickTop="1" thickBot="1" x14ac:dyDescent="0.3">
      <c r="A19" s="13"/>
      <c r="B19" s="14" t="s">
        <v>278</v>
      </c>
      <c r="C19" s="15">
        <f>SUM(C5:C18)</f>
        <v>0</v>
      </c>
      <c r="F19" s="16">
        <f>C19*0.05</f>
        <v>0</v>
      </c>
    </row>
    <row r="20" spans="1:6" ht="24.95" customHeight="1" thickTop="1" thickBot="1" x14ac:dyDescent="0.3">
      <c r="A20" s="13"/>
      <c r="B20" s="14" t="s">
        <v>279</v>
      </c>
      <c r="C20" s="15">
        <f>C19*6%</f>
        <v>0</v>
      </c>
    </row>
    <row r="21" spans="1:6" ht="31.5" customHeight="1" thickTop="1" thickBot="1" x14ac:dyDescent="0.3">
      <c r="A21" s="13"/>
      <c r="B21" s="14" t="s">
        <v>280</v>
      </c>
      <c r="C21" s="15">
        <f>C19+C20</f>
        <v>0</v>
      </c>
    </row>
    <row r="22" spans="1:6" ht="15.75" thickTop="1" x14ac:dyDescent="0.25"/>
  </sheetData>
  <mergeCells count="2">
    <mergeCell ref="A1:C1"/>
    <mergeCell ref="A2:C2"/>
  </mergeCells>
  <pageMargins left="0.7" right="0.7" top="0.65" bottom="0.5" header="0.3" footer="0.3"/>
  <pageSetup paperSize="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5"/>
  <sheetViews>
    <sheetView tabSelected="1" view="pageBreakPreview" zoomScaleNormal="100" zoomScaleSheetLayoutView="100" workbookViewId="0">
      <selection activeCell="E22" sqref="E22"/>
    </sheetView>
  </sheetViews>
  <sheetFormatPr defaultRowHeight="12" x14ac:dyDescent="0.2"/>
  <cols>
    <col min="1" max="1" width="6.85546875" style="27" customWidth="1"/>
    <col min="2" max="2" width="37.85546875" style="28" customWidth="1"/>
    <col min="3" max="3" width="5.140625" style="29" customWidth="1"/>
    <col min="4" max="4" width="9.140625" style="30" customWidth="1"/>
    <col min="5" max="5" width="11.85546875" style="31" customWidth="1"/>
    <col min="6" max="7" width="11.5703125" style="32" customWidth="1"/>
    <col min="8" max="8" width="4.5703125" style="28" customWidth="1"/>
    <col min="9" max="9" width="14.42578125" style="28" customWidth="1"/>
    <col min="10" max="10" width="9.140625" style="28" customWidth="1"/>
    <col min="11" max="11" width="9" style="28" customWidth="1"/>
    <col min="12" max="12" width="9.42578125" style="28" customWidth="1"/>
    <col min="13" max="13" width="11.28515625" style="28" customWidth="1"/>
    <col min="14" max="14" width="9.28515625" style="28" customWidth="1"/>
    <col min="15" max="15" width="10.42578125" style="28" customWidth="1"/>
    <col min="16" max="16384" width="9.140625" style="28"/>
  </cols>
  <sheetData>
    <row r="1" spans="1:10" s="26" customFormat="1" ht="18.75" customHeight="1" x14ac:dyDescent="0.2">
      <c r="A1" s="390" t="s">
        <v>439</v>
      </c>
      <c r="B1" s="390"/>
      <c r="C1" s="390"/>
      <c r="D1" s="390"/>
      <c r="E1" s="390"/>
      <c r="F1" s="390"/>
      <c r="G1" s="390"/>
    </row>
    <row r="2" spans="1:10" ht="12.75" thickBot="1" x14ac:dyDescent="0.25"/>
    <row r="3" spans="1:10" s="35" customFormat="1" ht="24.75" thickBot="1" x14ac:dyDescent="0.3">
      <c r="A3" s="366" t="s">
        <v>0</v>
      </c>
      <c r="B3" s="367" t="s">
        <v>1</v>
      </c>
      <c r="C3" s="367" t="s">
        <v>2</v>
      </c>
      <c r="D3" s="368" t="s">
        <v>3</v>
      </c>
      <c r="E3" s="369" t="s">
        <v>4</v>
      </c>
      <c r="F3" s="370" t="s">
        <v>5</v>
      </c>
      <c r="G3" s="371" t="s">
        <v>6</v>
      </c>
    </row>
    <row r="4" spans="1:10" s="35" customFormat="1" x14ac:dyDescent="0.2">
      <c r="A4" s="36"/>
      <c r="B4" s="37" t="s">
        <v>17</v>
      </c>
      <c r="C4" s="38"/>
      <c r="D4" s="39"/>
      <c r="E4" s="40"/>
      <c r="F4" s="41"/>
      <c r="G4" s="42"/>
      <c r="I4" s="43"/>
      <c r="J4" s="44"/>
    </row>
    <row r="5" spans="1:10" s="35" customFormat="1" x14ac:dyDescent="0.2">
      <c r="A5" s="36"/>
      <c r="B5" s="45" t="s">
        <v>18</v>
      </c>
      <c r="C5" s="38"/>
      <c r="D5" s="39"/>
      <c r="E5" s="40"/>
      <c r="F5" s="41"/>
      <c r="G5" s="42"/>
    </row>
    <row r="6" spans="1:10" s="35" customFormat="1" x14ac:dyDescent="0.2">
      <c r="A6" s="36"/>
      <c r="B6" s="46"/>
      <c r="C6" s="38"/>
      <c r="D6" s="39"/>
      <c r="E6" s="40"/>
      <c r="F6" s="41"/>
      <c r="G6" s="42"/>
    </row>
    <row r="7" spans="1:10" s="35" customFormat="1" x14ac:dyDescent="0.2">
      <c r="A7" s="36">
        <v>1.1000000000000001</v>
      </c>
      <c r="B7" s="47" t="s">
        <v>19</v>
      </c>
      <c r="C7" s="38"/>
      <c r="D7" s="39"/>
      <c r="E7" s="40"/>
      <c r="F7" s="41"/>
      <c r="G7" s="42"/>
    </row>
    <row r="8" spans="1:10" s="35" customFormat="1" x14ac:dyDescent="0.2">
      <c r="A8" s="48" t="s">
        <v>7</v>
      </c>
      <c r="B8" s="49" t="s">
        <v>20</v>
      </c>
      <c r="C8" s="38"/>
      <c r="D8" s="39"/>
      <c r="E8" s="40"/>
      <c r="F8" s="41"/>
      <c r="G8" s="42"/>
    </row>
    <row r="9" spans="1:10" s="35" customFormat="1" x14ac:dyDescent="0.2">
      <c r="A9" s="36"/>
      <c r="B9" s="50" t="s">
        <v>21</v>
      </c>
      <c r="C9" s="38"/>
      <c r="D9" s="39"/>
      <c r="E9" s="40"/>
      <c r="F9" s="41"/>
      <c r="G9" s="42"/>
    </row>
    <row r="10" spans="1:10" s="35" customFormat="1" x14ac:dyDescent="0.2">
      <c r="A10" s="36"/>
      <c r="B10" s="50" t="s">
        <v>22</v>
      </c>
      <c r="C10" s="38"/>
      <c r="D10" s="39"/>
      <c r="E10" s="40"/>
      <c r="F10" s="41"/>
      <c r="G10" s="42"/>
    </row>
    <row r="11" spans="1:10" s="35" customFormat="1" x14ac:dyDescent="0.2">
      <c r="A11" s="36"/>
      <c r="B11" s="50" t="s">
        <v>23</v>
      </c>
      <c r="C11" s="38"/>
      <c r="D11" s="39"/>
      <c r="E11" s="40"/>
      <c r="F11" s="41"/>
      <c r="G11" s="42"/>
    </row>
    <row r="12" spans="1:10" s="35" customFormat="1" x14ac:dyDescent="0.2">
      <c r="A12" s="36"/>
      <c r="B12" s="50" t="s">
        <v>24</v>
      </c>
      <c r="C12" s="38"/>
      <c r="D12" s="39"/>
      <c r="E12" s="40"/>
      <c r="F12" s="41"/>
      <c r="G12" s="42"/>
    </row>
    <row r="13" spans="1:10" s="35" customFormat="1" x14ac:dyDescent="0.2">
      <c r="A13" s="36"/>
      <c r="B13" s="50" t="s">
        <v>21</v>
      </c>
      <c r="C13" s="38"/>
      <c r="D13" s="39"/>
      <c r="E13" s="40"/>
      <c r="F13" s="41"/>
      <c r="G13" s="42"/>
    </row>
    <row r="14" spans="1:10" s="35" customFormat="1" x14ac:dyDescent="0.2">
      <c r="A14" s="36"/>
      <c r="B14" s="50" t="s">
        <v>25</v>
      </c>
      <c r="C14" s="38"/>
      <c r="D14" s="39"/>
      <c r="E14" s="40"/>
      <c r="F14" s="41"/>
      <c r="G14" s="42"/>
    </row>
    <row r="15" spans="1:10" s="35" customFormat="1" x14ac:dyDescent="0.2">
      <c r="A15" s="36"/>
      <c r="B15" s="50" t="s">
        <v>26</v>
      </c>
      <c r="C15" s="38"/>
      <c r="D15" s="39"/>
      <c r="E15" s="40"/>
      <c r="F15" s="41"/>
      <c r="G15" s="42"/>
    </row>
    <row r="16" spans="1:10" s="35" customFormat="1" x14ac:dyDescent="0.2">
      <c r="A16" s="36"/>
      <c r="B16" s="50" t="s">
        <v>27</v>
      </c>
      <c r="C16" s="38"/>
      <c r="D16" s="39"/>
      <c r="E16" s="40"/>
      <c r="F16" s="41"/>
      <c r="G16" s="42"/>
    </row>
    <row r="17" spans="1:7" s="35" customFormat="1" x14ac:dyDescent="0.2">
      <c r="A17" s="36"/>
      <c r="B17" s="50" t="s">
        <v>28</v>
      </c>
      <c r="C17" s="38"/>
      <c r="D17" s="39"/>
      <c r="E17" s="40"/>
      <c r="F17" s="41"/>
      <c r="G17" s="42"/>
    </row>
    <row r="18" spans="1:7" s="35" customFormat="1" x14ac:dyDescent="0.2">
      <c r="A18" s="36"/>
      <c r="B18" s="50" t="s">
        <v>29</v>
      </c>
      <c r="C18" s="38"/>
      <c r="D18" s="39"/>
      <c r="E18" s="40"/>
      <c r="F18" s="41"/>
      <c r="G18" s="42"/>
    </row>
    <row r="19" spans="1:7" s="35" customFormat="1" x14ac:dyDescent="0.2">
      <c r="A19" s="36"/>
      <c r="B19" s="50" t="s">
        <v>30</v>
      </c>
      <c r="C19" s="38"/>
      <c r="D19" s="39"/>
      <c r="E19" s="40"/>
      <c r="F19" s="41"/>
      <c r="G19" s="42"/>
    </row>
    <row r="20" spans="1:7" s="35" customFormat="1" x14ac:dyDescent="0.2">
      <c r="A20" s="36"/>
      <c r="B20" s="50"/>
      <c r="C20" s="38"/>
      <c r="D20" s="39"/>
      <c r="E20" s="40"/>
      <c r="F20" s="41"/>
      <c r="G20" s="42"/>
    </row>
    <row r="21" spans="1:7" s="35" customFormat="1" x14ac:dyDescent="0.2">
      <c r="A21" s="48">
        <v>1.2</v>
      </c>
      <c r="B21" s="51" t="s">
        <v>31</v>
      </c>
      <c r="C21" s="52"/>
      <c r="D21" s="53"/>
      <c r="E21" s="40"/>
      <c r="F21" s="41"/>
      <c r="G21" s="42"/>
    </row>
    <row r="22" spans="1:7" s="35" customFormat="1" ht="60.75" customHeight="1" x14ac:dyDescent="0.2">
      <c r="A22" s="36" t="s">
        <v>7</v>
      </c>
      <c r="B22" s="54" t="s">
        <v>204</v>
      </c>
      <c r="C22" s="52" t="s">
        <v>0</v>
      </c>
      <c r="D22" s="53">
        <v>1</v>
      </c>
      <c r="E22" s="40"/>
      <c r="F22" s="55"/>
      <c r="G22" s="56">
        <f t="shared" ref="G22:G32" si="0">(D22*E22)+(D22*F22)</f>
        <v>0</v>
      </c>
    </row>
    <row r="23" spans="1:7" s="35" customFormat="1" x14ac:dyDescent="0.2">
      <c r="A23" s="48"/>
      <c r="B23" s="54"/>
      <c r="C23" s="52"/>
      <c r="D23" s="53"/>
      <c r="E23" s="40"/>
      <c r="F23" s="55"/>
      <c r="G23" s="56">
        <f t="shared" si="0"/>
        <v>0</v>
      </c>
    </row>
    <row r="24" spans="1:7" s="35" customFormat="1" x14ac:dyDescent="0.2">
      <c r="A24" s="36">
        <v>1.3</v>
      </c>
      <c r="B24" s="51" t="s">
        <v>32</v>
      </c>
      <c r="C24" s="52"/>
      <c r="D24" s="53"/>
      <c r="E24" s="40"/>
      <c r="F24" s="55"/>
      <c r="G24" s="56">
        <f t="shared" si="0"/>
        <v>0</v>
      </c>
    </row>
    <row r="25" spans="1:7" s="35" customFormat="1" x14ac:dyDescent="0.2">
      <c r="A25" s="36" t="s">
        <v>7</v>
      </c>
      <c r="B25" s="57" t="s">
        <v>33</v>
      </c>
      <c r="C25" s="52" t="s">
        <v>34</v>
      </c>
      <c r="D25" s="53">
        <v>1</v>
      </c>
      <c r="E25" s="40"/>
      <c r="F25" s="55"/>
      <c r="G25" s="56">
        <f t="shared" si="0"/>
        <v>0</v>
      </c>
    </row>
    <row r="26" spans="1:7" s="35" customFormat="1" x14ac:dyDescent="0.2">
      <c r="A26" s="36"/>
      <c r="B26" s="57"/>
      <c r="C26" s="52"/>
      <c r="D26" s="53"/>
      <c r="E26" s="40"/>
      <c r="F26" s="55"/>
      <c r="G26" s="56">
        <f t="shared" si="0"/>
        <v>0</v>
      </c>
    </row>
    <row r="27" spans="1:7" s="35" customFormat="1" ht="12.75" x14ac:dyDescent="0.2">
      <c r="A27" s="338">
        <v>1.4</v>
      </c>
      <c r="B27" s="339" t="s">
        <v>325</v>
      </c>
      <c r="C27" s="340"/>
      <c r="D27" s="341"/>
      <c r="E27" s="342"/>
      <c r="F27" s="342">
        <f t="shared" ref="F27" si="1">E27*C27</f>
        <v>0</v>
      </c>
      <c r="G27" s="343">
        <f t="shared" si="0"/>
        <v>0</v>
      </c>
    </row>
    <row r="28" spans="1:7" s="35" customFormat="1" ht="92.25" customHeight="1" x14ac:dyDescent="0.2">
      <c r="A28" s="344"/>
      <c r="B28" s="345" t="s">
        <v>326</v>
      </c>
      <c r="C28" s="346" t="s">
        <v>15</v>
      </c>
      <c r="D28" s="53">
        <v>1</v>
      </c>
      <c r="E28" s="347"/>
      <c r="F28" s="347"/>
      <c r="G28" s="56">
        <f t="shared" si="0"/>
        <v>0</v>
      </c>
    </row>
    <row r="29" spans="1:7" s="35" customFormat="1" x14ac:dyDescent="0.2">
      <c r="A29" s="36"/>
      <c r="B29" s="57"/>
      <c r="C29" s="52"/>
      <c r="D29" s="53"/>
      <c r="E29" s="40"/>
      <c r="F29" s="55"/>
      <c r="G29" s="56"/>
    </row>
    <row r="30" spans="1:7" s="35" customFormat="1" x14ac:dyDescent="0.2">
      <c r="A30" s="59" t="s">
        <v>169</v>
      </c>
      <c r="B30" s="60" t="s">
        <v>327</v>
      </c>
      <c r="C30" s="61"/>
      <c r="D30" s="62"/>
      <c r="E30" s="40"/>
      <c r="F30" s="55"/>
      <c r="G30" s="56">
        <f t="shared" si="0"/>
        <v>0</v>
      </c>
    </row>
    <row r="31" spans="1:7" s="35" customFormat="1" ht="51" customHeight="1" x14ac:dyDescent="0.2">
      <c r="A31" s="36" t="s">
        <v>7</v>
      </c>
      <c r="B31" s="63" t="s">
        <v>328</v>
      </c>
      <c r="C31" s="52" t="s">
        <v>0</v>
      </c>
      <c r="D31" s="53">
        <v>1</v>
      </c>
      <c r="E31" s="40"/>
      <c r="F31" s="55"/>
      <c r="G31" s="56">
        <f t="shared" si="0"/>
        <v>0</v>
      </c>
    </row>
    <row r="32" spans="1:7" s="35" customFormat="1" x14ac:dyDescent="0.2">
      <c r="A32" s="48"/>
      <c r="B32" s="63"/>
      <c r="C32" s="52"/>
      <c r="D32" s="53"/>
      <c r="E32" s="40"/>
      <c r="F32" s="41"/>
      <c r="G32" s="56">
        <f t="shared" si="0"/>
        <v>0</v>
      </c>
    </row>
    <row r="33" spans="1:7" s="35" customFormat="1" x14ac:dyDescent="0.2">
      <c r="A33" s="59" t="s">
        <v>324</v>
      </c>
      <c r="B33" s="60" t="s">
        <v>35</v>
      </c>
      <c r="C33" s="61"/>
      <c r="D33" s="62"/>
      <c r="E33" s="40"/>
      <c r="F33" s="55"/>
      <c r="G33" s="56">
        <f t="shared" ref="G33:G34" si="2">(D33*E33)+(D33*F33)</f>
        <v>0</v>
      </c>
    </row>
    <row r="34" spans="1:7" s="35" customFormat="1" ht="24" x14ac:dyDescent="0.2">
      <c r="A34" s="36" t="s">
        <v>7</v>
      </c>
      <c r="B34" s="63" t="s">
        <v>36</v>
      </c>
      <c r="C34" s="52" t="s">
        <v>0</v>
      </c>
      <c r="D34" s="53">
        <v>1</v>
      </c>
      <c r="E34" s="40"/>
      <c r="F34" s="55"/>
      <c r="G34" s="56">
        <f t="shared" si="2"/>
        <v>0</v>
      </c>
    </row>
    <row r="35" spans="1:7" s="35" customFormat="1" x14ac:dyDescent="0.2">
      <c r="A35" s="48"/>
      <c r="B35" s="63"/>
      <c r="C35" s="52"/>
      <c r="D35" s="53"/>
      <c r="E35" s="40"/>
      <c r="F35" s="41"/>
      <c r="G35" s="42"/>
    </row>
    <row r="36" spans="1:7" s="35" customFormat="1" x14ac:dyDescent="0.2">
      <c r="A36" s="48"/>
      <c r="B36" s="63"/>
      <c r="C36" s="52"/>
      <c r="D36" s="53"/>
      <c r="E36" s="40"/>
      <c r="F36" s="41"/>
      <c r="G36" s="42"/>
    </row>
    <row r="37" spans="1:7" s="35" customFormat="1" x14ac:dyDescent="0.2">
      <c r="A37" s="48"/>
      <c r="B37" s="63"/>
      <c r="C37" s="52"/>
      <c r="D37" s="53"/>
      <c r="E37" s="40"/>
      <c r="F37" s="41"/>
      <c r="G37" s="42"/>
    </row>
    <row r="38" spans="1:7" s="35" customFormat="1" x14ac:dyDescent="0.2">
      <c r="A38" s="48"/>
      <c r="B38" s="63"/>
      <c r="C38" s="52"/>
      <c r="D38" s="53"/>
      <c r="E38" s="40"/>
      <c r="F38" s="41"/>
      <c r="G38" s="42"/>
    </row>
    <row r="39" spans="1:7" s="35" customFormat="1" x14ac:dyDescent="0.2">
      <c r="A39" s="48"/>
      <c r="B39" s="63"/>
      <c r="C39" s="52"/>
      <c r="D39" s="53"/>
      <c r="E39" s="40"/>
      <c r="F39" s="41"/>
      <c r="G39" s="42"/>
    </row>
    <row r="40" spans="1:7" s="35" customFormat="1" x14ac:dyDescent="0.2">
      <c r="A40" s="48"/>
      <c r="B40" s="63"/>
      <c r="C40" s="52"/>
      <c r="D40" s="53"/>
      <c r="E40" s="40"/>
      <c r="F40" s="41"/>
      <c r="G40" s="42"/>
    </row>
    <row r="41" spans="1:7" s="35" customFormat="1" x14ac:dyDescent="0.2">
      <c r="A41" s="48"/>
      <c r="B41" s="63"/>
      <c r="C41" s="52"/>
      <c r="D41" s="53"/>
      <c r="E41" s="40"/>
      <c r="F41" s="41"/>
      <c r="G41" s="42"/>
    </row>
    <row r="42" spans="1:7" s="35" customFormat="1" ht="12.75" thickBot="1" x14ac:dyDescent="0.25">
      <c r="A42" s="48"/>
      <c r="B42" s="63"/>
      <c r="C42" s="52"/>
      <c r="D42" s="53"/>
      <c r="E42" s="40"/>
      <c r="F42" s="41"/>
      <c r="G42" s="42"/>
    </row>
    <row r="43" spans="1:7" s="35" customFormat="1" x14ac:dyDescent="0.2">
      <c r="A43" s="64"/>
      <c r="B43" s="65" t="s">
        <v>37</v>
      </c>
      <c r="C43" s="66"/>
      <c r="D43" s="67"/>
      <c r="E43" s="68"/>
      <c r="F43" s="33"/>
      <c r="G43" s="34"/>
    </row>
    <row r="44" spans="1:7" s="35" customFormat="1" ht="12.75" thickBot="1" x14ac:dyDescent="0.25">
      <c r="A44" s="69"/>
      <c r="B44" s="70" t="s">
        <v>38</v>
      </c>
      <c r="C44" s="71"/>
      <c r="D44" s="72"/>
      <c r="E44" s="73"/>
      <c r="F44" s="74"/>
      <c r="G44" s="75">
        <f>SUM(G22:G43)</f>
        <v>0</v>
      </c>
    </row>
    <row r="45" spans="1:7" s="35" customFormat="1" x14ac:dyDescent="0.2">
      <c r="A45" s="36"/>
      <c r="B45" s="76"/>
      <c r="C45" s="77"/>
      <c r="D45" s="53"/>
      <c r="E45" s="40"/>
      <c r="F45" s="41"/>
      <c r="G45" s="42"/>
    </row>
    <row r="46" spans="1:7" s="35" customFormat="1" x14ac:dyDescent="0.2">
      <c r="A46" s="36"/>
      <c r="B46" s="45" t="s">
        <v>39</v>
      </c>
      <c r="C46" s="38"/>
      <c r="D46" s="39"/>
      <c r="E46" s="40"/>
      <c r="F46" s="41"/>
      <c r="G46" s="42"/>
    </row>
    <row r="47" spans="1:7" s="35" customFormat="1" x14ac:dyDescent="0.2">
      <c r="A47" s="36"/>
      <c r="B47" s="45" t="s">
        <v>40</v>
      </c>
      <c r="C47" s="38"/>
      <c r="D47" s="39"/>
      <c r="E47" s="40"/>
      <c r="F47" s="41"/>
      <c r="G47" s="42"/>
    </row>
    <row r="48" spans="1:7" s="35" customFormat="1" x14ac:dyDescent="0.2">
      <c r="A48" s="36">
        <v>2.1</v>
      </c>
      <c r="B48" s="47" t="s">
        <v>41</v>
      </c>
      <c r="C48" s="38"/>
      <c r="D48" s="39"/>
      <c r="E48" s="40"/>
      <c r="F48" s="41"/>
      <c r="G48" s="42"/>
    </row>
    <row r="49" spans="1:16" s="35" customFormat="1" ht="65.25" customHeight="1" x14ac:dyDescent="0.2">
      <c r="A49" s="36"/>
      <c r="B49" s="78" t="s">
        <v>205</v>
      </c>
      <c r="C49" s="79"/>
      <c r="D49" s="79"/>
      <c r="E49" s="79"/>
      <c r="F49" s="79"/>
      <c r="G49" s="80"/>
    </row>
    <row r="50" spans="1:16" s="35" customFormat="1" x14ac:dyDescent="0.25">
      <c r="A50" s="81"/>
      <c r="B50" s="82"/>
      <c r="C50" s="82"/>
      <c r="D50" s="83"/>
      <c r="E50" s="84"/>
      <c r="F50" s="82"/>
      <c r="G50" s="85"/>
    </row>
    <row r="51" spans="1:16" s="35" customFormat="1" x14ac:dyDescent="0.2">
      <c r="A51" s="36" t="s">
        <v>10</v>
      </c>
      <c r="B51" s="86" t="s">
        <v>60</v>
      </c>
      <c r="C51" s="52"/>
      <c r="D51" s="87"/>
      <c r="E51" s="88"/>
      <c r="F51" s="55"/>
      <c r="G51" s="56">
        <f t="shared" ref="G51:G61" si="3">(D51*E51)+(D51*F51)</f>
        <v>0</v>
      </c>
    </row>
    <row r="52" spans="1:16" s="35" customFormat="1" ht="48.75" customHeight="1" x14ac:dyDescent="0.2">
      <c r="A52" s="36"/>
      <c r="B52" s="54" t="s">
        <v>61</v>
      </c>
      <c r="C52" s="52" t="s">
        <v>44</v>
      </c>
      <c r="D52" s="89">
        <v>806</v>
      </c>
      <c r="E52" s="40"/>
      <c r="F52" s="55"/>
      <c r="G52" s="56">
        <f t="shared" si="3"/>
        <v>0</v>
      </c>
    </row>
    <row r="53" spans="1:16" s="35" customFormat="1" x14ac:dyDescent="0.2">
      <c r="A53" s="36"/>
      <c r="B53" s="54"/>
      <c r="C53" s="52"/>
      <c r="D53" s="89"/>
      <c r="E53" s="40"/>
      <c r="F53" s="55"/>
      <c r="G53" s="56">
        <f t="shared" si="3"/>
        <v>0</v>
      </c>
    </row>
    <row r="54" spans="1:16" s="35" customFormat="1" x14ac:dyDescent="0.2">
      <c r="A54" s="36" t="s">
        <v>16</v>
      </c>
      <c r="B54" s="90" t="s">
        <v>42</v>
      </c>
      <c r="C54" s="52"/>
      <c r="D54" s="91"/>
      <c r="E54" s="40"/>
      <c r="F54" s="55"/>
      <c r="G54" s="56">
        <f t="shared" si="3"/>
        <v>0</v>
      </c>
    </row>
    <row r="55" spans="1:16" s="35" customFormat="1" ht="51" customHeight="1" x14ac:dyDescent="0.2">
      <c r="A55" s="36"/>
      <c r="B55" s="92" t="s">
        <v>43</v>
      </c>
      <c r="C55" s="52" t="s">
        <v>44</v>
      </c>
      <c r="D55" s="91"/>
      <c r="E55" s="40"/>
      <c r="F55" s="55"/>
      <c r="G55" s="56">
        <f t="shared" si="3"/>
        <v>0</v>
      </c>
    </row>
    <row r="56" spans="1:16" s="35" customFormat="1" x14ac:dyDescent="0.2">
      <c r="A56" s="36"/>
      <c r="B56" s="93"/>
      <c r="C56" s="52"/>
      <c r="D56" s="53"/>
      <c r="E56" s="40"/>
      <c r="F56" s="55"/>
      <c r="G56" s="56">
        <f t="shared" si="3"/>
        <v>0</v>
      </c>
    </row>
    <row r="57" spans="1:16" s="35" customFormat="1" x14ac:dyDescent="0.2">
      <c r="A57" s="36" t="s">
        <v>48</v>
      </c>
      <c r="B57" s="94" t="s">
        <v>45</v>
      </c>
      <c r="C57" s="52"/>
      <c r="D57" s="53"/>
      <c r="E57" s="40"/>
      <c r="F57" s="55"/>
      <c r="G57" s="56">
        <f t="shared" si="3"/>
        <v>0</v>
      </c>
    </row>
    <row r="58" spans="1:16" s="35" customFormat="1" ht="59.25" customHeight="1" x14ac:dyDescent="0.2">
      <c r="A58" s="81"/>
      <c r="B58" s="95" t="s">
        <v>46</v>
      </c>
      <c r="C58" s="95"/>
      <c r="D58" s="95"/>
      <c r="E58" s="95"/>
      <c r="F58" s="55"/>
      <c r="G58" s="56">
        <f t="shared" si="3"/>
        <v>0</v>
      </c>
    </row>
    <row r="59" spans="1:16" s="35" customFormat="1" ht="12.75" customHeight="1" x14ac:dyDescent="0.2">
      <c r="A59" s="36" t="s">
        <v>50</v>
      </c>
      <c r="B59" s="96" t="s">
        <v>45</v>
      </c>
      <c r="C59" s="52"/>
      <c r="D59" s="53"/>
      <c r="E59" s="40"/>
      <c r="F59" s="55"/>
      <c r="G59" s="56">
        <f t="shared" si="3"/>
        <v>0</v>
      </c>
    </row>
    <row r="60" spans="1:16" s="29" customFormat="1" x14ac:dyDescent="0.2">
      <c r="A60" s="97" t="s">
        <v>7</v>
      </c>
      <c r="B60" s="98" t="s">
        <v>196</v>
      </c>
      <c r="C60" s="52" t="s">
        <v>47</v>
      </c>
      <c r="D60" s="53">
        <v>195.25</v>
      </c>
      <c r="E60" s="40"/>
      <c r="F60" s="99"/>
      <c r="G60" s="100">
        <f t="shared" si="3"/>
        <v>0</v>
      </c>
      <c r="I60" s="35">
        <f>1.2*1.2*28</f>
        <v>40.32</v>
      </c>
      <c r="J60" s="35">
        <f>1.65*1.65*26</f>
        <v>70.784999999999997</v>
      </c>
      <c r="K60" s="29">
        <f>SUM(I60:J60)</f>
        <v>111.10499999999999</v>
      </c>
      <c r="L60" s="29">
        <f>K60*1.25</f>
        <v>138.88124999999999</v>
      </c>
      <c r="M60" s="29">
        <f>2.3*10*2+1.85*9*2+5.125+5.05+1.725+1.925+1.85*3+1.2*7+1.5+2.3*4+2.1+3</f>
        <v>122.875</v>
      </c>
      <c r="N60" s="29">
        <f>M60*0.5</f>
        <v>61.4375</v>
      </c>
      <c r="O60" s="29">
        <f>N60*0.95</f>
        <v>58.365624999999994</v>
      </c>
      <c r="P60" s="29">
        <f>O60+L60</f>
        <v>197.24687499999999</v>
      </c>
    </row>
    <row r="61" spans="1:16" s="35" customFormat="1" x14ac:dyDescent="0.2">
      <c r="A61" s="36"/>
      <c r="B61" s="101"/>
      <c r="C61" s="52"/>
      <c r="D61" s="53"/>
      <c r="E61" s="40"/>
      <c r="F61" s="41"/>
      <c r="G61" s="56">
        <f t="shared" si="3"/>
        <v>0</v>
      </c>
    </row>
    <row r="62" spans="1:16" s="35" customFormat="1" x14ac:dyDescent="0.2">
      <c r="A62" s="36" t="s">
        <v>48</v>
      </c>
      <c r="B62" s="102" t="s">
        <v>49</v>
      </c>
      <c r="C62" s="52"/>
      <c r="D62" s="53"/>
      <c r="E62" s="40"/>
      <c r="F62" s="41"/>
      <c r="G62" s="42"/>
    </row>
    <row r="63" spans="1:16" s="35" customFormat="1" ht="25.5" customHeight="1" x14ac:dyDescent="0.25">
      <c r="A63" s="36"/>
      <c r="B63" s="103" t="s">
        <v>221</v>
      </c>
      <c r="C63" s="104"/>
      <c r="D63" s="104"/>
      <c r="E63" s="104"/>
      <c r="F63" s="41"/>
      <c r="G63" s="42"/>
    </row>
    <row r="64" spans="1:16" s="35" customFormat="1" ht="25.5" customHeight="1" x14ac:dyDescent="0.25">
      <c r="A64" s="36"/>
      <c r="B64" s="63" t="s">
        <v>222</v>
      </c>
      <c r="C64" s="105"/>
      <c r="D64" s="105"/>
      <c r="E64" s="105"/>
      <c r="F64" s="41"/>
      <c r="G64" s="42"/>
    </row>
    <row r="65" spans="1:10" s="35" customFormat="1" ht="36" x14ac:dyDescent="0.2">
      <c r="A65" s="36" t="s">
        <v>160</v>
      </c>
      <c r="B65" s="106" t="s">
        <v>348</v>
      </c>
      <c r="C65" s="52" t="s">
        <v>47</v>
      </c>
      <c r="D65" s="89">
        <v>251.6</v>
      </c>
      <c r="E65" s="40"/>
      <c r="F65" s="55"/>
      <c r="G65" s="56">
        <f t="shared" ref="G65:G71" si="4">(D65*E65)+(D65*F65)</f>
        <v>0</v>
      </c>
      <c r="I65" s="108">
        <f>D60-83.11</f>
        <v>112.14</v>
      </c>
    </row>
    <row r="66" spans="1:10" s="35" customFormat="1" ht="24" x14ac:dyDescent="0.2">
      <c r="A66" s="36" t="s">
        <v>161</v>
      </c>
      <c r="B66" s="106" t="s">
        <v>349</v>
      </c>
      <c r="C66" s="52" t="s">
        <v>44</v>
      </c>
      <c r="D66" s="89">
        <v>717.7</v>
      </c>
      <c r="E66" s="40"/>
      <c r="F66" s="55"/>
      <c r="G66" s="56">
        <f t="shared" ref="G66" si="5">(D66*E66)+(D66*F66)</f>
        <v>0</v>
      </c>
    </row>
    <row r="67" spans="1:10" s="35" customFormat="1" ht="38.25" customHeight="1" x14ac:dyDescent="0.2">
      <c r="A67" s="36" t="s">
        <v>171</v>
      </c>
      <c r="B67" s="106" t="s">
        <v>250</v>
      </c>
      <c r="C67" s="52" t="s">
        <v>44</v>
      </c>
      <c r="D67" s="89">
        <f>D66</f>
        <v>717.7</v>
      </c>
      <c r="E67" s="40"/>
      <c r="F67" s="55"/>
      <c r="G67" s="56">
        <f t="shared" si="4"/>
        <v>0</v>
      </c>
    </row>
    <row r="68" spans="1:10" s="35" customFormat="1" x14ac:dyDescent="0.2">
      <c r="A68" s="36">
        <v>2.5</v>
      </c>
      <c r="B68" s="94" t="s">
        <v>51</v>
      </c>
      <c r="C68" s="52"/>
      <c r="D68" s="53"/>
      <c r="E68" s="40"/>
      <c r="F68" s="55"/>
      <c r="G68" s="56">
        <f t="shared" si="4"/>
        <v>0</v>
      </c>
    </row>
    <row r="69" spans="1:10" s="35" customFormat="1" ht="27" customHeight="1" x14ac:dyDescent="0.2">
      <c r="A69" s="36"/>
      <c r="B69" s="107" t="s">
        <v>52</v>
      </c>
      <c r="C69" s="52"/>
      <c r="D69" s="53"/>
      <c r="E69" s="40"/>
      <c r="F69" s="55"/>
      <c r="G69" s="56">
        <f t="shared" si="4"/>
        <v>0</v>
      </c>
    </row>
    <row r="70" spans="1:10" s="35" customFormat="1" ht="24" x14ac:dyDescent="0.2">
      <c r="A70" s="36" t="s">
        <v>160</v>
      </c>
      <c r="B70" s="107" t="s">
        <v>53</v>
      </c>
      <c r="C70" s="52" t="s">
        <v>44</v>
      </c>
      <c r="D70" s="53">
        <f>726.65+D87+306</f>
        <v>1205.2</v>
      </c>
      <c r="E70" s="40"/>
      <c r="F70" s="55"/>
      <c r="G70" s="56">
        <f t="shared" si="4"/>
        <v>0</v>
      </c>
      <c r="J70" s="108"/>
    </row>
    <row r="71" spans="1:10" s="35" customFormat="1" x14ac:dyDescent="0.2">
      <c r="A71" s="36"/>
      <c r="B71" s="107"/>
      <c r="C71" s="52"/>
      <c r="D71" s="53"/>
      <c r="E71" s="40"/>
      <c r="F71" s="41"/>
      <c r="G71" s="56">
        <f t="shared" si="4"/>
        <v>0</v>
      </c>
    </row>
    <row r="72" spans="1:10" s="35" customFormat="1" x14ac:dyDescent="0.2">
      <c r="A72" s="36"/>
      <c r="B72" s="107"/>
      <c r="C72" s="52"/>
      <c r="D72" s="53"/>
      <c r="E72" s="40"/>
      <c r="F72" s="41"/>
      <c r="G72" s="42"/>
    </row>
    <row r="73" spans="1:10" s="35" customFormat="1" x14ac:dyDescent="0.2">
      <c r="A73" s="36"/>
      <c r="B73" s="107"/>
      <c r="C73" s="52"/>
      <c r="D73" s="53"/>
      <c r="E73" s="40"/>
      <c r="F73" s="41"/>
      <c r="G73" s="42"/>
    </row>
    <row r="74" spans="1:10" s="35" customFormat="1" x14ac:dyDescent="0.2">
      <c r="A74" s="36"/>
      <c r="B74" s="107"/>
      <c r="C74" s="52"/>
      <c r="D74" s="53"/>
      <c r="E74" s="40"/>
      <c r="F74" s="41"/>
      <c r="G74" s="42"/>
    </row>
    <row r="75" spans="1:10" s="35" customFormat="1" x14ac:dyDescent="0.2">
      <c r="A75" s="36"/>
      <c r="B75" s="107"/>
      <c r="C75" s="52"/>
      <c r="D75" s="53"/>
      <c r="E75" s="40"/>
      <c r="F75" s="41"/>
      <c r="G75" s="42"/>
    </row>
    <row r="76" spans="1:10" s="35" customFormat="1" ht="12.75" thickBot="1" x14ac:dyDescent="0.25">
      <c r="A76" s="36"/>
      <c r="B76" s="107"/>
      <c r="C76" s="52"/>
      <c r="D76" s="53"/>
      <c r="E76" s="40"/>
      <c r="F76" s="41"/>
      <c r="G76" s="42"/>
    </row>
    <row r="77" spans="1:10" s="35" customFormat="1" x14ac:dyDescent="0.2">
      <c r="A77" s="64"/>
      <c r="B77" s="65" t="s">
        <v>54</v>
      </c>
      <c r="C77" s="109"/>
      <c r="D77" s="67"/>
      <c r="E77" s="68"/>
      <c r="F77" s="33"/>
      <c r="G77" s="34"/>
    </row>
    <row r="78" spans="1:10" s="35" customFormat="1" ht="12.75" thickBot="1" x14ac:dyDescent="0.25">
      <c r="A78" s="69"/>
      <c r="B78" s="70" t="s">
        <v>55</v>
      </c>
      <c r="C78" s="110"/>
      <c r="D78" s="72"/>
      <c r="E78" s="73"/>
      <c r="F78" s="74"/>
      <c r="G78" s="75">
        <f>SUM(G52:G77)</f>
        <v>0</v>
      </c>
    </row>
    <row r="79" spans="1:10" s="35" customFormat="1" x14ac:dyDescent="0.2">
      <c r="A79" s="36"/>
      <c r="B79" s="76"/>
      <c r="C79" s="52"/>
      <c r="D79" s="53"/>
      <c r="E79" s="40"/>
      <c r="F79" s="41"/>
      <c r="G79" s="111"/>
    </row>
    <row r="80" spans="1:10" s="35" customFormat="1" x14ac:dyDescent="0.2">
      <c r="A80" s="36"/>
      <c r="B80" s="45" t="s">
        <v>56</v>
      </c>
      <c r="C80" s="52"/>
      <c r="D80" s="53"/>
      <c r="E80" s="40"/>
      <c r="F80" s="41"/>
      <c r="G80" s="42"/>
    </row>
    <row r="81" spans="1:18" s="35" customFormat="1" x14ac:dyDescent="0.2">
      <c r="A81" s="36" t="s">
        <v>57</v>
      </c>
      <c r="B81" s="112" t="s">
        <v>58</v>
      </c>
      <c r="C81" s="52"/>
      <c r="D81" s="53"/>
      <c r="E81" s="40"/>
      <c r="F81" s="41"/>
      <c r="G81" s="42"/>
    </row>
    <row r="82" spans="1:18" s="35" customFormat="1" ht="58.5" customHeight="1" x14ac:dyDescent="0.25">
      <c r="A82" s="36"/>
      <c r="B82" s="103" t="s">
        <v>207</v>
      </c>
      <c r="C82" s="104"/>
      <c r="D82" s="104"/>
      <c r="E82" s="104"/>
      <c r="F82" s="104"/>
      <c r="G82" s="113"/>
    </row>
    <row r="83" spans="1:18" s="35" customFormat="1" ht="35.25" customHeight="1" x14ac:dyDescent="0.25">
      <c r="A83" s="36"/>
      <c r="B83" s="103" t="s">
        <v>206</v>
      </c>
      <c r="C83" s="104"/>
      <c r="D83" s="104"/>
      <c r="E83" s="104"/>
      <c r="F83" s="104"/>
      <c r="G83" s="113"/>
    </row>
    <row r="84" spans="1:18" s="35" customFormat="1" ht="36" customHeight="1" x14ac:dyDescent="0.25">
      <c r="A84" s="36"/>
      <c r="B84" s="103" t="s">
        <v>154</v>
      </c>
      <c r="C84" s="104"/>
      <c r="D84" s="104"/>
      <c r="E84" s="104"/>
      <c r="F84" s="104"/>
      <c r="G84" s="113"/>
    </row>
    <row r="85" spans="1:18" s="35" customFormat="1" ht="15" customHeight="1" x14ac:dyDescent="0.2">
      <c r="A85" s="114" t="s">
        <v>62</v>
      </c>
      <c r="B85" s="115" t="s">
        <v>63</v>
      </c>
      <c r="C85" s="116"/>
      <c r="D85" s="117"/>
      <c r="E85" s="118"/>
      <c r="F85" s="119"/>
      <c r="G85" s="120"/>
    </row>
    <row r="86" spans="1:18" s="124" customFormat="1" ht="14.25" customHeight="1" x14ac:dyDescent="0.25">
      <c r="A86" s="59"/>
      <c r="B86" s="94" t="s">
        <v>234</v>
      </c>
      <c r="C86" s="61"/>
      <c r="D86" s="62"/>
      <c r="E86" s="121"/>
      <c r="F86" s="122"/>
      <c r="G86" s="123"/>
      <c r="I86" s="35"/>
      <c r="J86" s="35"/>
      <c r="K86" s="35"/>
      <c r="L86" s="35"/>
      <c r="M86" s="35"/>
      <c r="N86" s="35"/>
      <c r="O86" s="35"/>
      <c r="P86" s="35"/>
      <c r="Q86" s="35"/>
      <c r="R86" s="35"/>
    </row>
    <row r="87" spans="1:18" s="35" customFormat="1" ht="12" customHeight="1" x14ac:dyDescent="0.2">
      <c r="A87" s="36"/>
      <c r="B87" s="101" t="s">
        <v>246</v>
      </c>
      <c r="C87" s="52" t="s">
        <v>44</v>
      </c>
      <c r="D87" s="53">
        <v>172.55</v>
      </c>
      <c r="E87" s="40"/>
      <c r="F87" s="55"/>
      <c r="G87" s="56">
        <f t="shared" ref="G87" si="6">(D87*E87)+(D87*F87)</f>
        <v>0</v>
      </c>
      <c r="I87" s="35">
        <f>1.2*1.2*28</f>
        <v>40.32</v>
      </c>
      <c r="J87" s="35">
        <f>1.65*1.65*26</f>
        <v>70.784999999999997</v>
      </c>
      <c r="K87" s="29">
        <f>SUM(I87:J87)</f>
        <v>111.10499999999999</v>
      </c>
      <c r="L87" s="29"/>
      <c r="M87" s="29">
        <f>2.3*10*2+1.85*9*2+5.125+5.05+1.725+1.925+1.85*3+1.2*7+1.5+2.3*4+2.1+3</f>
        <v>122.875</v>
      </c>
      <c r="N87" s="29">
        <f>M87*0.5</f>
        <v>61.4375</v>
      </c>
      <c r="O87" s="29">
        <f>N87+K87</f>
        <v>172.54249999999999</v>
      </c>
      <c r="P87" s="29"/>
    </row>
    <row r="88" spans="1:18" s="35" customFormat="1" ht="15" customHeight="1" x14ac:dyDescent="0.2">
      <c r="A88" s="125" t="s">
        <v>68</v>
      </c>
      <c r="B88" s="126" t="s">
        <v>13</v>
      </c>
      <c r="C88" s="127"/>
      <c r="D88" s="117"/>
      <c r="E88" s="118"/>
      <c r="F88" s="119"/>
      <c r="G88" s="120"/>
    </row>
    <row r="89" spans="1:18" x14ac:dyDescent="0.2">
      <c r="A89" s="128" t="s">
        <v>147</v>
      </c>
      <c r="B89" s="129" t="s">
        <v>64</v>
      </c>
      <c r="C89" s="130"/>
      <c r="D89" s="131"/>
      <c r="E89" s="132"/>
      <c r="F89" s="133"/>
      <c r="G89" s="134"/>
    </row>
    <row r="90" spans="1:18" x14ac:dyDescent="0.2">
      <c r="A90" s="36"/>
      <c r="B90" s="101" t="s">
        <v>369</v>
      </c>
      <c r="C90" s="52" t="s">
        <v>47</v>
      </c>
      <c r="D90" s="53">
        <v>6.8040000000000003</v>
      </c>
      <c r="E90" s="40"/>
      <c r="F90" s="55"/>
      <c r="G90" s="56">
        <f t="shared" ref="G90:G92" si="7">(D90*E90)+(D90*F90)</f>
        <v>0</v>
      </c>
      <c r="I90" s="35">
        <f>0.9*0.9*0.3*28</f>
        <v>6.8040000000000003</v>
      </c>
      <c r="J90" s="35"/>
      <c r="K90" s="35"/>
      <c r="L90" s="35"/>
      <c r="M90" s="35"/>
      <c r="N90" s="35"/>
      <c r="O90" s="35"/>
      <c r="P90" s="35"/>
      <c r="Q90" s="35"/>
    </row>
    <row r="91" spans="1:18" x14ac:dyDescent="0.2">
      <c r="A91" s="36"/>
      <c r="B91" s="101" t="s">
        <v>370</v>
      </c>
      <c r="C91" s="52" t="s">
        <v>47</v>
      </c>
      <c r="D91" s="53">
        <v>14.22</v>
      </c>
      <c r="E91" s="40"/>
      <c r="F91" s="55"/>
      <c r="G91" s="56">
        <f t="shared" si="7"/>
        <v>0</v>
      </c>
      <c r="I91" s="35">
        <f>1.35*1.35*0.3*26</f>
        <v>14.215500000000002</v>
      </c>
      <c r="J91" s="35"/>
      <c r="K91" s="35"/>
      <c r="L91" s="35"/>
      <c r="M91" s="35"/>
      <c r="N91" s="35"/>
      <c r="O91" s="35"/>
      <c r="P91" s="35"/>
      <c r="Q91" s="35"/>
    </row>
    <row r="92" spans="1:18" x14ac:dyDescent="0.2">
      <c r="A92" s="36"/>
      <c r="B92" s="101" t="s">
        <v>371</v>
      </c>
      <c r="C92" s="52" t="s">
        <v>47</v>
      </c>
      <c r="D92" s="53">
        <v>11.4</v>
      </c>
      <c r="E92" s="40"/>
      <c r="F92" s="55"/>
      <c r="G92" s="56">
        <f t="shared" si="7"/>
        <v>0</v>
      </c>
      <c r="I92" s="135">
        <f>32.2*2+28.6*2+20.4*2+18.35+2.2*4</f>
        <v>189.55</v>
      </c>
      <c r="J92" s="108"/>
      <c r="K92" s="108">
        <f>I92*0.2*0.3</f>
        <v>11.373000000000001</v>
      </c>
      <c r="L92" s="136"/>
      <c r="M92" s="35"/>
      <c r="N92" s="136"/>
    </row>
    <row r="93" spans="1:18" x14ac:dyDescent="0.2">
      <c r="A93" s="128" t="s">
        <v>148</v>
      </c>
      <c r="B93" s="129" t="s">
        <v>67</v>
      </c>
      <c r="C93" s="130"/>
      <c r="D93" s="131"/>
      <c r="E93" s="132"/>
      <c r="F93" s="133"/>
      <c r="G93" s="134"/>
    </row>
    <row r="94" spans="1:18" x14ac:dyDescent="0.2">
      <c r="A94" s="140" t="s">
        <v>152</v>
      </c>
      <c r="B94" s="141" t="s">
        <v>167</v>
      </c>
      <c r="C94" s="142"/>
      <c r="D94" s="143"/>
      <c r="E94" s="144"/>
      <c r="F94" s="145"/>
      <c r="G94" s="146"/>
    </row>
    <row r="95" spans="1:18" ht="13.5" x14ac:dyDescent="0.2">
      <c r="A95" s="137"/>
      <c r="B95" s="138" t="s">
        <v>372</v>
      </c>
      <c r="C95" s="139" t="s">
        <v>304</v>
      </c>
      <c r="D95" s="87">
        <v>5.55</v>
      </c>
      <c r="E95" s="40"/>
      <c r="F95" s="55"/>
      <c r="G95" s="56">
        <f t="shared" ref="G95:G96" si="8">(D95*E95)+(D95*F95)</f>
        <v>0</v>
      </c>
      <c r="I95" s="28">
        <f>0.2*0.2*28*4.95</f>
        <v>5.5440000000000005</v>
      </c>
    </row>
    <row r="96" spans="1:18" ht="13.5" x14ac:dyDescent="0.2">
      <c r="A96" s="137"/>
      <c r="B96" s="138" t="s">
        <v>373</v>
      </c>
      <c r="C96" s="139" t="s">
        <v>304</v>
      </c>
      <c r="D96" s="87">
        <v>11.26</v>
      </c>
      <c r="E96" s="40"/>
      <c r="F96" s="55"/>
      <c r="G96" s="56">
        <f t="shared" si="8"/>
        <v>0</v>
      </c>
      <c r="I96" s="28">
        <f>0.35*0.25*26*4.95</f>
        <v>11.26125</v>
      </c>
    </row>
    <row r="97" spans="1:13" x14ac:dyDescent="0.2">
      <c r="A97" s="140" t="s">
        <v>10</v>
      </c>
      <c r="B97" s="141" t="s">
        <v>189</v>
      </c>
      <c r="C97" s="142"/>
      <c r="D97" s="143"/>
      <c r="E97" s="144"/>
      <c r="F97" s="55"/>
      <c r="G97" s="56">
        <f t="shared" ref="G97:G98" si="9">(D97*E97)+(D97*F97)</f>
        <v>0</v>
      </c>
    </row>
    <row r="98" spans="1:13" ht="13.5" x14ac:dyDescent="0.2">
      <c r="A98" s="137"/>
      <c r="B98" s="138" t="s">
        <v>350</v>
      </c>
      <c r="C98" s="139" t="s">
        <v>304</v>
      </c>
      <c r="D98" s="87">
        <v>3.87</v>
      </c>
      <c r="E98" s="40"/>
      <c r="F98" s="55"/>
      <c r="G98" s="56">
        <f t="shared" si="9"/>
        <v>0</v>
      </c>
      <c r="I98" s="28">
        <f>4.2+3.6</f>
        <v>7.8000000000000007</v>
      </c>
      <c r="J98" s="28">
        <f>I98*0.175*1.5</f>
        <v>2.0474999999999999</v>
      </c>
      <c r="K98" s="28">
        <f>1.7*3.1*0.175</f>
        <v>0.9222499999999999</v>
      </c>
      <c r="L98" s="28">
        <f>1.5*0.024*25</f>
        <v>0.90000000000000013</v>
      </c>
      <c r="M98" s="28">
        <f>SUM(J98:L98)</f>
        <v>3.8697499999999998</v>
      </c>
    </row>
    <row r="99" spans="1:13" x14ac:dyDescent="0.2">
      <c r="A99" s="140" t="s">
        <v>16</v>
      </c>
      <c r="B99" s="141" t="s">
        <v>191</v>
      </c>
      <c r="C99" s="142"/>
      <c r="D99" s="143"/>
      <c r="E99" s="144"/>
      <c r="F99" s="55"/>
      <c r="G99" s="56">
        <f t="shared" ref="G99:G100" si="10">(D99*E99)+(D99*F99)</f>
        <v>0</v>
      </c>
    </row>
    <row r="100" spans="1:13" ht="13.5" x14ac:dyDescent="0.2">
      <c r="A100" s="137"/>
      <c r="B100" s="138" t="s">
        <v>251</v>
      </c>
      <c r="C100" s="139" t="s">
        <v>304</v>
      </c>
      <c r="D100" s="87">
        <v>72.7</v>
      </c>
      <c r="E100" s="40"/>
      <c r="F100" s="55"/>
      <c r="G100" s="56">
        <f t="shared" si="10"/>
        <v>0</v>
      </c>
      <c r="I100" s="28">
        <v>726.7</v>
      </c>
      <c r="K100" s="28">
        <f>SUM(I100:J100)</f>
        <v>726.7</v>
      </c>
      <c r="L100" s="28">
        <f>K100*0.1</f>
        <v>72.67</v>
      </c>
    </row>
    <row r="101" spans="1:13" x14ac:dyDescent="0.2">
      <c r="A101" s="137"/>
      <c r="B101" s="138"/>
      <c r="C101" s="139"/>
      <c r="D101" s="87"/>
      <c r="E101" s="40"/>
      <c r="F101" s="55"/>
      <c r="G101" s="56"/>
    </row>
    <row r="102" spans="1:13" x14ac:dyDescent="0.2">
      <c r="A102" s="128" t="s">
        <v>57</v>
      </c>
      <c r="B102" s="129" t="s">
        <v>69</v>
      </c>
      <c r="C102" s="130"/>
      <c r="D102" s="131"/>
      <c r="E102" s="132"/>
      <c r="F102" s="133"/>
      <c r="G102" s="134"/>
    </row>
    <row r="103" spans="1:13" x14ac:dyDescent="0.2">
      <c r="A103" s="140" t="s">
        <v>153</v>
      </c>
      <c r="B103" s="141" t="s">
        <v>252</v>
      </c>
      <c r="C103" s="142"/>
      <c r="D103" s="143"/>
      <c r="E103" s="144"/>
      <c r="F103" s="145"/>
      <c r="G103" s="146"/>
    </row>
    <row r="104" spans="1:13" ht="13.5" x14ac:dyDescent="0.2">
      <c r="A104" s="137"/>
      <c r="B104" s="138" t="s">
        <v>381</v>
      </c>
      <c r="C104" s="139" t="s">
        <v>304</v>
      </c>
      <c r="D104" s="87">
        <v>8.27</v>
      </c>
      <c r="E104" s="40"/>
      <c r="F104" s="55"/>
      <c r="G104" s="56">
        <f t="shared" ref="G104:G105" si="11">(D104*E104)+(D104*F104)</f>
        <v>0</v>
      </c>
      <c r="I104" s="28">
        <f>2.975*2+2.95*8*2+2.975+2.95*3+2.75+6.125+6.05+2.725</f>
        <v>82.625</v>
      </c>
      <c r="J104" s="28">
        <f>I104*0.25*0.4</f>
        <v>8.2625000000000011</v>
      </c>
    </row>
    <row r="105" spans="1:13" ht="13.5" x14ac:dyDescent="0.2">
      <c r="A105" s="137"/>
      <c r="B105" s="138" t="s">
        <v>382</v>
      </c>
      <c r="C105" s="139" t="s">
        <v>304</v>
      </c>
      <c r="D105" s="87">
        <v>7.51</v>
      </c>
      <c r="E105" s="40"/>
      <c r="F105" s="55"/>
      <c r="G105" s="56">
        <f t="shared" si="11"/>
        <v>0</v>
      </c>
      <c r="I105" s="28">
        <f>3*10*2+2.2*2+2.8+3*4+2.05*5+2.2*2</f>
        <v>93.850000000000009</v>
      </c>
      <c r="J105" s="28">
        <f>I105*0.2*0.4</f>
        <v>7.5080000000000018</v>
      </c>
    </row>
    <row r="106" spans="1:13" x14ac:dyDescent="0.2">
      <c r="A106" s="140" t="s">
        <v>68</v>
      </c>
      <c r="B106" s="141" t="s">
        <v>253</v>
      </c>
      <c r="C106" s="142"/>
      <c r="D106" s="143"/>
      <c r="E106" s="144"/>
      <c r="F106" s="55"/>
      <c r="G106" s="56">
        <f t="shared" ref="G106:G107" si="12">(D106*E106)+(D106*F106)</f>
        <v>0</v>
      </c>
    </row>
    <row r="107" spans="1:13" ht="13.5" x14ac:dyDescent="0.2">
      <c r="A107" s="137"/>
      <c r="B107" s="138" t="s">
        <v>254</v>
      </c>
      <c r="C107" s="139" t="s">
        <v>304</v>
      </c>
      <c r="D107" s="87">
        <v>25.33</v>
      </c>
      <c r="E107" s="40"/>
      <c r="F107" s="55"/>
      <c r="G107" s="56">
        <f t="shared" si="12"/>
        <v>0</v>
      </c>
      <c r="I107" s="28">
        <f>32.55*0.35*2+20.8*0.35+31.8*2.2+13.7*3+12.6*2.2</f>
        <v>168.845</v>
      </c>
      <c r="J107" s="28">
        <f>I107*0.15</f>
        <v>25.326750000000001</v>
      </c>
    </row>
    <row r="108" spans="1:13" ht="13.5" x14ac:dyDescent="0.2">
      <c r="A108" s="137"/>
      <c r="B108" s="138" t="s">
        <v>397</v>
      </c>
      <c r="C108" s="139" t="s">
        <v>304</v>
      </c>
      <c r="D108" s="87">
        <v>11</v>
      </c>
      <c r="E108" s="40"/>
      <c r="F108" s="55"/>
      <c r="G108" s="56">
        <f t="shared" ref="G108" si="13">(D108*E108)+(D108*F108)</f>
        <v>0</v>
      </c>
      <c r="I108" s="28">
        <f>19.2*1.2*2+13.25*1.7</f>
        <v>68.60499999999999</v>
      </c>
      <c r="J108" s="28">
        <f>I108*0.16</f>
        <v>10.976799999999999</v>
      </c>
    </row>
    <row r="109" spans="1:13" x14ac:dyDescent="0.2">
      <c r="A109" s="140" t="s">
        <v>71</v>
      </c>
      <c r="B109" s="141" t="s">
        <v>167</v>
      </c>
      <c r="C109" s="142"/>
      <c r="D109" s="143"/>
      <c r="E109" s="144"/>
      <c r="F109" s="145"/>
      <c r="G109" s="146"/>
    </row>
    <row r="110" spans="1:13" ht="13.5" x14ac:dyDescent="0.2">
      <c r="A110" s="137"/>
      <c r="B110" s="138" t="s">
        <v>384</v>
      </c>
      <c r="C110" s="139" t="s">
        <v>304</v>
      </c>
      <c r="D110" s="87">
        <v>0.78</v>
      </c>
      <c r="E110" s="40"/>
      <c r="F110" s="55"/>
      <c r="G110" s="56">
        <f t="shared" ref="G110:G111" si="14">(D110*E110)+(D110*F110)</f>
        <v>0</v>
      </c>
      <c r="I110" s="28">
        <f>0.2*0.2*5*3.9</f>
        <v>0.78000000000000014</v>
      </c>
    </row>
    <row r="111" spans="1:13" ht="13.5" x14ac:dyDescent="0.2">
      <c r="A111" s="137"/>
      <c r="B111" s="138" t="s">
        <v>374</v>
      </c>
      <c r="C111" s="139" t="s">
        <v>304</v>
      </c>
      <c r="D111" s="87">
        <v>8.8729999999999993</v>
      </c>
      <c r="E111" s="40"/>
      <c r="F111" s="55"/>
      <c r="G111" s="56">
        <f t="shared" si="14"/>
        <v>0</v>
      </c>
      <c r="I111" s="28">
        <f>0.35*0.25*26*3.9</f>
        <v>8.8724999999999987</v>
      </c>
    </row>
    <row r="112" spans="1:13" x14ac:dyDescent="0.2">
      <c r="A112" s="137"/>
      <c r="B112" s="138"/>
      <c r="C112" s="139"/>
      <c r="D112" s="87"/>
      <c r="E112" s="40"/>
      <c r="F112" s="55"/>
      <c r="G112" s="56"/>
    </row>
    <row r="113" spans="1:10" x14ac:dyDescent="0.2">
      <c r="A113" s="128" t="s">
        <v>150</v>
      </c>
      <c r="B113" s="129" t="s">
        <v>237</v>
      </c>
      <c r="C113" s="130"/>
      <c r="D113" s="131"/>
      <c r="E113" s="132"/>
      <c r="F113" s="133"/>
      <c r="G113" s="134"/>
    </row>
    <row r="114" spans="1:10" x14ac:dyDescent="0.2">
      <c r="A114" s="140" t="s">
        <v>109</v>
      </c>
      <c r="B114" s="141" t="s">
        <v>248</v>
      </c>
      <c r="C114" s="142"/>
      <c r="D114" s="143"/>
      <c r="E114" s="144"/>
      <c r="F114" s="145"/>
      <c r="G114" s="146"/>
    </row>
    <row r="115" spans="1:10" ht="13.5" x14ac:dyDescent="0.2">
      <c r="A115" s="137"/>
      <c r="B115" s="138" t="s">
        <v>383</v>
      </c>
      <c r="C115" s="139" t="s">
        <v>304</v>
      </c>
      <c r="D115" s="87">
        <v>6.6420000000000003</v>
      </c>
      <c r="E115" s="40"/>
      <c r="F115" s="55"/>
      <c r="G115" s="56">
        <f t="shared" ref="G115:G116" si="15">(D115*E115)+(D115*F115)</f>
        <v>0</v>
      </c>
      <c r="I115" s="28">
        <f>2.85*9*2+6.125+6.05+2.725+2.975+2.95*4+2.05</f>
        <v>83.024999999999991</v>
      </c>
      <c r="J115" s="28">
        <f>I115*0.2*0.4</f>
        <v>6.6420000000000003</v>
      </c>
    </row>
    <row r="116" spans="1:10" ht="13.5" x14ac:dyDescent="0.2">
      <c r="A116" s="137"/>
      <c r="B116" s="138" t="s">
        <v>382</v>
      </c>
      <c r="C116" s="139" t="s">
        <v>304</v>
      </c>
      <c r="D116" s="87">
        <v>1.1240000000000001</v>
      </c>
      <c r="E116" s="40"/>
      <c r="F116" s="55"/>
      <c r="G116" s="56">
        <f t="shared" si="15"/>
        <v>0</v>
      </c>
      <c r="I116" s="28">
        <f>3*3+2.85+2.2</f>
        <v>14.05</v>
      </c>
      <c r="J116" s="28">
        <f>I116*0.2*0.4</f>
        <v>1.1240000000000003</v>
      </c>
    </row>
    <row r="117" spans="1:10" x14ac:dyDescent="0.2">
      <c r="A117" s="140" t="s">
        <v>140</v>
      </c>
      <c r="B117" s="141" t="s">
        <v>351</v>
      </c>
      <c r="C117" s="142"/>
      <c r="D117" s="143"/>
      <c r="E117" s="144"/>
      <c r="F117" s="55"/>
      <c r="G117" s="56">
        <f t="shared" ref="G117:G118" si="16">(D117*E117)+(D117*F117)</f>
        <v>0</v>
      </c>
    </row>
    <row r="118" spans="1:10" ht="13.5" x14ac:dyDescent="0.2">
      <c r="A118" s="137"/>
      <c r="B118" s="138" t="s">
        <v>254</v>
      </c>
      <c r="C118" s="139" t="s">
        <v>304</v>
      </c>
      <c r="D118" s="87">
        <v>3.8</v>
      </c>
      <c r="E118" s="40"/>
      <c r="F118" s="55"/>
      <c r="G118" s="56">
        <f t="shared" si="16"/>
        <v>0</v>
      </c>
      <c r="I118" s="28">
        <f>8.4*3</f>
        <v>25.200000000000003</v>
      </c>
      <c r="J118" s="28">
        <f>I118*0.15</f>
        <v>3.7800000000000002</v>
      </c>
    </row>
    <row r="119" spans="1:10" x14ac:dyDescent="0.2">
      <c r="A119" s="140" t="s">
        <v>141</v>
      </c>
      <c r="B119" s="141" t="s">
        <v>260</v>
      </c>
      <c r="C119" s="142"/>
      <c r="D119" s="143"/>
      <c r="E119" s="144"/>
      <c r="F119" s="55"/>
      <c r="G119" s="56">
        <f t="shared" ref="G119:G120" si="17">(D119*E119)+(D119*F119)</f>
        <v>0</v>
      </c>
    </row>
    <row r="120" spans="1:10" ht="24" x14ac:dyDescent="0.2">
      <c r="A120" s="137"/>
      <c r="B120" s="138" t="s">
        <v>352</v>
      </c>
      <c r="C120" s="139" t="s">
        <v>304</v>
      </c>
      <c r="D120" s="87">
        <v>4.75</v>
      </c>
      <c r="E120" s="40"/>
      <c r="F120" s="55"/>
      <c r="G120" s="56">
        <f t="shared" si="17"/>
        <v>0</v>
      </c>
      <c r="I120" s="28">
        <f>16.7*2+3*2</f>
        <v>39.4</v>
      </c>
      <c r="J120" s="28">
        <f>I120*0.2*0.6</f>
        <v>4.7279999999999998</v>
      </c>
    </row>
    <row r="121" spans="1:10" x14ac:dyDescent="0.2">
      <c r="A121" s="137"/>
      <c r="B121" s="138"/>
      <c r="C121" s="139"/>
      <c r="D121" s="87"/>
      <c r="E121" s="40"/>
      <c r="F121" s="55"/>
      <c r="G121" s="56"/>
    </row>
    <row r="122" spans="1:10" x14ac:dyDescent="0.2">
      <c r="A122" s="137"/>
      <c r="B122" s="138"/>
      <c r="C122" s="139"/>
      <c r="D122" s="87"/>
      <c r="E122" s="40"/>
      <c r="F122" s="55"/>
      <c r="G122" s="56"/>
    </row>
    <row r="123" spans="1:10" x14ac:dyDescent="0.2">
      <c r="A123" s="137"/>
      <c r="B123" s="138"/>
      <c r="C123" s="139"/>
      <c r="D123" s="87"/>
      <c r="E123" s="40"/>
      <c r="F123" s="55"/>
      <c r="G123" s="56"/>
    </row>
    <row r="124" spans="1:10" x14ac:dyDescent="0.2">
      <c r="A124" s="137"/>
      <c r="B124" s="138"/>
      <c r="C124" s="139"/>
      <c r="D124" s="87"/>
      <c r="E124" s="40"/>
      <c r="F124" s="55"/>
      <c r="G124" s="56"/>
    </row>
    <row r="125" spans="1:10" x14ac:dyDescent="0.2">
      <c r="A125" s="137"/>
      <c r="B125" s="138"/>
      <c r="C125" s="139"/>
      <c r="D125" s="87"/>
      <c r="E125" s="40"/>
      <c r="F125" s="55"/>
      <c r="G125" s="56"/>
    </row>
    <row r="126" spans="1:10" ht="12.75" thickBot="1" x14ac:dyDescent="0.25">
      <c r="A126" s="147"/>
      <c r="B126" s="148"/>
      <c r="C126" s="149"/>
      <c r="D126" s="150"/>
      <c r="E126" s="73"/>
      <c r="F126" s="151"/>
      <c r="G126" s="152"/>
    </row>
    <row r="127" spans="1:10" x14ac:dyDescent="0.2">
      <c r="A127" s="114" t="s">
        <v>71</v>
      </c>
      <c r="B127" s="153" t="s">
        <v>12</v>
      </c>
      <c r="C127" s="127"/>
      <c r="D127" s="117"/>
      <c r="E127" s="118"/>
      <c r="F127" s="117"/>
      <c r="G127" s="154"/>
    </row>
    <row r="128" spans="1:10" ht="25.5" customHeight="1" x14ac:dyDescent="0.2">
      <c r="A128" s="36"/>
      <c r="B128" s="63" t="s">
        <v>131</v>
      </c>
      <c r="C128" s="63"/>
      <c r="D128" s="63"/>
      <c r="E128" s="63"/>
      <c r="F128" s="63"/>
      <c r="G128" s="155"/>
    </row>
    <row r="129" spans="1:17" ht="76.5" customHeight="1" x14ac:dyDescent="0.2">
      <c r="A129" s="36"/>
      <c r="B129" s="63" t="s">
        <v>72</v>
      </c>
      <c r="C129" s="63"/>
      <c r="D129" s="63"/>
      <c r="E129" s="63"/>
      <c r="F129" s="63"/>
      <c r="G129" s="155"/>
    </row>
    <row r="130" spans="1:17" ht="52.5" customHeight="1" x14ac:dyDescent="0.2">
      <c r="A130" s="36"/>
      <c r="B130" s="63" t="s">
        <v>73</v>
      </c>
      <c r="C130" s="63"/>
      <c r="D130" s="63"/>
      <c r="E130" s="63"/>
      <c r="F130" s="63"/>
      <c r="G130" s="155"/>
    </row>
    <row r="131" spans="1:17" ht="60.75" customHeight="1" x14ac:dyDescent="0.2">
      <c r="A131" s="36"/>
      <c r="B131" s="58" t="s">
        <v>74</v>
      </c>
      <c r="C131" s="58"/>
      <c r="D131" s="58"/>
      <c r="E131" s="58"/>
      <c r="F131" s="58"/>
      <c r="G131" s="156"/>
    </row>
    <row r="132" spans="1:17" x14ac:dyDescent="0.2">
      <c r="A132" s="128" t="s">
        <v>147</v>
      </c>
      <c r="B132" s="129" t="s">
        <v>64</v>
      </c>
      <c r="C132" s="130"/>
      <c r="D132" s="131"/>
      <c r="E132" s="132"/>
      <c r="F132" s="133"/>
      <c r="G132" s="134"/>
    </row>
    <row r="133" spans="1:17" ht="13.5" x14ac:dyDescent="0.2">
      <c r="A133" s="36"/>
      <c r="B133" s="101" t="s">
        <v>369</v>
      </c>
      <c r="C133" s="157" t="s">
        <v>305</v>
      </c>
      <c r="D133" s="53">
        <v>30.24</v>
      </c>
      <c r="E133" s="40"/>
      <c r="F133" s="55"/>
      <c r="G133" s="56">
        <f t="shared" ref="G133:G135" si="18">(D133*E133)+(D133*F133)</f>
        <v>0</v>
      </c>
      <c r="I133" s="35">
        <f>0.9*4*0.3*28</f>
        <v>30.240000000000002</v>
      </c>
      <c r="J133" s="35"/>
      <c r="K133" s="35"/>
      <c r="L133" s="35"/>
      <c r="M133" s="28">
        <f>2.65*2+2.875*3+214.15</f>
        <v>228.07500000000002</v>
      </c>
      <c r="N133" s="35"/>
      <c r="O133" s="35"/>
      <c r="P133" s="35"/>
      <c r="Q133" s="35"/>
    </row>
    <row r="134" spans="1:17" ht="13.5" x14ac:dyDescent="0.2">
      <c r="A134" s="36"/>
      <c r="B134" s="101" t="s">
        <v>370</v>
      </c>
      <c r="C134" s="157" t="s">
        <v>305</v>
      </c>
      <c r="D134" s="53">
        <v>42.12</v>
      </c>
      <c r="E134" s="40"/>
      <c r="F134" s="55"/>
      <c r="G134" s="56">
        <f t="shared" si="18"/>
        <v>0</v>
      </c>
      <c r="I134" s="35">
        <f>1.35*4*0.3*26</f>
        <v>42.120000000000005</v>
      </c>
      <c r="J134" s="35"/>
      <c r="K134" s="35"/>
      <c r="L134" s="35"/>
      <c r="M134" s="35"/>
      <c r="N134" s="136"/>
    </row>
    <row r="135" spans="1:17" ht="13.5" x14ac:dyDescent="0.2">
      <c r="A135" s="36"/>
      <c r="B135" s="101" t="s">
        <v>371</v>
      </c>
      <c r="C135" s="157" t="s">
        <v>305</v>
      </c>
      <c r="D135" s="53">
        <v>113.73</v>
      </c>
      <c r="E135" s="40"/>
      <c r="F135" s="55"/>
      <c r="G135" s="56">
        <f t="shared" si="18"/>
        <v>0</v>
      </c>
      <c r="I135" s="135">
        <f>32.2*2+28.6*2+20.4*2+18.35+2.2*4</f>
        <v>189.55</v>
      </c>
      <c r="J135" s="108">
        <f>I135*0.3*2</f>
        <v>113.73</v>
      </c>
      <c r="K135" s="108"/>
      <c r="L135" s="35"/>
      <c r="M135" s="35"/>
      <c r="N135" s="136"/>
    </row>
    <row r="136" spans="1:17" x14ac:dyDescent="0.2">
      <c r="A136" s="128" t="s">
        <v>148</v>
      </c>
      <c r="B136" s="129" t="s">
        <v>67</v>
      </c>
      <c r="C136" s="130"/>
      <c r="D136" s="131"/>
      <c r="E136" s="132"/>
      <c r="F136" s="133"/>
      <c r="G136" s="134"/>
    </row>
    <row r="137" spans="1:17" x14ac:dyDescent="0.2">
      <c r="A137" s="140" t="s">
        <v>152</v>
      </c>
      <c r="B137" s="141" t="s">
        <v>167</v>
      </c>
      <c r="C137" s="142"/>
      <c r="D137" s="143"/>
      <c r="E137" s="144"/>
      <c r="F137" s="145"/>
      <c r="G137" s="146"/>
    </row>
    <row r="138" spans="1:17" ht="13.5" x14ac:dyDescent="0.2">
      <c r="A138" s="137"/>
      <c r="B138" s="138" t="s">
        <v>372</v>
      </c>
      <c r="C138" s="157" t="s">
        <v>305</v>
      </c>
      <c r="D138" s="87">
        <v>110.9</v>
      </c>
      <c r="E138" s="40"/>
      <c r="F138" s="55"/>
      <c r="G138" s="56">
        <f t="shared" ref="G138:G139" si="19">(D138*E138)+(D138*F138)</f>
        <v>0</v>
      </c>
      <c r="I138" s="28">
        <f>0.2*4*28*4.95</f>
        <v>110.88000000000001</v>
      </c>
    </row>
    <row r="139" spans="1:17" ht="13.5" x14ac:dyDescent="0.2">
      <c r="A139" s="137"/>
      <c r="B139" s="138" t="s">
        <v>373</v>
      </c>
      <c r="C139" s="157" t="s">
        <v>305</v>
      </c>
      <c r="D139" s="87">
        <v>154.44</v>
      </c>
      <c r="E139" s="40"/>
      <c r="F139" s="55"/>
      <c r="G139" s="56">
        <f t="shared" si="19"/>
        <v>0</v>
      </c>
      <c r="I139" s="28">
        <f>(0.35+0.25)*2*26*4.95</f>
        <v>154.44</v>
      </c>
    </row>
    <row r="140" spans="1:17" x14ac:dyDescent="0.2">
      <c r="A140" s="140" t="s">
        <v>10</v>
      </c>
      <c r="B140" s="141" t="s">
        <v>189</v>
      </c>
      <c r="C140" s="142"/>
      <c r="D140" s="143"/>
      <c r="E140" s="144"/>
      <c r="F140" s="55"/>
      <c r="G140" s="56">
        <f t="shared" ref="G140:G143" si="20">(D140*E140)+(D140*F140)</f>
        <v>0</v>
      </c>
    </row>
    <row r="141" spans="1:17" ht="13.5" x14ac:dyDescent="0.2">
      <c r="A141" s="137"/>
      <c r="B141" s="138" t="s">
        <v>368</v>
      </c>
      <c r="C141" s="157" t="s">
        <v>305</v>
      </c>
      <c r="D141" s="87">
        <v>28.6</v>
      </c>
      <c r="E141" s="40"/>
      <c r="F141" s="55"/>
      <c r="G141" s="56">
        <f t="shared" si="20"/>
        <v>0</v>
      </c>
      <c r="I141" s="28">
        <f>3.7*1.7*2</f>
        <v>12.58</v>
      </c>
      <c r="J141" s="28">
        <f>3.1*1.8</f>
        <v>5.58</v>
      </c>
      <c r="K141" s="28">
        <f>1.5*0.16*25</f>
        <v>6</v>
      </c>
      <c r="L141" s="28">
        <f>3.2*1.05</f>
        <v>3.3600000000000003</v>
      </c>
      <c r="M141" s="28">
        <f>SUM(I141:L141)</f>
        <v>27.52</v>
      </c>
    </row>
    <row r="142" spans="1:17" x14ac:dyDescent="0.2">
      <c r="A142" s="140" t="s">
        <v>16</v>
      </c>
      <c r="B142" s="141" t="s">
        <v>191</v>
      </c>
      <c r="C142" s="142"/>
      <c r="D142" s="143"/>
      <c r="E142" s="144"/>
      <c r="F142" s="55"/>
      <c r="G142" s="56">
        <f t="shared" si="20"/>
        <v>0</v>
      </c>
    </row>
    <row r="143" spans="1:17" ht="13.5" x14ac:dyDescent="0.2">
      <c r="A143" s="137"/>
      <c r="B143" s="138" t="s">
        <v>375</v>
      </c>
      <c r="C143" s="157" t="s">
        <v>305</v>
      </c>
      <c r="D143" s="87">
        <v>70.2</v>
      </c>
      <c r="E143" s="40"/>
      <c r="F143" s="55"/>
      <c r="G143" s="56">
        <f t="shared" si="20"/>
        <v>0</v>
      </c>
      <c r="I143" s="28">
        <v>701.6</v>
      </c>
      <c r="J143" s="28">
        <f>I143*0.1</f>
        <v>70.160000000000011</v>
      </c>
    </row>
    <row r="144" spans="1:17" x14ac:dyDescent="0.2">
      <c r="A144" s="128" t="s">
        <v>57</v>
      </c>
      <c r="B144" s="129" t="s">
        <v>69</v>
      </c>
      <c r="C144" s="130"/>
      <c r="D144" s="131"/>
      <c r="E144" s="132"/>
      <c r="F144" s="133"/>
      <c r="G144" s="134"/>
    </row>
    <row r="145" spans="1:13" x14ac:dyDescent="0.2">
      <c r="A145" s="140" t="s">
        <v>153</v>
      </c>
      <c r="B145" s="141" t="s">
        <v>252</v>
      </c>
      <c r="C145" s="142"/>
      <c r="D145" s="143"/>
      <c r="E145" s="144"/>
      <c r="F145" s="145"/>
      <c r="G145" s="146"/>
    </row>
    <row r="146" spans="1:13" ht="13.5" x14ac:dyDescent="0.2">
      <c r="A146" s="137"/>
      <c r="B146" s="138" t="s">
        <v>381</v>
      </c>
      <c r="C146" s="157" t="s">
        <v>305</v>
      </c>
      <c r="D146" s="87">
        <v>72.239999999999995</v>
      </c>
      <c r="E146" s="40"/>
      <c r="F146" s="55"/>
      <c r="G146" s="56">
        <f t="shared" ref="G146:G147" si="21">(D146*E146)+(D146*F146)</f>
        <v>0</v>
      </c>
      <c r="I146" s="28">
        <f>2.975*2+2.95*8*2+2.975+2.95*3+2.75+6.125+6.05+2.725</f>
        <v>82.625</v>
      </c>
      <c r="J146" s="28">
        <f>I146*0.84</f>
        <v>69.405000000000001</v>
      </c>
      <c r="K146" s="28">
        <f>2.95*6*0.16</f>
        <v>2.8320000000000003</v>
      </c>
      <c r="L146" s="28">
        <f>SUM(J146:K146)</f>
        <v>72.236999999999995</v>
      </c>
    </row>
    <row r="147" spans="1:13" ht="13.5" x14ac:dyDescent="0.2">
      <c r="A147" s="137"/>
      <c r="B147" s="138" t="s">
        <v>382</v>
      </c>
      <c r="C147" s="157" t="s">
        <v>305</v>
      </c>
      <c r="D147" s="87">
        <v>83.05</v>
      </c>
      <c r="E147" s="40"/>
      <c r="F147" s="55"/>
      <c r="G147" s="56">
        <f t="shared" si="21"/>
        <v>0</v>
      </c>
      <c r="I147" s="28">
        <f>3*10*2+2.2*2+2.8+3*4+2.05*5+2.2*2</f>
        <v>93.850000000000009</v>
      </c>
      <c r="J147" s="28">
        <f>I147*0.84</f>
        <v>78.834000000000003</v>
      </c>
      <c r="K147" s="28">
        <f>2.1*2+2.2*4+3*5</f>
        <v>28</v>
      </c>
      <c r="L147" s="28">
        <f>K147*0.15</f>
        <v>4.2</v>
      </c>
      <c r="M147" s="28">
        <f>L147+J147</f>
        <v>83.034000000000006</v>
      </c>
    </row>
    <row r="148" spans="1:13" x14ac:dyDescent="0.2">
      <c r="A148" s="140" t="s">
        <v>68</v>
      </c>
      <c r="B148" s="141" t="s">
        <v>253</v>
      </c>
      <c r="C148" s="142"/>
      <c r="D148" s="143"/>
      <c r="E148" s="144"/>
      <c r="F148" s="55"/>
      <c r="G148" s="56">
        <f t="shared" ref="G148:G150" si="22">(D148*E148)+(D148*F148)</f>
        <v>0</v>
      </c>
    </row>
    <row r="149" spans="1:13" ht="13.5" x14ac:dyDescent="0.2">
      <c r="A149" s="137"/>
      <c r="B149" s="138" t="s">
        <v>254</v>
      </c>
      <c r="C149" s="157" t="s">
        <v>305</v>
      </c>
      <c r="D149" s="87">
        <v>168.85</v>
      </c>
      <c r="E149" s="40"/>
      <c r="F149" s="55"/>
      <c r="G149" s="56">
        <f t="shared" si="22"/>
        <v>0</v>
      </c>
      <c r="I149" s="28">
        <f>32.55*0.35*2+20.8*0.35+31.8*2.2+13.7*3+12.6*2.2</f>
        <v>168.845</v>
      </c>
    </row>
    <row r="150" spans="1:13" ht="13.5" x14ac:dyDescent="0.2">
      <c r="A150" s="137"/>
      <c r="B150" s="138" t="s">
        <v>397</v>
      </c>
      <c r="C150" s="157" t="s">
        <v>305</v>
      </c>
      <c r="D150" s="87">
        <v>68.61</v>
      </c>
      <c r="E150" s="40"/>
      <c r="F150" s="55"/>
      <c r="G150" s="56">
        <f t="shared" si="22"/>
        <v>0</v>
      </c>
      <c r="I150" s="28">
        <f>19.2*1.2*2+13.25*1.7</f>
        <v>68.60499999999999</v>
      </c>
    </row>
    <row r="151" spans="1:13" x14ac:dyDescent="0.2">
      <c r="A151" s="140" t="s">
        <v>71</v>
      </c>
      <c r="B151" s="141" t="s">
        <v>167</v>
      </c>
      <c r="C151" s="142"/>
      <c r="D151" s="143"/>
      <c r="E151" s="144"/>
      <c r="F151" s="145"/>
      <c r="G151" s="146"/>
    </row>
    <row r="152" spans="1:13" ht="13.5" x14ac:dyDescent="0.2">
      <c r="A152" s="137"/>
      <c r="B152" s="138" t="s">
        <v>385</v>
      </c>
      <c r="C152" s="157" t="s">
        <v>305</v>
      </c>
      <c r="D152" s="87">
        <v>15.6</v>
      </c>
      <c r="E152" s="40"/>
      <c r="F152" s="55"/>
      <c r="G152" s="56">
        <f t="shared" ref="G152:G153" si="23">(D152*E152)+(D152*F152)</f>
        <v>0</v>
      </c>
      <c r="I152" s="28">
        <f>0.2*4*5*3.9</f>
        <v>15.6</v>
      </c>
    </row>
    <row r="153" spans="1:13" ht="13.5" x14ac:dyDescent="0.2">
      <c r="A153" s="137"/>
      <c r="B153" s="138" t="s">
        <v>386</v>
      </c>
      <c r="C153" s="157" t="s">
        <v>305</v>
      </c>
      <c r="D153" s="87">
        <v>121.68</v>
      </c>
      <c r="E153" s="40"/>
      <c r="F153" s="55"/>
      <c r="G153" s="56">
        <f t="shared" si="23"/>
        <v>0</v>
      </c>
      <c r="I153" s="28">
        <f>(0.35+0.25)*2*26*3.9</f>
        <v>121.67999999999999</v>
      </c>
    </row>
    <row r="154" spans="1:13" x14ac:dyDescent="0.2">
      <c r="A154" s="128" t="s">
        <v>149</v>
      </c>
      <c r="B154" s="129" t="s">
        <v>237</v>
      </c>
      <c r="C154" s="130"/>
      <c r="D154" s="131"/>
      <c r="E154" s="132"/>
      <c r="F154" s="133"/>
      <c r="G154" s="134"/>
    </row>
    <row r="155" spans="1:13" x14ac:dyDescent="0.2">
      <c r="A155" s="140" t="s">
        <v>103</v>
      </c>
      <c r="B155" s="141" t="s">
        <v>252</v>
      </c>
      <c r="C155" s="142"/>
      <c r="D155" s="143"/>
      <c r="E155" s="144"/>
      <c r="F155" s="145"/>
      <c r="G155" s="146"/>
    </row>
    <row r="156" spans="1:13" ht="13.5" x14ac:dyDescent="0.2">
      <c r="A156" s="137"/>
      <c r="B156" s="138" t="s">
        <v>383</v>
      </c>
      <c r="C156" s="157" t="s">
        <v>305</v>
      </c>
      <c r="D156" s="87">
        <v>90.45</v>
      </c>
      <c r="E156" s="40"/>
      <c r="F156" s="55"/>
      <c r="G156" s="56">
        <f t="shared" ref="G156:G157" si="24">(D156*E156)+(D156*F156)</f>
        <v>0</v>
      </c>
      <c r="I156" s="28">
        <f>2.85*9*2+6.125+6.05+2.725+2.975+2.95*4+2.05</f>
        <v>83.024999999999991</v>
      </c>
      <c r="J156" s="28">
        <f>I156*1.1</f>
        <v>91.327500000000001</v>
      </c>
      <c r="K156" s="28">
        <f>2.95*2*0.15</f>
        <v>0.88500000000000001</v>
      </c>
      <c r="L156" s="28">
        <f>J156-K156</f>
        <v>90.442499999999995</v>
      </c>
    </row>
    <row r="157" spans="1:13" ht="13.5" x14ac:dyDescent="0.2">
      <c r="A157" s="137"/>
      <c r="B157" s="138" t="s">
        <v>382</v>
      </c>
      <c r="C157" s="157" t="s">
        <v>305</v>
      </c>
      <c r="D157" s="87">
        <v>13.35</v>
      </c>
      <c r="E157" s="40"/>
      <c r="F157" s="55"/>
      <c r="G157" s="56">
        <f t="shared" si="24"/>
        <v>0</v>
      </c>
      <c r="I157" s="28">
        <f>3*3+2.85+2.2</f>
        <v>14.05</v>
      </c>
      <c r="J157" s="28">
        <f>I157*0.95</f>
        <v>13.3475</v>
      </c>
    </row>
    <row r="158" spans="1:13" x14ac:dyDescent="0.2">
      <c r="A158" s="140" t="s">
        <v>133</v>
      </c>
      <c r="B158" s="141" t="s">
        <v>253</v>
      </c>
      <c r="C158" s="142"/>
      <c r="D158" s="143"/>
      <c r="E158" s="144"/>
      <c r="F158" s="55"/>
      <c r="G158" s="56">
        <f t="shared" ref="G158:G159" si="25">(D158*E158)+(D158*F158)</f>
        <v>0</v>
      </c>
    </row>
    <row r="159" spans="1:13" ht="13.5" x14ac:dyDescent="0.2">
      <c r="A159" s="137"/>
      <c r="B159" s="138" t="s">
        <v>254</v>
      </c>
      <c r="C159" s="157" t="s">
        <v>305</v>
      </c>
      <c r="D159" s="87">
        <v>25.2</v>
      </c>
      <c r="E159" s="40"/>
      <c r="F159" s="55"/>
      <c r="G159" s="56">
        <f t="shared" si="25"/>
        <v>0</v>
      </c>
      <c r="I159" s="28">
        <f>8.4*3</f>
        <v>25.200000000000003</v>
      </c>
    </row>
    <row r="160" spans="1:13" x14ac:dyDescent="0.2">
      <c r="A160" s="137"/>
      <c r="B160" s="138"/>
      <c r="C160" s="157"/>
      <c r="D160" s="87"/>
      <c r="E160" s="40"/>
      <c r="F160" s="55"/>
      <c r="G160" s="56"/>
    </row>
    <row r="161" spans="1:7" x14ac:dyDescent="0.2">
      <c r="A161" s="137"/>
      <c r="B161" s="138"/>
      <c r="C161" s="157"/>
      <c r="D161" s="87"/>
      <c r="E161" s="40"/>
      <c r="F161" s="55"/>
      <c r="G161" s="56"/>
    </row>
    <row r="162" spans="1:7" x14ac:dyDescent="0.2">
      <c r="A162" s="137"/>
      <c r="B162" s="138"/>
      <c r="C162" s="157"/>
      <c r="D162" s="87"/>
      <c r="E162" s="40"/>
      <c r="F162" s="55"/>
      <c r="G162" s="56"/>
    </row>
    <row r="163" spans="1:7" x14ac:dyDescent="0.2">
      <c r="A163" s="137"/>
      <c r="B163" s="138"/>
      <c r="C163" s="157"/>
      <c r="D163" s="87"/>
      <c r="E163" s="40"/>
      <c r="F163" s="55"/>
      <c r="G163" s="56"/>
    </row>
    <row r="164" spans="1:7" x14ac:dyDescent="0.2">
      <c r="A164" s="137"/>
      <c r="B164" s="138"/>
      <c r="C164" s="157"/>
      <c r="D164" s="87"/>
      <c r="E164" s="40"/>
      <c r="F164" s="55"/>
      <c r="G164" s="56"/>
    </row>
    <row r="165" spans="1:7" x14ac:dyDescent="0.2">
      <c r="A165" s="137"/>
      <c r="B165" s="138"/>
      <c r="C165" s="157"/>
      <c r="D165" s="87"/>
      <c r="E165" s="40"/>
      <c r="F165" s="55"/>
      <c r="G165" s="56"/>
    </row>
    <row r="166" spans="1:7" x14ac:dyDescent="0.2">
      <c r="A166" s="137"/>
      <c r="B166" s="138"/>
      <c r="C166" s="157"/>
      <c r="D166" s="87"/>
      <c r="E166" s="40"/>
      <c r="F166" s="55"/>
      <c r="G166" s="56"/>
    </row>
    <row r="167" spans="1:7" x14ac:dyDescent="0.2">
      <c r="A167" s="137"/>
      <c r="B167" s="138"/>
      <c r="C167" s="157"/>
      <c r="D167" s="87"/>
      <c r="E167" s="40"/>
      <c r="F167" s="55"/>
      <c r="G167" s="56"/>
    </row>
    <row r="168" spans="1:7" x14ac:dyDescent="0.2">
      <c r="A168" s="137"/>
      <c r="B168" s="138"/>
      <c r="C168" s="157"/>
      <c r="D168" s="87"/>
      <c r="E168" s="40"/>
      <c r="F168" s="55"/>
      <c r="G168" s="56"/>
    </row>
    <row r="169" spans="1:7" ht="12.75" thickBot="1" x14ac:dyDescent="0.25">
      <c r="A169" s="147"/>
      <c r="B169" s="148"/>
      <c r="C169" s="357"/>
      <c r="D169" s="150"/>
      <c r="E169" s="73"/>
      <c r="F169" s="151"/>
      <c r="G169" s="152"/>
    </row>
    <row r="170" spans="1:7" x14ac:dyDescent="0.2">
      <c r="A170" s="137"/>
      <c r="B170" s="138"/>
      <c r="C170" s="157"/>
      <c r="D170" s="87"/>
      <c r="E170" s="40"/>
      <c r="F170" s="55"/>
      <c r="G170" s="56"/>
    </row>
    <row r="171" spans="1:7" x14ac:dyDescent="0.2">
      <c r="A171" s="114" t="s">
        <v>100</v>
      </c>
      <c r="B171" s="153" t="s">
        <v>11</v>
      </c>
      <c r="C171" s="127"/>
      <c r="D171" s="117"/>
      <c r="E171" s="118"/>
      <c r="F171" s="117"/>
      <c r="G171" s="154"/>
    </row>
    <row r="172" spans="1:7" ht="48" customHeight="1" x14ac:dyDescent="0.2">
      <c r="A172" s="97"/>
      <c r="B172" s="58" t="s">
        <v>101</v>
      </c>
      <c r="C172" s="58"/>
      <c r="D172" s="58"/>
      <c r="E172" s="58"/>
      <c r="F172" s="58"/>
      <c r="G172" s="156"/>
    </row>
    <row r="173" spans="1:7" ht="37.5" customHeight="1" x14ac:dyDescent="0.2">
      <c r="A173" s="59"/>
      <c r="B173" s="58" t="s">
        <v>102</v>
      </c>
      <c r="C173" s="58"/>
      <c r="D173" s="58"/>
      <c r="E173" s="58"/>
      <c r="F173" s="58"/>
      <c r="G173" s="156"/>
    </row>
    <row r="174" spans="1:7" ht="59.25" customHeight="1" x14ac:dyDescent="0.2">
      <c r="A174" s="97"/>
      <c r="B174" s="58" t="s">
        <v>249</v>
      </c>
      <c r="C174" s="58"/>
      <c r="D174" s="58"/>
      <c r="E174" s="58"/>
      <c r="F174" s="58"/>
      <c r="G174" s="156"/>
    </row>
    <row r="175" spans="1:7" x14ac:dyDescent="0.2">
      <c r="A175" s="128" t="s">
        <v>103</v>
      </c>
      <c r="B175" s="129" t="s">
        <v>208</v>
      </c>
      <c r="C175" s="158"/>
      <c r="D175" s="159"/>
      <c r="E175" s="160"/>
      <c r="F175" s="161"/>
      <c r="G175" s="162"/>
    </row>
    <row r="176" spans="1:7" x14ac:dyDescent="0.2">
      <c r="A176" s="128" t="s">
        <v>160</v>
      </c>
      <c r="B176" s="129" t="s">
        <v>64</v>
      </c>
      <c r="C176" s="158"/>
      <c r="D176" s="159"/>
      <c r="E176" s="160"/>
      <c r="F176" s="161"/>
      <c r="G176" s="162"/>
    </row>
    <row r="177" spans="1:14" x14ac:dyDescent="0.2">
      <c r="A177" s="137"/>
      <c r="B177" s="163" t="s">
        <v>376</v>
      </c>
      <c r="C177" s="139" t="s">
        <v>132</v>
      </c>
      <c r="D177" s="87">
        <f>I179/1000</f>
        <v>0.36230399999999996</v>
      </c>
      <c r="E177" s="88"/>
      <c r="F177" s="55"/>
      <c r="G177" s="56">
        <f t="shared" ref="G177:G179" si="26">(D177*E177)+(D177*F177)</f>
        <v>0</v>
      </c>
    </row>
    <row r="178" spans="1:14" x14ac:dyDescent="0.2">
      <c r="A178" s="137"/>
      <c r="B178" s="138" t="s">
        <v>210</v>
      </c>
      <c r="C178" s="139" t="s">
        <v>8</v>
      </c>
      <c r="D178" s="87">
        <v>68</v>
      </c>
      <c r="E178" s="88"/>
      <c r="F178" s="55"/>
      <c r="G178" s="56">
        <f t="shared" si="26"/>
        <v>0</v>
      </c>
      <c r="I178" s="135">
        <f>D178*0.888*6</f>
        <v>362.30399999999997</v>
      </c>
      <c r="K178" s="135"/>
    </row>
    <row r="179" spans="1:14" x14ac:dyDescent="0.2">
      <c r="A179" s="137"/>
      <c r="B179" s="138" t="s">
        <v>14</v>
      </c>
      <c r="C179" s="139" t="s">
        <v>9</v>
      </c>
      <c r="D179" s="87">
        <f>D177*20</f>
        <v>7.2460799999999992</v>
      </c>
      <c r="E179" s="88"/>
      <c r="F179" s="55"/>
      <c r="G179" s="56">
        <f t="shared" si="26"/>
        <v>0</v>
      </c>
      <c r="I179" s="135">
        <f>SUM(I177:I178)</f>
        <v>362.30399999999997</v>
      </c>
      <c r="J179" s="135"/>
    </row>
    <row r="180" spans="1:14" x14ac:dyDescent="0.2">
      <c r="A180" s="137"/>
      <c r="B180" s="163" t="s">
        <v>380</v>
      </c>
      <c r="C180" s="139" t="s">
        <v>132</v>
      </c>
      <c r="D180" s="87">
        <f>I182/1000</f>
        <v>0.62337599999999993</v>
      </c>
      <c r="E180" s="88"/>
      <c r="F180" s="55"/>
      <c r="G180" s="56">
        <f t="shared" ref="G180:G182" si="27">(D180*E180)+(D180*F180)</f>
        <v>0</v>
      </c>
      <c r="J180" s="135"/>
    </row>
    <row r="181" spans="1:14" x14ac:dyDescent="0.2">
      <c r="A181" s="137"/>
      <c r="B181" s="138" t="s">
        <v>210</v>
      </c>
      <c r="C181" s="139" t="s">
        <v>8</v>
      </c>
      <c r="D181" s="87">
        <v>117</v>
      </c>
      <c r="E181" s="88"/>
      <c r="F181" s="55"/>
      <c r="G181" s="56">
        <f t="shared" si="27"/>
        <v>0</v>
      </c>
      <c r="I181" s="135">
        <f>D181*0.888*6</f>
        <v>623.37599999999998</v>
      </c>
      <c r="J181" s="135"/>
    </row>
    <row r="182" spans="1:14" x14ac:dyDescent="0.2">
      <c r="A182" s="137"/>
      <c r="B182" s="138" t="s">
        <v>14</v>
      </c>
      <c r="C182" s="139" t="s">
        <v>9</v>
      </c>
      <c r="D182" s="87">
        <f>D180*20</f>
        <v>12.467519999999999</v>
      </c>
      <c r="E182" s="88"/>
      <c r="F182" s="55"/>
      <c r="G182" s="56">
        <f t="shared" si="27"/>
        <v>0</v>
      </c>
      <c r="I182" s="135">
        <f>SUM(I180:I181)</f>
        <v>623.37599999999998</v>
      </c>
      <c r="J182" s="135"/>
    </row>
    <row r="183" spans="1:14" x14ac:dyDescent="0.2">
      <c r="A183" s="137"/>
      <c r="B183" s="163" t="s">
        <v>377</v>
      </c>
      <c r="C183" s="139" t="s">
        <v>132</v>
      </c>
      <c r="D183" s="87">
        <f>I186/1000</f>
        <v>1.6693560000000003</v>
      </c>
      <c r="E183" s="88"/>
      <c r="F183" s="55"/>
      <c r="G183" s="56">
        <f t="shared" ref="G183:G186" si="28">(D183*E183)+(D183*F183)</f>
        <v>0</v>
      </c>
      <c r="J183" s="135"/>
    </row>
    <row r="184" spans="1:14" x14ac:dyDescent="0.2">
      <c r="A184" s="137"/>
      <c r="B184" s="138" t="s">
        <v>209</v>
      </c>
      <c r="C184" s="139" t="s">
        <v>8</v>
      </c>
      <c r="D184" s="87">
        <v>156</v>
      </c>
      <c r="E184" s="88"/>
      <c r="F184" s="55"/>
      <c r="G184" s="56">
        <f t="shared" si="28"/>
        <v>0</v>
      </c>
      <c r="I184" s="135">
        <f>D184*1.58*6</f>
        <v>1478.88</v>
      </c>
      <c r="J184" s="135"/>
      <c r="K184" s="28">
        <f>36+39+24+36+24+54</f>
        <v>213</v>
      </c>
    </row>
    <row r="185" spans="1:14" x14ac:dyDescent="0.2">
      <c r="A185" s="137"/>
      <c r="B185" s="138" t="s">
        <v>329</v>
      </c>
      <c r="C185" s="139" t="s">
        <v>8</v>
      </c>
      <c r="D185" s="87">
        <v>143</v>
      </c>
      <c r="E185" s="88"/>
      <c r="F185" s="55"/>
      <c r="G185" s="56">
        <f t="shared" si="28"/>
        <v>0</v>
      </c>
      <c r="I185" s="135">
        <f>D185*0.222*6</f>
        <v>190.476</v>
      </c>
      <c r="J185" s="135"/>
      <c r="K185" s="28">
        <f>31.35*2+16.575*2+8.7*2+18.825+14.5*3</f>
        <v>175.57499999999999</v>
      </c>
      <c r="L185" s="28">
        <f>K185/0.15</f>
        <v>1170.5</v>
      </c>
      <c r="N185" s="28">
        <f>L185/6</f>
        <v>195.08333333333334</v>
      </c>
    </row>
    <row r="186" spans="1:14" x14ac:dyDescent="0.2">
      <c r="A186" s="137"/>
      <c r="B186" s="138" t="s">
        <v>14</v>
      </c>
      <c r="C186" s="139" t="s">
        <v>9</v>
      </c>
      <c r="D186" s="87">
        <f>D183*20</f>
        <v>33.387120000000003</v>
      </c>
      <c r="E186" s="88"/>
      <c r="F186" s="55"/>
      <c r="G186" s="56">
        <f t="shared" si="28"/>
        <v>0</v>
      </c>
      <c r="I186" s="135">
        <f>SUM(I183:I185)</f>
        <v>1669.3560000000002</v>
      </c>
      <c r="J186" s="135"/>
    </row>
    <row r="187" spans="1:14" x14ac:dyDescent="0.2">
      <c r="A187" s="128" t="s">
        <v>133</v>
      </c>
      <c r="B187" s="129" t="s">
        <v>67</v>
      </c>
      <c r="C187" s="158"/>
      <c r="D187" s="159"/>
      <c r="E187" s="160"/>
      <c r="F187" s="161"/>
      <c r="G187" s="162">
        <f t="shared" ref="G187" si="29">(D187*E187)+(D187*F187)</f>
        <v>0</v>
      </c>
    </row>
    <row r="188" spans="1:14" x14ac:dyDescent="0.2">
      <c r="A188" s="165" t="s">
        <v>160</v>
      </c>
      <c r="B188" s="166" t="s">
        <v>167</v>
      </c>
      <c r="C188" s="167"/>
      <c r="D188" s="168"/>
      <c r="E188" s="169"/>
      <c r="F188" s="55"/>
      <c r="G188" s="56"/>
    </row>
    <row r="189" spans="1:14" x14ac:dyDescent="0.2">
      <c r="A189" s="137"/>
      <c r="B189" s="138" t="s">
        <v>378</v>
      </c>
      <c r="C189" s="139" t="s">
        <v>132</v>
      </c>
      <c r="D189" s="87">
        <f>I192/1000</f>
        <v>1.1882999999999999</v>
      </c>
      <c r="E189" s="88"/>
      <c r="F189" s="55"/>
      <c r="G189" s="56">
        <f t="shared" ref="G189:G190" si="30">(D189*E189)+(D189*F189)</f>
        <v>0</v>
      </c>
    </row>
    <row r="190" spans="1:14" x14ac:dyDescent="0.2">
      <c r="A190" s="140"/>
      <c r="B190" s="138" t="s">
        <v>209</v>
      </c>
      <c r="C190" s="139" t="s">
        <v>8</v>
      </c>
      <c r="D190" s="87">
        <v>112</v>
      </c>
      <c r="E190" s="88"/>
      <c r="F190" s="55"/>
      <c r="G190" s="56">
        <f t="shared" si="30"/>
        <v>0</v>
      </c>
      <c r="I190" s="135">
        <f>D190*1.58*6</f>
        <v>1061.76</v>
      </c>
      <c r="J190" s="28">
        <f>28*4</f>
        <v>112</v>
      </c>
      <c r="L190" s="28">
        <f>37*28</f>
        <v>1036</v>
      </c>
      <c r="M190" s="28">
        <f>L190/11</f>
        <v>94.181818181818187</v>
      </c>
    </row>
    <row r="191" spans="1:14" x14ac:dyDescent="0.2">
      <c r="A191" s="137"/>
      <c r="B191" s="138" t="s">
        <v>212</v>
      </c>
      <c r="C191" s="139" t="s">
        <v>8</v>
      </c>
      <c r="D191" s="87">
        <v>95</v>
      </c>
      <c r="E191" s="88"/>
      <c r="F191" s="55"/>
      <c r="G191" s="56">
        <f t="shared" ref="G191:G192" si="31">(D191*E191)+(D191*F191)</f>
        <v>0</v>
      </c>
      <c r="I191" s="135">
        <f>0.222*D191*6</f>
        <v>126.53999999999999</v>
      </c>
    </row>
    <row r="192" spans="1:14" x14ac:dyDescent="0.2">
      <c r="A192" s="137"/>
      <c r="B192" s="138" t="s">
        <v>14</v>
      </c>
      <c r="C192" s="139" t="s">
        <v>9</v>
      </c>
      <c r="D192" s="87">
        <f>D189*20</f>
        <v>23.765999999999998</v>
      </c>
      <c r="E192" s="88"/>
      <c r="F192" s="55"/>
      <c r="G192" s="56">
        <f t="shared" si="31"/>
        <v>0</v>
      </c>
      <c r="I192" s="135">
        <f>SUM(I190:I191)</f>
        <v>1188.3</v>
      </c>
      <c r="J192" s="135"/>
    </row>
    <row r="193" spans="1:12" x14ac:dyDescent="0.2">
      <c r="A193" s="137"/>
      <c r="B193" s="138" t="s">
        <v>379</v>
      </c>
      <c r="C193" s="139" t="s">
        <v>132</v>
      </c>
      <c r="D193" s="87">
        <f>I196/1000</f>
        <v>2.3381399999999997</v>
      </c>
      <c r="E193" s="88"/>
      <c r="F193" s="55"/>
      <c r="G193" s="56">
        <f t="shared" ref="G193:G196" si="32">(D193*E193)+(D193*F193)</f>
        <v>0</v>
      </c>
      <c r="I193" s="135"/>
      <c r="J193" s="135"/>
    </row>
    <row r="194" spans="1:12" x14ac:dyDescent="0.2">
      <c r="A194" s="137"/>
      <c r="B194" s="138" t="s">
        <v>209</v>
      </c>
      <c r="C194" s="139" t="s">
        <v>8</v>
      </c>
      <c r="D194" s="87">
        <v>208</v>
      </c>
      <c r="E194" s="88"/>
      <c r="F194" s="55"/>
      <c r="G194" s="56">
        <f t="shared" si="32"/>
        <v>0</v>
      </c>
      <c r="I194" s="135">
        <f>D194*1.58*6</f>
        <v>1971.84</v>
      </c>
    </row>
    <row r="195" spans="1:12" x14ac:dyDescent="0.2">
      <c r="A195" s="137"/>
      <c r="B195" s="138" t="s">
        <v>212</v>
      </c>
      <c r="C195" s="139" t="s">
        <v>8</v>
      </c>
      <c r="D195" s="87">
        <v>275</v>
      </c>
      <c r="E195" s="88"/>
      <c r="F195" s="55"/>
      <c r="G195" s="56">
        <f t="shared" si="32"/>
        <v>0</v>
      </c>
      <c r="I195" s="135">
        <f>0.222*D195*6</f>
        <v>366.3</v>
      </c>
    </row>
    <row r="196" spans="1:12" ht="12" customHeight="1" x14ac:dyDescent="0.2">
      <c r="A196" s="137"/>
      <c r="B196" s="138" t="s">
        <v>14</v>
      </c>
      <c r="C196" s="139" t="s">
        <v>9</v>
      </c>
      <c r="D196" s="87">
        <f>D193*20</f>
        <v>46.762799999999991</v>
      </c>
      <c r="E196" s="88"/>
      <c r="F196" s="55"/>
      <c r="G196" s="56">
        <f t="shared" si="32"/>
        <v>0</v>
      </c>
      <c r="I196" s="135">
        <f>SUM(I194:I195)</f>
        <v>2338.14</v>
      </c>
      <c r="J196" s="135"/>
    </row>
    <row r="197" spans="1:12" x14ac:dyDescent="0.2">
      <c r="A197" s="165" t="s">
        <v>161</v>
      </c>
      <c r="B197" s="166" t="s">
        <v>189</v>
      </c>
      <c r="C197" s="167" t="s">
        <v>132</v>
      </c>
      <c r="D197" s="168">
        <f>I200/1000</f>
        <v>0.38531400000000005</v>
      </c>
      <c r="E197" s="169"/>
      <c r="F197" s="55"/>
      <c r="G197" s="56">
        <f t="shared" ref="G197:G200" si="33">(D197*E197)+(D197*F197)</f>
        <v>0</v>
      </c>
      <c r="H197" s="170"/>
      <c r="I197" s="171"/>
    </row>
    <row r="198" spans="1:12" x14ac:dyDescent="0.2">
      <c r="A198" s="172" t="s">
        <v>170</v>
      </c>
      <c r="B198" s="138" t="s">
        <v>210</v>
      </c>
      <c r="C198" s="173" t="s">
        <v>8</v>
      </c>
      <c r="D198" s="174">
        <v>48</v>
      </c>
      <c r="E198" s="175"/>
      <c r="F198" s="176"/>
      <c r="G198" s="56">
        <f t="shared" si="33"/>
        <v>0</v>
      </c>
      <c r="H198" s="170"/>
      <c r="I198" s="135">
        <f>0.888*D198*6</f>
        <v>255.74400000000003</v>
      </c>
    </row>
    <row r="199" spans="1:12" x14ac:dyDescent="0.2">
      <c r="A199" s="172"/>
      <c r="B199" s="138" t="s">
        <v>211</v>
      </c>
      <c r="C199" s="173" t="s">
        <v>8</v>
      </c>
      <c r="D199" s="174">
        <v>35</v>
      </c>
      <c r="E199" s="175"/>
      <c r="F199" s="176"/>
      <c r="G199" s="56">
        <f t="shared" ref="G199" si="34">(D199*E199)+(D199*F199)</f>
        <v>0</v>
      </c>
      <c r="H199" s="170"/>
      <c r="I199" s="135">
        <f>0.617*D199*6</f>
        <v>129.57</v>
      </c>
    </row>
    <row r="200" spans="1:12" x14ac:dyDescent="0.2">
      <c r="A200" s="172"/>
      <c r="B200" s="177" t="s">
        <v>14</v>
      </c>
      <c r="C200" s="173" t="s">
        <v>9</v>
      </c>
      <c r="D200" s="174">
        <f>D197*20</f>
        <v>7.7062800000000014</v>
      </c>
      <c r="E200" s="175"/>
      <c r="F200" s="176"/>
      <c r="G200" s="56">
        <f t="shared" si="33"/>
        <v>0</v>
      </c>
      <c r="H200" s="170"/>
      <c r="I200" s="135">
        <f>SUM(I198:I199)</f>
        <v>385.31400000000002</v>
      </c>
    </row>
    <row r="201" spans="1:12" x14ac:dyDescent="0.2">
      <c r="A201" s="140" t="s">
        <v>171</v>
      </c>
      <c r="B201" s="141" t="s">
        <v>195</v>
      </c>
      <c r="C201" s="142" t="s">
        <v>132</v>
      </c>
      <c r="D201" s="143">
        <f>I203/1000</f>
        <v>3.7797420000000002</v>
      </c>
      <c r="E201" s="144"/>
      <c r="F201" s="55"/>
      <c r="G201" s="56">
        <f t="shared" ref="G201:G203" si="35">(D201*E201)+(D201*F201)</f>
        <v>0</v>
      </c>
    </row>
    <row r="202" spans="1:12" x14ac:dyDescent="0.2">
      <c r="A202" s="140"/>
      <c r="B202" s="138" t="s">
        <v>211</v>
      </c>
      <c r="C202" s="139" t="s">
        <v>8</v>
      </c>
      <c r="D202" s="87">
        <v>1021</v>
      </c>
      <c r="E202" s="88"/>
      <c r="F202" s="55"/>
      <c r="G202" s="56">
        <f t="shared" si="35"/>
        <v>0</v>
      </c>
      <c r="I202" s="135">
        <f>0.617*D202*6</f>
        <v>3779.7420000000002</v>
      </c>
      <c r="K202" s="28">
        <f>I100*7.66*110%</f>
        <v>6123.1742000000013</v>
      </c>
      <c r="L202" s="28">
        <f>K202/6</f>
        <v>1020.5290333333336</v>
      </c>
    </row>
    <row r="203" spans="1:12" x14ac:dyDescent="0.2">
      <c r="A203" s="137"/>
      <c r="B203" s="138" t="s">
        <v>14</v>
      </c>
      <c r="C203" s="139" t="s">
        <v>9</v>
      </c>
      <c r="D203" s="87">
        <f>D201*20</f>
        <v>75.594840000000005</v>
      </c>
      <c r="E203" s="88"/>
      <c r="F203" s="55"/>
      <c r="G203" s="56">
        <f t="shared" si="35"/>
        <v>0</v>
      </c>
      <c r="I203" s="135">
        <f>SUM(I201:I202)</f>
        <v>3779.7420000000002</v>
      </c>
    </row>
    <row r="204" spans="1:12" x14ac:dyDescent="0.2">
      <c r="A204" s="137"/>
      <c r="B204" s="138"/>
      <c r="C204" s="139"/>
      <c r="D204" s="87"/>
      <c r="E204" s="88"/>
      <c r="F204" s="55"/>
      <c r="G204" s="56"/>
      <c r="I204" s="135"/>
    </row>
    <row r="205" spans="1:12" x14ac:dyDescent="0.2">
      <c r="A205" s="128" t="s">
        <v>134</v>
      </c>
      <c r="B205" s="129" t="s">
        <v>69</v>
      </c>
      <c r="C205" s="158"/>
      <c r="D205" s="159"/>
      <c r="E205" s="160"/>
      <c r="F205" s="161"/>
      <c r="G205" s="162"/>
    </row>
    <row r="206" spans="1:12" x14ac:dyDescent="0.2">
      <c r="A206" s="165" t="s">
        <v>160</v>
      </c>
      <c r="B206" s="166" t="s">
        <v>256</v>
      </c>
      <c r="C206" s="167"/>
      <c r="D206" s="168"/>
      <c r="E206" s="169"/>
      <c r="F206" s="55"/>
      <c r="G206" s="56"/>
    </row>
    <row r="207" spans="1:12" x14ac:dyDescent="0.2">
      <c r="A207" s="137"/>
      <c r="B207" s="138" t="s">
        <v>381</v>
      </c>
      <c r="C207" s="139" t="s">
        <v>132</v>
      </c>
      <c r="D207" s="87">
        <f>I210/1000</f>
        <v>1.397424</v>
      </c>
      <c r="E207" s="88"/>
      <c r="F207" s="55"/>
      <c r="G207" s="56">
        <f t="shared" ref="G207:G217" si="36">(D207*E207)+(D207*F207)</f>
        <v>0</v>
      </c>
    </row>
    <row r="208" spans="1:12" x14ac:dyDescent="0.2">
      <c r="A208" s="140"/>
      <c r="B208" s="138" t="s">
        <v>209</v>
      </c>
      <c r="C208" s="139" t="s">
        <v>8</v>
      </c>
      <c r="D208" s="87">
        <v>112</v>
      </c>
      <c r="E208" s="88"/>
      <c r="F208" s="55"/>
      <c r="G208" s="56">
        <f t="shared" si="36"/>
        <v>0</v>
      </c>
      <c r="I208" s="135">
        <f>D208*1.58*6</f>
        <v>1061.76</v>
      </c>
      <c r="J208" s="135">
        <f>32.2+29+15.8+15.95</f>
        <v>92.95</v>
      </c>
      <c r="K208" s="164">
        <f>J208/0.15</f>
        <v>619.66666666666674</v>
      </c>
      <c r="L208" s="164">
        <f>K208/5</f>
        <v>123.93333333333335</v>
      </c>
    </row>
    <row r="209" spans="1:15" x14ac:dyDescent="0.2">
      <c r="A209" s="137"/>
      <c r="B209" s="138" t="s">
        <v>212</v>
      </c>
      <c r="C209" s="139" t="s">
        <v>8</v>
      </c>
      <c r="D209" s="87">
        <v>252</v>
      </c>
      <c r="E209" s="88"/>
      <c r="F209" s="55"/>
      <c r="G209" s="56">
        <f t="shared" si="36"/>
        <v>0</v>
      </c>
      <c r="I209" s="135">
        <f>0.222*D209*6</f>
        <v>335.66399999999999</v>
      </c>
      <c r="J209" s="28">
        <f>25.8*2+12.975*2+16.275+6.6</f>
        <v>100.42499999999998</v>
      </c>
      <c r="K209" s="28">
        <f>J209/0.1</f>
        <v>1004.2499999999998</v>
      </c>
      <c r="L209" s="28">
        <f>K209/4</f>
        <v>251.06249999999994</v>
      </c>
    </row>
    <row r="210" spans="1:15" x14ac:dyDescent="0.2">
      <c r="A210" s="137"/>
      <c r="B210" s="138" t="s">
        <v>14</v>
      </c>
      <c r="C210" s="139" t="s">
        <v>9</v>
      </c>
      <c r="D210" s="87">
        <f>D207*20</f>
        <v>27.94848</v>
      </c>
      <c r="E210" s="88"/>
      <c r="F210" s="55"/>
      <c r="G210" s="56">
        <f t="shared" si="36"/>
        <v>0</v>
      </c>
      <c r="I210" s="135">
        <f>SUM(I208:I209)</f>
        <v>1397.424</v>
      </c>
      <c r="J210" s="135"/>
    </row>
    <row r="211" spans="1:15" x14ac:dyDescent="0.2">
      <c r="A211" s="137"/>
      <c r="B211" s="138" t="s">
        <v>394</v>
      </c>
      <c r="C211" s="139" t="s">
        <v>132</v>
      </c>
      <c r="D211" s="87">
        <f>I214/1000</f>
        <v>0.94064400000000004</v>
      </c>
      <c r="E211" s="88"/>
      <c r="F211" s="55"/>
      <c r="G211" s="56">
        <f t="shared" ref="G211:G214" si="37">(D211*E211)+(D211*F211)</f>
        <v>0</v>
      </c>
      <c r="I211" s="135"/>
      <c r="J211" s="135"/>
    </row>
    <row r="212" spans="1:15" x14ac:dyDescent="0.2">
      <c r="A212" s="137"/>
      <c r="B212" s="138" t="s">
        <v>209</v>
      </c>
      <c r="C212" s="139" t="s">
        <v>8</v>
      </c>
      <c r="D212" s="87">
        <v>87</v>
      </c>
      <c r="E212" s="88"/>
      <c r="F212" s="55"/>
      <c r="G212" s="56">
        <f t="shared" ref="G212:G213" si="38">(D212*E212)+(D212*F212)</f>
        <v>0</v>
      </c>
      <c r="I212" s="135">
        <f>D212*1.58*6</f>
        <v>824.76</v>
      </c>
      <c r="J212" s="28">
        <f>20.8+32.2+3.4*2+2.6*4+2.5*3</f>
        <v>77.7</v>
      </c>
      <c r="K212" s="28">
        <f>J212/0.15</f>
        <v>518</v>
      </c>
      <c r="L212" s="28">
        <f>K212/6</f>
        <v>86.333333333333329</v>
      </c>
    </row>
    <row r="213" spans="1:15" x14ac:dyDescent="0.2">
      <c r="A213" s="137"/>
      <c r="B213" s="138" t="s">
        <v>212</v>
      </c>
      <c r="C213" s="139" t="s">
        <v>8</v>
      </c>
      <c r="D213" s="87">
        <v>87</v>
      </c>
      <c r="E213" s="88"/>
      <c r="F213" s="55"/>
      <c r="G213" s="56">
        <f t="shared" si="38"/>
        <v>0</v>
      </c>
      <c r="I213" s="135">
        <f>0.222*D213*6</f>
        <v>115.884</v>
      </c>
      <c r="J213" s="28">
        <f>4*4+6.25*4+4*4*2+0.5*4*7</f>
        <v>87</v>
      </c>
    </row>
    <row r="214" spans="1:15" x14ac:dyDescent="0.2">
      <c r="A214" s="137"/>
      <c r="B214" s="138" t="s">
        <v>14</v>
      </c>
      <c r="C214" s="139" t="s">
        <v>9</v>
      </c>
      <c r="D214" s="87">
        <f>D211*20</f>
        <v>18.81288</v>
      </c>
      <c r="E214" s="88"/>
      <c r="F214" s="55"/>
      <c r="G214" s="56">
        <f t="shared" si="37"/>
        <v>0</v>
      </c>
      <c r="I214" s="135">
        <f>SUM(I212:I213)</f>
        <v>940.64400000000001</v>
      </c>
      <c r="J214" s="135"/>
    </row>
    <row r="215" spans="1:15" x14ac:dyDescent="0.2">
      <c r="A215" s="165" t="s">
        <v>161</v>
      </c>
      <c r="B215" s="166" t="s">
        <v>253</v>
      </c>
      <c r="C215" s="167" t="s">
        <v>132</v>
      </c>
      <c r="D215" s="168">
        <f>I217/1000</f>
        <v>5.2087139999999996</v>
      </c>
      <c r="E215" s="169"/>
      <c r="F215" s="55"/>
      <c r="G215" s="56">
        <f t="shared" si="36"/>
        <v>0</v>
      </c>
      <c r="H215" s="170"/>
      <c r="I215" s="171"/>
    </row>
    <row r="216" spans="1:15" x14ac:dyDescent="0.2">
      <c r="A216" s="172" t="s">
        <v>170</v>
      </c>
      <c r="B216" s="138" t="s">
        <v>211</v>
      </c>
      <c r="C216" s="173" t="s">
        <v>8</v>
      </c>
      <c r="D216" s="174">
        <v>1407</v>
      </c>
      <c r="E216" s="175"/>
      <c r="F216" s="176"/>
      <c r="G216" s="56">
        <f t="shared" si="36"/>
        <v>0</v>
      </c>
      <c r="H216" s="170"/>
      <c r="I216" s="135">
        <f>0.617*D216*6</f>
        <v>5208.7139999999999</v>
      </c>
      <c r="J216" s="28">
        <f>19.2*1.3*2+13.25*1.8</f>
        <v>73.77000000000001</v>
      </c>
      <c r="K216" s="28">
        <f>J216*22*2</f>
        <v>3245.8800000000006</v>
      </c>
      <c r="L216" s="28">
        <f>32.55*0.15*2+20.8*0.45+31.8*2.4+13.7*3.2+12.6*2.4</f>
        <v>169.52500000000001</v>
      </c>
      <c r="M216" s="28">
        <f>L216*15.32*2</f>
        <v>5194.2460000000001</v>
      </c>
      <c r="N216" s="28">
        <f>M216+K216</f>
        <v>8440.1260000000002</v>
      </c>
      <c r="O216" s="28">
        <f>N216/6</f>
        <v>1406.6876666666667</v>
      </c>
    </row>
    <row r="217" spans="1:15" x14ac:dyDescent="0.2">
      <c r="A217" s="172"/>
      <c r="B217" s="177" t="s">
        <v>14</v>
      </c>
      <c r="C217" s="173" t="s">
        <v>9</v>
      </c>
      <c r="D217" s="174">
        <f>D215*20</f>
        <v>104.17428</v>
      </c>
      <c r="E217" s="175"/>
      <c r="F217" s="176"/>
      <c r="G217" s="56">
        <f t="shared" si="36"/>
        <v>0</v>
      </c>
      <c r="H217" s="170"/>
      <c r="I217" s="135">
        <f>SUM(I215:I216)</f>
        <v>5208.7139999999999</v>
      </c>
    </row>
    <row r="218" spans="1:15" x14ac:dyDescent="0.2">
      <c r="A218" s="172"/>
      <c r="B218" s="177"/>
      <c r="C218" s="173"/>
      <c r="D218" s="174"/>
      <c r="E218" s="175"/>
      <c r="F218" s="176"/>
      <c r="G218" s="56"/>
      <c r="H218" s="170"/>
      <c r="I218" s="135"/>
    </row>
    <row r="219" spans="1:15" ht="12.75" thickBot="1" x14ac:dyDescent="0.25">
      <c r="A219" s="362"/>
      <c r="B219" s="363"/>
      <c r="C219" s="364"/>
      <c r="D219" s="365"/>
      <c r="E219" s="179"/>
      <c r="F219" s="180"/>
      <c r="G219" s="152"/>
      <c r="H219" s="170"/>
      <c r="I219" s="135"/>
    </row>
    <row r="220" spans="1:15" x14ac:dyDescent="0.2">
      <c r="A220" s="165" t="s">
        <v>171</v>
      </c>
      <c r="B220" s="166" t="s">
        <v>167</v>
      </c>
      <c r="C220" s="167"/>
      <c r="D220" s="168"/>
      <c r="E220" s="169"/>
      <c r="F220" s="55"/>
      <c r="G220" s="56"/>
    </row>
    <row r="221" spans="1:15" x14ac:dyDescent="0.2">
      <c r="A221" s="137"/>
      <c r="B221" s="138" t="s">
        <v>395</v>
      </c>
      <c r="C221" s="139" t="s">
        <v>132</v>
      </c>
      <c r="D221" s="87">
        <f>I224/1000</f>
        <v>0.20558400000000004</v>
      </c>
      <c r="E221" s="88"/>
      <c r="F221" s="55"/>
      <c r="G221" s="56">
        <f t="shared" ref="G221:G228" si="39">(D221*E221)+(D221*F221)</f>
        <v>0</v>
      </c>
    </row>
    <row r="222" spans="1:15" x14ac:dyDescent="0.2">
      <c r="A222" s="140"/>
      <c r="B222" s="138" t="s">
        <v>209</v>
      </c>
      <c r="C222" s="139" t="s">
        <v>8</v>
      </c>
      <c r="D222" s="87">
        <v>20</v>
      </c>
      <c r="E222" s="88"/>
      <c r="F222" s="55"/>
      <c r="G222" s="56">
        <f t="shared" si="39"/>
        <v>0</v>
      </c>
      <c r="I222" s="135">
        <f>D222*1.58*6</f>
        <v>189.60000000000002</v>
      </c>
      <c r="J222" s="28">
        <f>28*4</f>
        <v>112</v>
      </c>
      <c r="L222" s="28">
        <f>37*28</f>
        <v>1036</v>
      </c>
      <c r="M222" s="28">
        <f>L222/11</f>
        <v>94.181818181818187</v>
      </c>
    </row>
    <row r="223" spans="1:15" x14ac:dyDescent="0.2">
      <c r="A223" s="137"/>
      <c r="B223" s="138" t="s">
        <v>212</v>
      </c>
      <c r="C223" s="139" t="s">
        <v>8</v>
      </c>
      <c r="D223" s="87">
        <v>12</v>
      </c>
      <c r="E223" s="88"/>
      <c r="F223" s="55"/>
      <c r="G223" s="56">
        <f t="shared" si="39"/>
        <v>0</v>
      </c>
      <c r="I223" s="135">
        <f>0.222*D223*6</f>
        <v>15.984000000000002</v>
      </c>
    </row>
    <row r="224" spans="1:15" x14ac:dyDescent="0.2">
      <c r="A224" s="137"/>
      <c r="B224" s="138" t="s">
        <v>14</v>
      </c>
      <c r="C224" s="139" t="s">
        <v>9</v>
      </c>
      <c r="D224" s="87">
        <f>D221*20</f>
        <v>4.1116800000000007</v>
      </c>
      <c r="E224" s="88"/>
      <c r="F224" s="55"/>
      <c r="G224" s="56">
        <f t="shared" si="39"/>
        <v>0</v>
      </c>
      <c r="I224" s="135">
        <f>SUM(I222:I223)</f>
        <v>205.58400000000003</v>
      </c>
      <c r="J224" s="135"/>
    </row>
    <row r="225" spans="1:17" x14ac:dyDescent="0.2">
      <c r="A225" s="137"/>
      <c r="B225" s="138" t="s">
        <v>379</v>
      </c>
      <c r="C225" s="139" t="s">
        <v>132</v>
      </c>
      <c r="D225" s="87">
        <f>I228/1000</f>
        <v>2.230248</v>
      </c>
      <c r="E225" s="88"/>
      <c r="F225" s="55"/>
      <c r="G225" s="56">
        <f t="shared" si="39"/>
        <v>0</v>
      </c>
      <c r="I225" s="135"/>
      <c r="J225" s="135"/>
    </row>
    <row r="226" spans="1:17" x14ac:dyDescent="0.2">
      <c r="A226" s="137"/>
      <c r="B226" s="138" t="s">
        <v>209</v>
      </c>
      <c r="C226" s="139" t="s">
        <v>8</v>
      </c>
      <c r="D226" s="87">
        <v>208</v>
      </c>
      <c r="E226" s="88"/>
      <c r="F226" s="55"/>
      <c r="G226" s="56">
        <f t="shared" si="39"/>
        <v>0</v>
      </c>
      <c r="I226" s="135">
        <f>D226*1.58*6</f>
        <v>1971.84</v>
      </c>
      <c r="O226" s="28">
        <f>N226-M226*2</f>
        <v>0</v>
      </c>
      <c r="P226" s="28">
        <f>O226/4</f>
        <v>0</v>
      </c>
      <c r="Q226" s="28">
        <f>P226+M226</f>
        <v>0</v>
      </c>
    </row>
    <row r="227" spans="1:17" x14ac:dyDescent="0.2">
      <c r="A227" s="137"/>
      <c r="B227" s="138" t="s">
        <v>212</v>
      </c>
      <c r="C227" s="139" t="s">
        <v>8</v>
      </c>
      <c r="D227" s="87">
        <v>194</v>
      </c>
      <c r="E227" s="88"/>
      <c r="F227" s="55"/>
      <c r="G227" s="56">
        <f t="shared" si="39"/>
        <v>0</v>
      </c>
      <c r="I227" s="135">
        <f>0.222*D227*6</f>
        <v>258.40800000000002</v>
      </c>
      <c r="K227" s="28">
        <f>3.9/0.15</f>
        <v>26</v>
      </c>
      <c r="M227" s="164">
        <f>D227/37</f>
        <v>5.243243243243243</v>
      </c>
      <c r="N227" s="164">
        <f>M227*26</f>
        <v>136.32432432432432</v>
      </c>
    </row>
    <row r="228" spans="1:17" x14ac:dyDescent="0.2">
      <c r="A228" s="137"/>
      <c r="B228" s="138" t="s">
        <v>14</v>
      </c>
      <c r="C228" s="139" t="s">
        <v>9</v>
      </c>
      <c r="D228" s="87">
        <f>D225*20</f>
        <v>44.604959999999998</v>
      </c>
      <c r="E228" s="88"/>
      <c r="F228" s="55"/>
      <c r="G228" s="56">
        <f t="shared" si="39"/>
        <v>0</v>
      </c>
      <c r="I228" s="135">
        <f>SUM(I226:I227)</f>
        <v>2230.248</v>
      </c>
      <c r="J228" s="135"/>
    </row>
    <row r="229" spans="1:17" x14ac:dyDescent="0.2">
      <c r="A229" s="165" t="s">
        <v>172</v>
      </c>
      <c r="B229" s="166" t="s">
        <v>189</v>
      </c>
      <c r="C229" s="167" t="s">
        <v>132</v>
      </c>
      <c r="D229" s="168">
        <f>I232/1000</f>
        <v>0.385764</v>
      </c>
      <c r="E229" s="169"/>
      <c r="F229" s="55"/>
      <c r="G229" s="56">
        <f t="shared" ref="G229:G232" si="40">(D229*E229)+(D229*F229)</f>
        <v>0</v>
      </c>
      <c r="H229" s="170"/>
      <c r="I229" s="171"/>
    </row>
    <row r="230" spans="1:17" x14ac:dyDescent="0.2">
      <c r="A230" s="172" t="s">
        <v>170</v>
      </c>
      <c r="B230" s="138" t="s">
        <v>210</v>
      </c>
      <c r="C230" s="173" t="s">
        <v>8</v>
      </c>
      <c r="D230" s="174">
        <v>46</v>
      </c>
      <c r="E230" s="175"/>
      <c r="F230" s="176"/>
      <c r="G230" s="56">
        <f t="shared" si="40"/>
        <v>0</v>
      </c>
      <c r="H230" s="170"/>
      <c r="I230" s="135">
        <f>0.888*D230*6</f>
        <v>245.08799999999999</v>
      </c>
    </row>
    <row r="231" spans="1:17" x14ac:dyDescent="0.2">
      <c r="A231" s="172"/>
      <c r="B231" s="138" t="s">
        <v>211</v>
      </c>
      <c r="C231" s="173" t="s">
        <v>8</v>
      </c>
      <c r="D231" s="174">
        <v>38</v>
      </c>
      <c r="E231" s="175"/>
      <c r="F231" s="176"/>
      <c r="G231" s="56">
        <f t="shared" si="40"/>
        <v>0</v>
      </c>
      <c r="H231" s="170"/>
      <c r="I231" s="135">
        <f>0.617*D231*6</f>
        <v>140.67599999999999</v>
      </c>
    </row>
    <row r="232" spans="1:17" x14ac:dyDescent="0.2">
      <c r="A232" s="172"/>
      <c r="B232" s="177" t="s">
        <v>14</v>
      </c>
      <c r="C232" s="173" t="s">
        <v>9</v>
      </c>
      <c r="D232" s="174">
        <f>D229*20</f>
        <v>7.7152799999999999</v>
      </c>
      <c r="E232" s="175"/>
      <c r="F232" s="176"/>
      <c r="G232" s="56">
        <f t="shared" si="40"/>
        <v>0</v>
      </c>
      <c r="H232" s="170"/>
      <c r="I232" s="135">
        <f>SUM(I230:I231)</f>
        <v>385.76400000000001</v>
      </c>
    </row>
    <row r="233" spans="1:17" x14ac:dyDescent="0.2">
      <c r="A233" s="128" t="s">
        <v>257</v>
      </c>
      <c r="B233" s="129" t="s">
        <v>237</v>
      </c>
      <c r="C233" s="158"/>
      <c r="D233" s="159"/>
      <c r="E233" s="160"/>
      <c r="F233" s="161"/>
      <c r="G233" s="162"/>
    </row>
    <row r="234" spans="1:17" x14ac:dyDescent="0.2">
      <c r="A234" s="165" t="s">
        <v>160</v>
      </c>
      <c r="B234" s="166" t="s">
        <v>256</v>
      </c>
      <c r="C234" s="167"/>
      <c r="D234" s="168"/>
      <c r="E234" s="169"/>
      <c r="F234" s="55"/>
      <c r="G234" s="56"/>
    </row>
    <row r="235" spans="1:17" x14ac:dyDescent="0.2">
      <c r="A235" s="137"/>
      <c r="B235" s="163" t="s">
        <v>396</v>
      </c>
      <c r="C235" s="139" t="s">
        <v>132</v>
      </c>
      <c r="D235" s="87">
        <f>I238/1000</f>
        <v>0.81709200000000015</v>
      </c>
      <c r="E235" s="88"/>
      <c r="F235" s="55"/>
      <c r="G235" s="56">
        <f t="shared" ref="G235:G242" si="41">(D235*E235)+(D235*F235)</f>
        <v>0</v>
      </c>
    </row>
    <row r="236" spans="1:17" x14ac:dyDescent="0.2">
      <c r="A236" s="140"/>
      <c r="B236" s="138" t="s">
        <v>209</v>
      </c>
      <c r="C236" s="139" t="s">
        <v>8</v>
      </c>
      <c r="D236" s="87">
        <v>72</v>
      </c>
      <c r="E236" s="88"/>
      <c r="F236" s="55"/>
      <c r="G236" s="56">
        <f t="shared" si="41"/>
        <v>0</v>
      </c>
      <c r="I236" s="135">
        <f>D236*1.58*6</f>
        <v>682.56000000000006</v>
      </c>
      <c r="J236" s="28">
        <f>29*2+16.3*2</f>
        <v>90.6</v>
      </c>
      <c r="K236" s="28">
        <f>J236/0.15</f>
        <v>604</v>
      </c>
      <c r="L236" s="28">
        <f>K236/6</f>
        <v>100.66666666666667</v>
      </c>
    </row>
    <row r="237" spans="1:17" x14ac:dyDescent="0.2">
      <c r="A237" s="137"/>
      <c r="B237" s="138" t="s">
        <v>212</v>
      </c>
      <c r="C237" s="139" t="s">
        <v>8</v>
      </c>
      <c r="D237" s="87">
        <v>101</v>
      </c>
      <c r="E237" s="88"/>
      <c r="F237" s="55"/>
      <c r="G237" s="56">
        <f t="shared" si="41"/>
        <v>0</v>
      </c>
      <c r="I237" s="135">
        <f>0.222*D237*6</f>
        <v>134.53200000000001</v>
      </c>
      <c r="J237" s="28">
        <f>32.2*2.2</f>
        <v>70.840000000000018</v>
      </c>
    </row>
    <row r="238" spans="1:17" x14ac:dyDescent="0.2">
      <c r="A238" s="137"/>
      <c r="B238" s="138" t="s">
        <v>14</v>
      </c>
      <c r="C238" s="139" t="s">
        <v>9</v>
      </c>
      <c r="D238" s="87">
        <f>D235*20</f>
        <v>16.341840000000005</v>
      </c>
      <c r="E238" s="88"/>
      <c r="F238" s="55"/>
      <c r="G238" s="56">
        <f t="shared" si="41"/>
        <v>0</v>
      </c>
      <c r="I238" s="135">
        <f>SUM(I236:I237)</f>
        <v>817.0920000000001</v>
      </c>
      <c r="J238" s="135"/>
    </row>
    <row r="239" spans="1:17" x14ac:dyDescent="0.2">
      <c r="A239" s="137"/>
      <c r="B239" s="163" t="s">
        <v>394</v>
      </c>
      <c r="C239" s="139" t="s">
        <v>132</v>
      </c>
      <c r="D239" s="87">
        <f>I242/1000</f>
        <v>0.19861200000000001</v>
      </c>
      <c r="E239" s="88"/>
      <c r="F239" s="55"/>
      <c r="G239" s="56">
        <f t="shared" si="41"/>
        <v>0</v>
      </c>
      <c r="I239" s="135"/>
      <c r="J239" s="135"/>
    </row>
    <row r="240" spans="1:17" x14ac:dyDescent="0.2">
      <c r="A240" s="137"/>
      <c r="B240" s="138" t="s">
        <v>209</v>
      </c>
      <c r="C240" s="139" t="s">
        <v>8</v>
      </c>
      <c r="D240" s="87">
        <v>18</v>
      </c>
      <c r="E240" s="88"/>
      <c r="F240" s="55"/>
      <c r="G240" s="56">
        <f t="shared" si="41"/>
        <v>0</v>
      </c>
      <c r="I240" s="135">
        <f>D240*1.58*6</f>
        <v>170.64000000000001</v>
      </c>
      <c r="J240" s="28">
        <f>8.8+2.5+3.4*2</f>
        <v>18.100000000000001</v>
      </c>
      <c r="K240" s="28">
        <f>J240/0.15</f>
        <v>120.66666666666669</v>
      </c>
      <c r="L240" s="28">
        <f>K240/6</f>
        <v>20.111111111111114</v>
      </c>
    </row>
    <row r="241" spans="1:15" x14ac:dyDescent="0.2">
      <c r="A241" s="137"/>
      <c r="B241" s="138" t="s">
        <v>212</v>
      </c>
      <c r="C241" s="139" t="s">
        <v>8</v>
      </c>
      <c r="D241" s="87">
        <v>21</v>
      </c>
      <c r="E241" s="88"/>
      <c r="F241" s="55"/>
      <c r="G241" s="56">
        <f t="shared" si="41"/>
        <v>0</v>
      </c>
      <c r="I241" s="135">
        <f>0.222*D241*6</f>
        <v>27.972000000000001</v>
      </c>
      <c r="J241" s="28">
        <f>4*4+6.25*4+4*4*2+0.5*4*7</f>
        <v>87</v>
      </c>
    </row>
    <row r="242" spans="1:15" x14ac:dyDescent="0.2">
      <c r="A242" s="137"/>
      <c r="B242" s="138" t="s">
        <v>14</v>
      </c>
      <c r="C242" s="139" t="s">
        <v>9</v>
      </c>
      <c r="D242" s="87">
        <f>D239*20</f>
        <v>3.9722400000000002</v>
      </c>
      <c r="E242" s="88"/>
      <c r="F242" s="55"/>
      <c r="G242" s="56">
        <f t="shared" si="41"/>
        <v>0</v>
      </c>
      <c r="I242" s="135">
        <f>SUM(I240:I241)</f>
        <v>198.61200000000002</v>
      </c>
      <c r="J242" s="135"/>
    </row>
    <row r="243" spans="1:15" ht="15.75" customHeight="1" x14ac:dyDescent="0.2">
      <c r="A243" s="165" t="s">
        <v>161</v>
      </c>
      <c r="B243" s="166" t="s">
        <v>253</v>
      </c>
      <c r="C243" s="167" t="s">
        <v>132</v>
      </c>
      <c r="D243" s="168">
        <f>I245/1000</f>
        <v>0.56640599999999997</v>
      </c>
      <c r="E243" s="169"/>
      <c r="F243" s="55"/>
      <c r="G243" s="56">
        <f t="shared" ref="G243:G245" si="42">(D243*E243)+(D243*F243)</f>
        <v>0</v>
      </c>
      <c r="H243" s="170"/>
      <c r="I243" s="171"/>
    </row>
    <row r="244" spans="1:15" x14ac:dyDescent="0.2">
      <c r="A244" s="172" t="s">
        <v>170</v>
      </c>
      <c r="B244" s="138" t="s">
        <v>211</v>
      </c>
      <c r="C244" s="173" t="s">
        <v>8</v>
      </c>
      <c r="D244" s="174">
        <v>153</v>
      </c>
      <c r="E244" s="175"/>
      <c r="F244" s="176"/>
      <c r="G244" s="56">
        <f t="shared" si="42"/>
        <v>0</v>
      </c>
      <c r="H244" s="170"/>
      <c r="I244" s="135">
        <f>0.617*D244*6</f>
        <v>566.40599999999995</v>
      </c>
      <c r="K244" s="28">
        <f>8.8*3.4</f>
        <v>29.92</v>
      </c>
      <c r="L244" s="28">
        <f>K244*15.34*2</f>
        <v>917.94560000000001</v>
      </c>
      <c r="N244" s="28">
        <f>SUM(L244:M244)</f>
        <v>917.94560000000001</v>
      </c>
      <c r="O244" s="28">
        <f>N244/6</f>
        <v>152.99093333333334</v>
      </c>
    </row>
    <row r="245" spans="1:15" x14ac:dyDescent="0.2">
      <c r="A245" s="172"/>
      <c r="B245" s="177" t="s">
        <v>14</v>
      </c>
      <c r="C245" s="173" t="s">
        <v>9</v>
      </c>
      <c r="D245" s="174">
        <f>D243*20</f>
        <v>11.328119999999998</v>
      </c>
      <c r="E245" s="175"/>
      <c r="F245" s="176"/>
      <c r="G245" s="56">
        <f t="shared" si="42"/>
        <v>0</v>
      </c>
      <c r="H245" s="170"/>
      <c r="I245" s="135">
        <f>SUM(I244:I244)</f>
        <v>566.40599999999995</v>
      </c>
    </row>
    <row r="246" spans="1:15" x14ac:dyDescent="0.2">
      <c r="A246" s="128" t="s">
        <v>150</v>
      </c>
      <c r="B246" s="129" t="s">
        <v>192</v>
      </c>
      <c r="C246" s="158"/>
      <c r="D246" s="159"/>
      <c r="E246" s="160"/>
      <c r="F246" s="161"/>
      <c r="G246" s="162">
        <f>(D246*E246)+(D246*F246)</f>
        <v>0</v>
      </c>
    </row>
    <row r="247" spans="1:15" x14ac:dyDescent="0.2">
      <c r="A247" s="181" t="s">
        <v>178</v>
      </c>
      <c r="B247" s="141" t="s">
        <v>258</v>
      </c>
      <c r="C247" s="139"/>
      <c r="D247" s="87"/>
      <c r="E247" s="88"/>
      <c r="F247" s="55"/>
      <c r="G247" s="56">
        <f t="shared" ref="G247:G253" si="43">(D247*E247)+(D247*F247)</f>
        <v>0</v>
      </c>
    </row>
    <row r="248" spans="1:15" ht="49.5" customHeight="1" x14ac:dyDescent="0.2">
      <c r="A248" s="182"/>
      <c r="B248" s="138" t="s">
        <v>259</v>
      </c>
      <c r="C248" s="139" t="s">
        <v>15</v>
      </c>
      <c r="D248" s="87">
        <v>1</v>
      </c>
      <c r="E248" s="88"/>
      <c r="F248" s="55"/>
      <c r="G248" s="56">
        <f t="shared" si="43"/>
        <v>0</v>
      </c>
      <c r="I248" s="28">
        <f>90.7*2*0.2*0.2</f>
        <v>7.2560000000000002</v>
      </c>
      <c r="J248" s="28">
        <f>0.45*0.125*90.7*2</f>
        <v>10.203750000000001</v>
      </c>
      <c r="L248" s="28">
        <f>33*0.15*0.15*1.55</f>
        <v>1.1508750000000001</v>
      </c>
      <c r="M248" s="28">
        <f>SUM(I248:L248)</f>
        <v>18.610624999999999</v>
      </c>
      <c r="O248" s="28">
        <f>12.9*2+1.2+2.36*6+2.36*14+16.07</f>
        <v>90.269999999999982</v>
      </c>
    </row>
    <row r="249" spans="1:15" ht="12" customHeight="1" x14ac:dyDescent="0.2">
      <c r="A249" s="181" t="s">
        <v>179</v>
      </c>
      <c r="B249" s="141" t="s">
        <v>260</v>
      </c>
      <c r="C249" s="139"/>
      <c r="D249" s="87"/>
      <c r="E249" s="88"/>
      <c r="F249" s="55"/>
      <c r="G249" s="56">
        <f t="shared" ref="G249:G250" si="44">(D249*E249)+(D249*F249)</f>
        <v>0</v>
      </c>
    </row>
    <row r="250" spans="1:15" ht="49.5" customHeight="1" x14ac:dyDescent="0.2">
      <c r="A250" s="182"/>
      <c r="B250" s="138" t="s">
        <v>437</v>
      </c>
      <c r="C250" s="139" t="s">
        <v>304</v>
      </c>
      <c r="D250" s="87">
        <v>13.15</v>
      </c>
      <c r="E250" s="88"/>
      <c r="F250" s="55"/>
      <c r="G250" s="56">
        <f t="shared" si="44"/>
        <v>0</v>
      </c>
      <c r="I250" s="28">
        <f>M326+P328</f>
        <v>131.125</v>
      </c>
      <c r="J250" s="28">
        <f>I250*1*0.1</f>
        <v>13.112500000000001</v>
      </c>
    </row>
    <row r="251" spans="1:15" x14ac:dyDescent="0.2">
      <c r="A251" s="140" t="s">
        <v>151</v>
      </c>
      <c r="B251" s="141" t="s">
        <v>231</v>
      </c>
      <c r="C251" s="139"/>
      <c r="D251" s="87"/>
      <c r="E251" s="88"/>
      <c r="F251" s="55"/>
      <c r="G251" s="56">
        <f t="shared" si="43"/>
        <v>0</v>
      </c>
    </row>
    <row r="252" spans="1:15" ht="36.75" customHeight="1" x14ac:dyDescent="0.2">
      <c r="A252" s="182" t="s">
        <v>65</v>
      </c>
      <c r="B252" s="138" t="s">
        <v>306</v>
      </c>
      <c r="C252" s="139" t="s">
        <v>307</v>
      </c>
      <c r="D252" s="87">
        <f>D87+D318+306.9</f>
        <v>801.69</v>
      </c>
      <c r="E252" s="88"/>
      <c r="F252" s="55"/>
      <c r="G252" s="56">
        <f t="shared" si="43"/>
        <v>0</v>
      </c>
      <c r="J252" s="135"/>
    </row>
    <row r="253" spans="1:15" ht="38.25" customHeight="1" x14ac:dyDescent="0.2">
      <c r="A253" s="182" t="s">
        <v>66</v>
      </c>
      <c r="B253" s="138" t="s">
        <v>308</v>
      </c>
      <c r="C253" s="139" t="s">
        <v>15</v>
      </c>
      <c r="D253" s="87">
        <v>1</v>
      </c>
      <c r="E253" s="88"/>
      <c r="F253" s="55"/>
      <c r="G253" s="56">
        <f t="shared" si="43"/>
        <v>0</v>
      </c>
      <c r="I253" s="135"/>
      <c r="J253" s="164"/>
      <c r="K253" s="164"/>
      <c r="L253" s="135"/>
      <c r="M253" s="164"/>
    </row>
    <row r="254" spans="1:15" ht="36" x14ac:dyDescent="0.2">
      <c r="A254" s="182" t="s">
        <v>70</v>
      </c>
      <c r="B254" s="138" t="s">
        <v>309</v>
      </c>
      <c r="C254" s="139" t="s">
        <v>15</v>
      </c>
      <c r="D254" s="87">
        <v>1</v>
      </c>
      <c r="E254" s="88"/>
      <c r="F254" s="55"/>
      <c r="G254" s="56"/>
      <c r="I254" s="164"/>
      <c r="J254" s="164"/>
      <c r="K254" s="164"/>
      <c r="L254" s="164"/>
      <c r="M254" s="164"/>
    </row>
    <row r="255" spans="1:15" x14ac:dyDescent="0.2">
      <c r="A255" s="137"/>
      <c r="B255" s="185"/>
      <c r="C255" s="142"/>
      <c r="D255" s="143"/>
      <c r="E255" s="88"/>
      <c r="F255" s="55"/>
      <c r="G255" s="56"/>
      <c r="I255" s="164"/>
      <c r="J255" s="164"/>
      <c r="K255" s="164"/>
      <c r="L255" s="164"/>
      <c r="M255" s="164"/>
    </row>
    <row r="256" spans="1:15" x14ac:dyDescent="0.2">
      <c r="A256" s="137"/>
      <c r="B256" s="185"/>
      <c r="C256" s="142"/>
      <c r="D256" s="143"/>
      <c r="E256" s="88"/>
      <c r="F256" s="55"/>
      <c r="G256" s="56"/>
      <c r="I256" s="164"/>
      <c r="J256" s="164"/>
      <c r="K256" s="164"/>
      <c r="L256" s="164"/>
      <c r="M256" s="164"/>
    </row>
    <row r="257" spans="1:13" x14ac:dyDescent="0.2">
      <c r="A257" s="137"/>
      <c r="B257" s="185"/>
      <c r="C257" s="142"/>
      <c r="D257" s="143"/>
      <c r="E257" s="88"/>
      <c r="F257" s="55"/>
      <c r="G257" s="56"/>
      <c r="I257" s="164"/>
      <c r="J257" s="164"/>
      <c r="K257" s="164"/>
      <c r="L257" s="164"/>
      <c r="M257" s="164"/>
    </row>
    <row r="258" spans="1:13" x14ac:dyDescent="0.2">
      <c r="A258" s="137"/>
      <c r="B258" s="185"/>
      <c r="C258" s="142"/>
      <c r="D258" s="143"/>
      <c r="E258" s="88"/>
      <c r="F258" s="55"/>
      <c r="G258" s="56"/>
      <c r="I258" s="164"/>
      <c r="J258" s="164"/>
      <c r="K258" s="164"/>
      <c r="L258" s="164"/>
      <c r="M258" s="164"/>
    </row>
    <row r="259" spans="1:13" x14ac:dyDescent="0.2">
      <c r="A259" s="137"/>
      <c r="B259" s="185"/>
      <c r="C259" s="142"/>
      <c r="D259" s="143"/>
      <c r="E259" s="88"/>
      <c r="F259" s="55"/>
      <c r="G259" s="56"/>
      <c r="I259" s="164"/>
      <c r="J259" s="164"/>
      <c r="K259" s="164"/>
      <c r="L259" s="164"/>
      <c r="M259" s="164"/>
    </row>
    <row r="260" spans="1:13" x14ac:dyDescent="0.2">
      <c r="A260" s="137"/>
      <c r="B260" s="185"/>
      <c r="C260" s="142"/>
      <c r="D260" s="143"/>
      <c r="E260" s="88"/>
      <c r="F260" s="55"/>
      <c r="G260" s="56"/>
      <c r="I260" s="164"/>
      <c r="J260" s="164"/>
      <c r="K260" s="164"/>
      <c r="L260" s="164"/>
      <c r="M260" s="164"/>
    </row>
    <row r="261" spans="1:13" x14ac:dyDescent="0.2">
      <c r="A261" s="137"/>
      <c r="B261" s="185"/>
      <c r="C261" s="142"/>
      <c r="D261" s="143"/>
      <c r="E261" s="88"/>
      <c r="F261" s="55"/>
      <c r="G261" s="56"/>
      <c r="I261" s="164"/>
      <c r="J261" s="164"/>
      <c r="K261" s="164"/>
      <c r="L261" s="164"/>
      <c r="M261" s="164"/>
    </row>
    <row r="262" spans="1:13" x14ac:dyDescent="0.2">
      <c r="A262" s="137"/>
      <c r="B262" s="185"/>
      <c r="C262" s="142"/>
      <c r="D262" s="143"/>
      <c r="E262" s="88"/>
      <c r="F262" s="55"/>
      <c r="G262" s="56"/>
      <c r="I262" s="164"/>
      <c r="J262" s="164"/>
      <c r="K262" s="164"/>
      <c r="L262" s="164"/>
      <c r="M262" s="164"/>
    </row>
    <row r="263" spans="1:13" ht="12.75" thickBot="1" x14ac:dyDescent="0.25">
      <c r="A263" s="137"/>
      <c r="B263" s="185"/>
      <c r="C263" s="142"/>
      <c r="D263" s="143"/>
      <c r="E263" s="88"/>
      <c r="F263" s="55"/>
      <c r="G263" s="56"/>
      <c r="I263" s="164"/>
      <c r="J263" s="164"/>
      <c r="K263" s="164"/>
      <c r="L263" s="164"/>
      <c r="M263" s="164"/>
    </row>
    <row r="264" spans="1:13" x14ac:dyDescent="0.2">
      <c r="A264" s="64"/>
      <c r="B264" s="65" t="s">
        <v>146</v>
      </c>
      <c r="C264" s="109"/>
      <c r="D264" s="67"/>
      <c r="E264" s="68"/>
      <c r="F264" s="186"/>
      <c r="G264" s="187"/>
    </row>
    <row r="265" spans="1:13" ht="12.75" thickBot="1" x14ac:dyDescent="0.25">
      <c r="A265" s="69"/>
      <c r="B265" s="70" t="s">
        <v>168</v>
      </c>
      <c r="C265" s="110"/>
      <c r="D265" s="72"/>
      <c r="E265" s="73"/>
      <c r="F265" s="151"/>
      <c r="G265" s="188">
        <f>SUM(G87:G253)</f>
        <v>0</v>
      </c>
    </row>
    <row r="266" spans="1:13" x14ac:dyDescent="0.2">
      <c r="A266" s="36"/>
      <c r="B266" s="76"/>
      <c r="C266" s="52"/>
      <c r="D266" s="53"/>
      <c r="E266" s="40"/>
      <c r="F266" s="55"/>
      <c r="G266" s="146"/>
    </row>
    <row r="267" spans="1:13" x14ac:dyDescent="0.2">
      <c r="A267" s="36"/>
      <c r="B267" s="37" t="s">
        <v>104</v>
      </c>
      <c r="C267" s="52"/>
      <c r="D267" s="53"/>
      <c r="E267" s="40"/>
      <c r="F267" s="55"/>
      <c r="G267" s="56"/>
    </row>
    <row r="268" spans="1:13" x14ac:dyDescent="0.2">
      <c r="A268" s="36"/>
      <c r="B268" s="45" t="s">
        <v>105</v>
      </c>
      <c r="C268" s="52"/>
      <c r="D268" s="53"/>
      <c r="E268" s="40"/>
      <c r="F268" s="55"/>
      <c r="G268" s="56"/>
    </row>
    <row r="269" spans="1:13" x14ac:dyDescent="0.2">
      <c r="A269" s="189">
        <v>4.0999999999999996</v>
      </c>
      <c r="B269" s="51" t="s">
        <v>41</v>
      </c>
      <c r="C269" s="52"/>
      <c r="D269" s="53"/>
      <c r="E269" s="40"/>
      <c r="F269" s="55"/>
      <c r="G269" s="56"/>
    </row>
    <row r="270" spans="1:13" ht="54.75" customHeight="1" x14ac:dyDescent="0.2">
      <c r="A270" s="36"/>
      <c r="B270" s="384" t="s">
        <v>320</v>
      </c>
      <c r="C270" s="385"/>
      <c r="D270" s="386"/>
      <c r="E270" s="58"/>
      <c r="F270" s="58"/>
      <c r="G270" s="156"/>
    </row>
    <row r="271" spans="1:13" ht="49.5" customHeight="1" x14ac:dyDescent="0.2">
      <c r="A271" s="36"/>
      <c r="B271" s="387" t="s">
        <v>321</v>
      </c>
      <c r="C271" s="388"/>
      <c r="D271" s="389"/>
      <c r="E271" s="190"/>
      <c r="F271" s="190"/>
      <c r="G271" s="191"/>
    </row>
    <row r="272" spans="1:13" ht="39" customHeight="1" x14ac:dyDescent="0.2">
      <c r="A272" s="36"/>
      <c r="B272" s="397" t="s">
        <v>236</v>
      </c>
      <c r="C272" s="398"/>
      <c r="D272" s="399"/>
      <c r="E272" s="190"/>
      <c r="F272" s="190"/>
      <c r="G272" s="191"/>
    </row>
    <row r="273" spans="1:15" x14ac:dyDescent="0.2">
      <c r="A273" s="140" t="s">
        <v>133</v>
      </c>
      <c r="B273" s="192" t="s">
        <v>136</v>
      </c>
      <c r="C273" s="139"/>
      <c r="D273" s="87"/>
      <c r="E273" s="88"/>
      <c r="F273" s="55"/>
      <c r="G273" s="56"/>
    </row>
    <row r="274" spans="1:15" x14ac:dyDescent="0.2">
      <c r="A274" s="128" t="s">
        <v>147</v>
      </c>
      <c r="B274" s="193" t="s">
        <v>135</v>
      </c>
      <c r="C274" s="130"/>
      <c r="D274" s="131"/>
      <c r="E274" s="132"/>
      <c r="F274" s="133"/>
      <c r="G274" s="134"/>
      <c r="I274" s="135"/>
    </row>
    <row r="275" spans="1:15" x14ac:dyDescent="0.2">
      <c r="A275" s="140"/>
      <c r="B275" s="194" t="s">
        <v>188</v>
      </c>
      <c r="C275" s="142"/>
      <c r="D275" s="143"/>
      <c r="E275" s="144"/>
      <c r="F275" s="145"/>
      <c r="G275" s="56"/>
    </row>
    <row r="276" spans="1:15" ht="24" x14ac:dyDescent="0.2">
      <c r="A276" s="137"/>
      <c r="B276" s="138" t="s">
        <v>227</v>
      </c>
      <c r="C276" s="139" t="s">
        <v>307</v>
      </c>
      <c r="D276" s="87">
        <v>161.12</v>
      </c>
      <c r="E276" s="88"/>
      <c r="F276" s="55"/>
      <c r="G276" s="56">
        <f t="shared" ref="G276" si="45">(D276*E276)+(D276*F276)</f>
        <v>0</v>
      </c>
      <c r="I276" s="164">
        <f>I92</f>
        <v>189.55</v>
      </c>
      <c r="J276" s="164">
        <f>I276*0.85</f>
        <v>161.11750000000001</v>
      </c>
    </row>
    <row r="277" spans="1:15" x14ac:dyDescent="0.2">
      <c r="A277" s="128" t="s">
        <v>148</v>
      </c>
      <c r="B277" s="193" t="s">
        <v>67</v>
      </c>
      <c r="C277" s="130"/>
      <c r="D277" s="131"/>
      <c r="E277" s="132"/>
      <c r="F277" s="133"/>
      <c r="G277" s="134"/>
    </row>
    <row r="278" spans="1:15" x14ac:dyDescent="0.2">
      <c r="A278" s="140" t="s">
        <v>160</v>
      </c>
      <c r="B278" s="194" t="s">
        <v>262</v>
      </c>
      <c r="C278" s="142"/>
      <c r="D278" s="143"/>
      <c r="E278" s="144"/>
      <c r="F278" s="145"/>
      <c r="G278" s="56">
        <f t="shared" ref="G278:G280" si="46">(D278*E278)+(D278*F278)</f>
        <v>0</v>
      </c>
    </row>
    <row r="279" spans="1:15" ht="24" x14ac:dyDescent="0.2">
      <c r="A279" s="182" t="s">
        <v>178</v>
      </c>
      <c r="B279" s="138" t="s">
        <v>334</v>
      </c>
      <c r="C279" s="139" t="s">
        <v>307</v>
      </c>
      <c r="D279" s="87">
        <v>326.86</v>
      </c>
      <c r="E279" s="88"/>
      <c r="F279" s="55"/>
      <c r="G279" s="56">
        <f t="shared" si="46"/>
        <v>0</v>
      </c>
      <c r="I279" s="28">
        <f>2.95*9*2+3*5+22+6.125+6.05+2.2*3</f>
        <v>108.87499999999999</v>
      </c>
      <c r="J279" s="28">
        <f>I279*3.6</f>
        <v>391.94999999999993</v>
      </c>
      <c r="K279" s="28">
        <v>80.66</v>
      </c>
      <c r="L279" s="28">
        <f>J279-K279</f>
        <v>311.28999999999996</v>
      </c>
      <c r="M279" s="28">
        <f>L279*105%</f>
        <v>326.85449999999997</v>
      </c>
      <c r="O279" s="28">
        <f>0.9*2*2</f>
        <v>3.6</v>
      </c>
    </row>
    <row r="280" spans="1:15" x14ac:dyDescent="0.2">
      <c r="A280" s="140" t="s">
        <v>161</v>
      </c>
      <c r="B280" s="194" t="s">
        <v>261</v>
      </c>
      <c r="C280" s="142"/>
      <c r="D280" s="143"/>
      <c r="E280" s="144"/>
      <c r="F280" s="145"/>
      <c r="G280" s="56">
        <f t="shared" si="46"/>
        <v>0</v>
      </c>
    </row>
    <row r="281" spans="1:15" ht="24" x14ac:dyDescent="0.2">
      <c r="A281" s="182" t="s">
        <v>178</v>
      </c>
      <c r="B281" s="138" t="s">
        <v>334</v>
      </c>
      <c r="C281" s="139" t="s">
        <v>307</v>
      </c>
      <c r="D281" s="87">
        <v>95.07</v>
      </c>
      <c r="E281" s="88"/>
      <c r="F281" s="55"/>
      <c r="G281" s="56">
        <f t="shared" ref="G281" si="47">(D281*E281)+(D281*F281)</f>
        <v>0</v>
      </c>
      <c r="I281" s="28">
        <f>3.2*2+1.35*2+2.8+2.05+2.2+3*3</f>
        <v>25.150000000000002</v>
      </c>
      <c r="J281" s="28">
        <f>I281*3.6</f>
        <v>90.54</v>
      </c>
      <c r="L281" s="28">
        <f>J281-K281</f>
        <v>90.54</v>
      </c>
      <c r="M281" s="28">
        <f>L281*105%</f>
        <v>95.067000000000007</v>
      </c>
    </row>
    <row r="282" spans="1:15" x14ac:dyDescent="0.2">
      <c r="A282" s="128" t="s">
        <v>57</v>
      </c>
      <c r="B282" s="193" t="s">
        <v>69</v>
      </c>
      <c r="C282" s="130"/>
      <c r="D282" s="131"/>
      <c r="E282" s="132"/>
      <c r="F282" s="133"/>
      <c r="G282" s="134"/>
    </row>
    <row r="283" spans="1:15" x14ac:dyDescent="0.2">
      <c r="A283" s="140" t="s">
        <v>160</v>
      </c>
      <c r="B283" s="194" t="s">
        <v>262</v>
      </c>
      <c r="C283" s="142"/>
      <c r="D283" s="143"/>
      <c r="E283" s="144"/>
      <c r="F283" s="145"/>
      <c r="G283" s="56">
        <f t="shared" ref="G283:G286" si="48">(D283*E283)+(D283*F283)</f>
        <v>0</v>
      </c>
    </row>
    <row r="284" spans="1:15" ht="24" x14ac:dyDescent="0.2">
      <c r="A284" s="182" t="s">
        <v>178</v>
      </c>
      <c r="B284" s="138" t="s">
        <v>334</v>
      </c>
      <c r="C284" s="139" t="s">
        <v>307</v>
      </c>
      <c r="D284" s="87">
        <v>144.47</v>
      </c>
      <c r="E284" s="88"/>
      <c r="F284" s="55"/>
      <c r="G284" s="56">
        <f t="shared" si="48"/>
        <v>0</v>
      </c>
      <c r="I284" s="28">
        <f>2.95*9+3*3+2.05+2.2+2.85+2.95*3+6.125+6.05+2.725</f>
        <v>66.399999999999991</v>
      </c>
      <c r="J284" s="28">
        <f>3.5*I284</f>
        <v>232.39999999999998</v>
      </c>
      <c r="K284" s="28">
        <v>94.81</v>
      </c>
      <c r="L284" s="28">
        <f>J284-K284</f>
        <v>137.58999999999997</v>
      </c>
      <c r="N284" s="28">
        <f>SUM(L284:M284)</f>
        <v>137.58999999999997</v>
      </c>
      <c r="O284" s="28">
        <f>N284*105%</f>
        <v>144.46949999999998</v>
      </c>
    </row>
    <row r="285" spans="1:15" x14ac:dyDescent="0.2">
      <c r="A285" s="140" t="s">
        <v>161</v>
      </c>
      <c r="B285" s="194" t="s">
        <v>261</v>
      </c>
      <c r="C285" s="142"/>
      <c r="D285" s="143"/>
      <c r="E285" s="144"/>
      <c r="F285" s="145"/>
      <c r="G285" s="56">
        <f t="shared" si="48"/>
        <v>0</v>
      </c>
    </row>
    <row r="286" spans="1:15" ht="24" x14ac:dyDescent="0.2">
      <c r="A286" s="182" t="s">
        <v>178</v>
      </c>
      <c r="B286" s="138" t="s">
        <v>334</v>
      </c>
      <c r="C286" s="139" t="s">
        <v>307</v>
      </c>
      <c r="D286" s="87">
        <v>15.4</v>
      </c>
      <c r="E286" s="88"/>
      <c r="F286" s="55"/>
      <c r="G286" s="56">
        <f t="shared" si="48"/>
        <v>0</v>
      </c>
      <c r="I286" s="28">
        <f>5.8</f>
        <v>5.8</v>
      </c>
      <c r="J286" s="28">
        <f>I286*3.5</f>
        <v>20.3</v>
      </c>
      <c r="K286" s="28">
        <v>4.9000000000000004</v>
      </c>
      <c r="L286" s="28">
        <f>J286-K286</f>
        <v>15.4</v>
      </c>
    </row>
    <row r="287" spans="1:15" x14ac:dyDescent="0.2">
      <c r="A287" s="137"/>
      <c r="B287" s="195"/>
      <c r="C287" s="139"/>
      <c r="D287" s="87"/>
      <c r="E287" s="88"/>
      <c r="F287" s="55"/>
      <c r="G287" s="56"/>
      <c r="K287" s="135"/>
    </row>
    <row r="288" spans="1:15" x14ac:dyDescent="0.2">
      <c r="A288" s="137"/>
      <c r="B288" s="195"/>
      <c r="C288" s="139"/>
      <c r="D288" s="87"/>
      <c r="E288" s="88"/>
      <c r="F288" s="55"/>
      <c r="G288" s="56"/>
      <c r="K288" s="135"/>
    </row>
    <row r="289" spans="1:11" x14ac:dyDescent="0.2">
      <c r="A289" s="137"/>
      <c r="B289" s="195"/>
      <c r="C289" s="139"/>
      <c r="D289" s="87"/>
      <c r="E289" s="88"/>
      <c r="F289" s="55"/>
      <c r="G289" s="56"/>
      <c r="K289" s="135"/>
    </row>
    <row r="290" spans="1:11" x14ac:dyDescent="0.2">
      <c r="A290" s="137"/>
      <c r="B290" s="195"/>
      <c r="C290" s="139"/>
      <c r="D290" s="87"/>
      <c r="E290" s="88"/>
      <c r="F290" s="55"/>
      <c r="G290" s="56"/>
      <c r="K290" s="135"/>
    </row>
    <row r="291" spans="1:11" x14ac:dyDescent="0.2">
      <c r="A291" s="137"/>
      <c r="B291" s="195"/>
      <c r="C291" s="139"/>
      <c r="D291" s="87"/>
      <c r="E291" s="88"/>
      <c r="F291" s="55"/>
      <c r="G291" s="56"/>
      <c r="K291" s="135"/>
    </row>
    <row r="292" spans="1:11" x14ac:dyDescent="0.2">
      <c r="A292" s="137"/>
      <c r="B292" s="195"/>
      <c r="C292" s="139"/>
      <c r="D292" s="87"/>
      <c r="E292" s="88"/>
      <c r="F292" s="55"/>
      <c r="G292" s="56"/>
      <c r="K292" s="135"/>
    </row>
    <row r="293" spans="1:11" x14ac:dyDescent="0.2">
      <c r="A293" s="137"/>
      <c r="B293" s="195"/>
      <c r="C293" s="139"/>
      <c r="D293" s="87"/>
      <c r="E293" s="88"/>
      <c r="F293" s="55"/>
      <c r="G293" s="56"/>
      <c r="K293" s="135"/>
    </row>
    <row r="294" spans="1:11" x14ac:dyDescent="0.2">
      <c r="A294" s="137"/>
      <c r="B294" s="195"/>
      <c r="C294" s="139"/>
      <c r="D294" s="87"/>
      <c r="E294" s="88"/>
      <c r="F294" s="55"/>
      <c r="G294" s="56"/>
      <c r="K294" s="135"/>
    </row>
    <row r="295" spans="1:11" x14ac:dyDescent="0.2">
      <c r="A295" s="137"/>
      <c r="B295" s="195"/>
      <c r="C295" s="139"/>
      <c r="D295" s="87"/>
      <c r="E295" s="88"/>
      <c r="F295" s="55"/>
      <c r="G295" s="56"/>
      <c r="K295" s="135"/>
    </row>
    <row r="296" spans="1:11" x14ac:dyDescent="0.2">
      <c r="A296" s="137"/>
      <c r="B296" s="195"/>
      <c r="C296" s="139"/>
      <c r="D296" s="87"/>
      <c r="E296" s="88"/>
      <c r="F296" s="55"/>
      <c r="G296" s="56"/>
      <c r="K296" s="135"/>
    </row>
    <row r="297" spans="1:11" x14ac:dyDescent="0.2">
      <c r="A297" s="137"/>
      <c r="B297" s="195"/>
      <c r="C297" s="139"/>
      <c r="D297" s="87"/>
      <c r="E297" s="88"/>
      <c r="F297" s="55"/>
      <c r="G297" s="56"/>
      <c r="K297" s="135"/>
    </row>
    <row r="298" spans="1:11" x14ac:dyDescent="0.2">
      <c r="A298" s="137"/>
      <c r="B298" s="195"/>
      <c r="C298" s="139"/>
      <c r="D298" s="87"/>
      <c r="E298" s="88"/>
      <c r="F298" s="55"/>
      <c r="G298" s="56"/>
      <c r="K298" s="135"/>
    </row>
    <row r="299" spans="1:11" x14ac:dyDescent="0.2">
      <c r="A299" s="137"/>
      <c r="B299" s="195"/>
      <c r="C299" s="139"/>
      <c r="D299" s="87"/>
      <c r="E299" s="88"/>
      <c r="F299" s="55"/>
      <c r="G299" s="56"/>
      <c r="K299" s="135"/>
    </row>
    <row r="300" spans="1:11" x14ac:dyDescent="0.2">
      <c r="A300" s="137"/>
      <c r="B300" s="195"/>
      <c r="C300" s="139"/>
      <c r="D300" s="87"/>
      <c r="E300" s="88"/>
      <c r="F300" s="55"/>
      <c r="G300" s="56"/>
      <c r="K300" s="135"/>
    </row>
    <row r="301" spans="1:11" x14ac:dyDescent="0.2">
      <c r="A301" s="137"/>
      <c r="B301" s="195"/>
      <c r="C301" s="139"/>
      <c r="D301" s="87"/>
      <c r="E301" s="88"/>
      <c r="F301" s="55"/>
      <c r="G301" s="56"/>
      <c r="K301" s="135"/>
    </row>
    <row r="302" spans="1:11" x14ac:dyDescent="0.2">
      <c r="A302" s="137"/>
      <c r="B302" s="195"/>
      <c r="C302" s="139"/>
      <c r="D302" s="87"/>
      <c r="E302" s="88"/>
      <c r="F302" s="55"/>
      <c r="G302" s="56"/>
      <c r="K302" s="135"/>
    </row>
    <row r="303" spans="1:11" x14ac:dyDescent="0.2">
      <c r="A303" s="137"/>
      <c r="B303" s="195"/>
      <c r="C303" s="139"/>
      <c r="D303" s="87"/>
      <c r="E303" s="88"/>
      <c r="F303" s="55"/>
      <c r="G303" s="56"/>
      <c r="K303" s="135"/>
    </row>
    <row r="304" spans="1:11" x14ac:dyDescent="0.2">
      <c r="A304" s="137"/>
      <c r="B304" s="195"/>
      <c r="C304" s="139"/>
      <c r="D304" s="87"/>
      <c r="E304" s="88"/>
      <c r="F304" s="55"/>
      <c r="G304" s="56"/>
      <c r="K304" s="135"/>
    </row>
    <row r="305" spans="1:18" x14ac:dyDescent="0.2">
      <c r="A305" s="137"/>
      <c r="B305" s="195"/>
      <c r="C305" s="139"/>
      <c r="D305" s="87"/>
      <c r="E305" s="88"/>
      <c r="F305" s="55"/>
      <c r="G305" s="56"/>
      <c r="K305" s="135"/>
    </row>
    <row r="306" spans="1:18" x14ac:dyDescent="0.2">
      <c r="A306" s="137"/>
      <c r="B306" s="195"/>
      <c r="C306" s="139"/>
      <c r="D306" s="87"/>
      <c r="E306" s="88"/>
      <c r="F306" s="55"/>
      <c r="G306" s="56"/>
      <c r="K306" s="135"/>
    </row>
    <row r="307" spans="1:18" x14ac:dyDescent="0.2">
      <c r="A307" s="137"/>
      <c r="B307" s="195"/>
      <c r="C307" s="139"/>
      <c r="D307" s="87"/>
      <c r="E307" s="88"/>
      <c r="F307" s="55"/>
      <c r="G307" s="56"/>
      <c r="K307" s="135"/>
    </row>
    <row r="308" spans="1:18" x14ac:dyDescent="0.2">
      <c r="A308" s="137"/>
      <c r="B308" s="195"/>
      <c r="C308" s="139"/>
      <c r="D308" s="87"/>
      <c r="E308" s="88"/>
      <c r="F308" s="55"/>
      <c r="G308" s="56"/>
      <c r="K308" s="135"/>
    </row>
    <row r="309" spans="1:18" x14ac:dyDescent="0.2">
      <c r="A309" s="137"/>
      <c r="B309" s="195"/>
      <c r="C309" s="139"/>
      <c r="D309" s="87"/>
      <c r="E309" s="88"/>
      <c r="F309" s="55"/>
      <c r="G309" s="56"/>
      <c r="K309" s="135"/>
    </row>
    <row r="310" spans="1:18" ht="12.75" thickBot="1" x14ac:dyDescent="0.25">
      <c r="A310" s="147"/>
      <c r="B310" s="358"/>
      <c r="C310" s="149"/>
      <c r="D310" s="150"/>
      <c r="E310" s="178"/>
      <c r="F310" s="151"/>
      <c r="G310" s="152"/>
      <c r="K310" s="135"/>
    </row>
    <row r="311" spans="1:18" x14ac:dyDescent="0.2">
      <c r="A311" s="137"/>
      <c r="B311" s="195"/>
      <c r="C311" s="139"/>
      <c r="D311" s="87"/>
      <c r="E311" s="88"/>
      <c r="F311" s="55"/>
      <c r="G311" s="56"/>
      <c r="K311" s="135"/>
    </row>
    <row r="312" spans="1:18" x14ac:dyDescent="0.2">
      <c r="A312" s="114">
        <v>4.3</v>
      </c>
      <c r="B312" s="196" t="s">
        <v>106</v>
      </c>
      <c r="C312" s="127"/>
      <c r="D312" s="117"/>
      <c r="E312" s="118"/>
      <c r="F312" s="117"/>
      <c r="G312" s="197"/>
      <c r="K312" s="135"/>
    </row>
    <row r="313" spans="1:18" ht="109.5" customHeight="1" x14ac:dyDescent="0.2">
      <c r="A313" s="36"/>
      <c r="B313" s="58" t="s">
        <v>310</v>
      </c>
      <c r="C313" s="58"/>
      <c r="D313" s="58"/>
      <c r="E313" s="58"/>
      <c r="F313" s="58"/>
      <c r="G313" s="191"/>
    </row>
    <row r="314" spans="1:18" ht="40.5" customHeight="1" x14ac:dyDescent="0.2">
      <c r="A314" s="36"/>
      <c r="B314" s="58" t="s">
        <v>155</v>
      </c>
      <c r="C314" s="58"/>
      <c r="D314" s="58"/>
      <c r="E314" s="58"/>
      <c r="F314" s="190"/>
      <c r="G314" s="191"/>
    </row>
    <row r="315" spans="1:18" ht="51" customHeight="1" x14ac:dyDescent="0.2">
      <c r="A315" s="36"/>
      <c r="B315" s="58" t="s">
        <v>235</v>
      </c>
      <c r="C315" s="58"/>
      <c r="D315" s="58"/>
      <c r="E315" s="58"/>
      <c r="F315" s="190"/>
      <c r="G315" s="191"/>
    </row>
    <row r="316" spans="1:18" x14ac:dyDescent="0.2">
      <c r="A316" s="128" t="s">
        <v>147</v>
      </c>
      <c r="B316" s="193" t="s">
        <v>135</v>
      </c>
      <c r="C316" s="130"/>
      <c r="D316" s="131"/>
      <c r="E316" s="132"/>
      <c r="F316" s="133"/>
      <c r="G316" s="134"/>
    </row>
    <row r="317" spans="1:18" x14ac:dyDescent="0.2">
      <c r="A317" s="137" t="s">
        <v>160</v>
      </c>
      <c r="B317" s="192" t="s">
        <v>228</v>
      </c>
      <c r="C317" s="142"/>
      <c r="D317" s="143"/>
      <c r="E317" s="144"/>
      <c r="F317" s="145"/>
      <c r="G317" s="56"/>
    </row>
    <row r="318" spans="1:18" ht="13.5" x14ac:dyDescent="0.2">
      <c r="A318" s="137"/>
      <c r="B318" s="195" t="s">
        <v>226</v>
      </c>
      <c r="C318" s="139" t="s">
        <v>307</v>
      </c>
      <c r="D318" s="87">
        <f>D276*2</f>
        <v>322.24</v>
      </c>
      <c r="E318" s="88"/>
      <c r="F318" s="55"/>
      <c r="G318" s="56">
        <f t="shared" ref="G318" si="49">(D318*E318)+(D318*F318)</f>
        <v>0</v>
      </c>
    </row>
    <row r="319" spans="1:18" x14ac:dyDescent="0.2">
      <c r="A319" s="128" t="s">
        <v>148</v>
      </c>
      <c r="B319" s="193" t="s">
        <v>67</v>
      </c>
      <c r="C319" s="130"/>
      <c r="D319" s="131"/>
      <c r="E319" s="132"/>
      <c r="F319" s="133"/>
      <c r="G319" s="134"/>
    </row>
    <row r="320" spans="1:18" s="199" customFormat="1" ht="15" customHeight="1" x14ac:dyDescent="0.2">
      <c r="A320" s="140" t="s">
        <v>160</v>
      </c>
      <c r="B320" s="194" t="s">
        <v>223</v>
      </c>
      <c r="C320" s="142"/>
      <c r="D320" s="143"/>
      <c r="E320" s="144"/>
      <c r="F320" s="198"/>
      <c r="G320" s="56">
        <f t="shared" ref="G320:G321" si="50">(D320*E320)+(D320*F320)</f>
        <v>0</v>
      </c>
      <c r="I320" s="28"/>
      <c r="J320" s="28"/>
      <c r="K320" s="28"/>
      <c r="L320" s="28"/>
      <c r="M320" s="28"/>
      <c r="N320" s="28"/>
      <c r="O320" s="28"/>
      <c r="P320" s="28"/>
      <c r="Q320" s="28"/>
      <c r="R320" s="28"/>
    </row>
    <row r="321" spans="1:17" ht="13.5" x14ac:dyDescent="0.2">
      <c r="A321" s="137"/>
      <c r="B321" s="195" t="s">
        <v>137</v>
      </c>
      <c r="C321" s="139" t="s">
        <v>307</v>
      </c>
      <c r="D321" s="87">
        <v>317.74</v>
      </c>
      <c r="E321" s="88"/>
      <c r="F321" s="55"/>
      <c r="G321" s="56">
        <f t="shared" si="50"/>
        <v>0</v>
      </c>
      <c r="I321" s="28">
        <f>18.4*2+29*2+2.4*2</f>
        <v>99.6</v>
      </c>
      <c r="J321" s="28">
        <f>I321*4</f>
        <v>398.4</v>
      </c>
      <c r="K321" s="28">
        <f>K279</f>
        <v>80.66</v>
      </c>
      <c r="L321" s="28">
        <f>J321-K321</f>
        <v>317.74</v>
      </c>
    </row>
    <row r="322" spans="1:17" x14ac:dyDescent="0.2">
      <c r="A322" s="181" t="s">
        <v>161</v>
      </c>
      <c r="B322" s="185" t="s">
        <v>224</v>
      </c>
      <c r="C322" s="142"/>
      <c r="D322" s="143"/>
      <c r="E322" s="144"/>
      <c r="F322" s="145"/>
      <c r="G322" s="56">
        <f t="shared" ref="G322:G323" si="51">(D322*E322)+(D322*F322)</f>
        <v>0</v>
      </c>
    </row>
    <row r="323" spans="1:17" ht="25.5" customHeight="1" x14ac:dyDescent="0.2">
      <c r="A323" s="137"/>
      <c r="B323" s="138" t="s">
        <v>225</v>
      </c>
      <c r="C323" s="139" t="s">
        <v>307</v>
      </c>
      <c r="D323" s="87">
        <v>524.11</v>
      </c>
      <c r="E323" s="88"/>
      <c r="F323" s="55"/>
      <c r="G323" s="56">
        <f t="shared" si="51"/>
        <v>0</v>
      </c>
      <c r="I323" s="28">
        <f>5.2+2.2+3*3+3.2*2+1.35*2</f>
        <v>25.499999999999996</v>
      </c>
      <c r="J323" s="28">
        <f>I323*3.85*2</f>
        <v>196.34999999999997</v>
      </c>
      <c r="K323" s="28">
        <f>I321*3.85</f>
        <v>383.46</v>
      </c>
      <c r="L323" s="28">
        <f>K323-K321</f>
        <v>302.79999999999995</v>
      </c>
      <c r="M323" s="28">
        <f>L323+J323</f>
        <v>499.14999999999992</v>
      </c>
      <c r="N323" s="28">
        <f>M323*105%</f>
        <v>524.10749999999996</v>
      </c>
    </row>
    <row r="324" spans="1:17" x14ac:dyDescent="0.2">
      <c r="A324" s="128" t="s">
        <v>57</v>
      </c>
      <c r="B324" s="193" t="s">
        <v>69</v>
      </c>
      <c r="C324" s="130"/>
      <c r="D324" s="131"/>
      <c r="E324" s="132"/>
      <c r="F324" s="133"/>
      <c r="G324" s="134"/>
    </row>
    <row r="325" spans="1:17" x14ac:dyDescent="0.2">
      <c r="A325" s="140" t="s">
        <v>160</v>
      </c>
      <c r="B325" s="194" t="s">
        <v>223</v>
      </c>
      <c r="C325" s="142"/>
      <c r="D325" s="143"/>
      <c r="E325" s="144"/>
      <c r="F325" s="198"/>
      <c r="G325" s="56">
        <f t="shared" ref="G325:G328" si="52">(D325*E325)+(D325*F325)</f>
        <v>0</v>
      </c>
    </row>
    <row r="326" spans="1:17" ht="13.5" x14ac:dyDescent="0.2">
      <c r="A326" s="137"/>
      <c r="B326" s="195" t="s">
        <v>137</v>
      </c>
      <c r="C326" s="139" t="s">
        <v>307</v>
      </c>
      <c r="D326" s="87">
        <v>492.74400000000003</v>
      </c>
      <c r="E326" s="88"/>
      <c r="F326" s="55"/>
      <c r="G326" s="56">
        <f t="shared" si="52"/>
        <v>0</v>
      </c>
      <c r="I326" s="28">
        <f>29*2+16*2+2.4*2+3.4+3.2</f>
        <v>101.4</v>
      </c>
      <c r="J326" s="28">
        <f>I326*3.9</f>
        <v>395.46000000000004</v>
      </c>
      <c r="K326" s="28">
        <v>94.81</v>
      </c>
      <c r="L326" s="28">
        <f>J326-K326</f>
        <v>300.65000000000003</v>
      </c>
      <c r="M326" s="28">
        <f>28.9+2.75*2+32.55+12.45+0.45*2</f>
        <v>80.3</v>
      </c>
      <c r="N326" s="28">
        <f>M326*2.1</f>
        <v>168.63</v>
      </c>
      <c r="O326" s="28">
        <f>L326+N326</f>
        <v>469.28000000000003</v>
      </c>
      <c r="P326" s="28">
        <f>O326*105%</f>
        <v>492.74400000000003</v>
      </c>
    </row>
    <row r="327" spans="1:17" x14ac:dyDescent="0.2">
      <c r="A327" s="181" t="s">
        <v>161</v>
      </c>
      <c r="B327" s="185" t="s">
        <v>224</v>
      </c>
      <c r="C327" s="142"/>
      <c r="D327" s="143"/>
      <c r="E327" s="144"/>
      <c r="F327" s="145"/>
      <c r="G327" s="56">
        <f t="shared" si="52"/>
        <v>0</v>
      </c>
    </row>
    <row r="328" spans="1:17" ht="24" x14ac:dyDescent="0.2">
      <c r="A328" s="137"/>
      <c r="B328" s="138" t="s">
        <v>225</v>
      </c>
      <c r="C328" s="139" t="s">
        <v>307</v>
      </c>
      <c r="D328" s="87">
        <v>468.24</v>
      </c>
      <c r="E328" s="88"/>
      <c r="F328" s="55"/>
      <c r="G328" s="56">
        <f t="shared" si="52"/>
        <v>0</v>
      </c>
      <c r="I328" s="28">
        <f>6.2</f>
        <v>6.2</v>
      </c>
      <c r="J328" s="28">
        <f>I328*3.9</f>
        <v>24.18</v>
      </c>
      <c r="K328" s="28">
        <f>J328-4.9</f>
        <v>19.28</v>
      </c>
      <c r="L328" s="28">
        <f>K328*2</f>
        <v>38.56</v>
      </c>
      <c r="M328" s="28">
        <f>I326*3.9</f>
        <v>395.46000000000004</v>
      </c>
      <c r="N328" s="28">
        <f>M328-K326</f>
        <v>300.65000000000003</v>
      </c>
      <c r="O328" s="28">
        <f>N328+L328</f>
        <v>339.21000000000004</v>
      </c>
      <c r="P328" s="28">
        <f>17.5*2+1.2*2+13.425</f>
        <v>50.825000000000003</v>
      </c>
      <c r="Q328" s="28">
        <f>P328*2.1</f>
        <v>106.73250000000002</v>
      </c>
    </row>
    <row r="329" spans="1:17" x14ac:dyDescent="0.2">
      <c r="A329" s="140" t="s">
        <v>255</v>
      </c>
      <c r="B329" s="192" t="s">
        <v>298</v>
      </c>
      <c r="C329" s="139"/>
      <c r="D329" s="87"/>
      <c r="E329" s="88"/>
      <c r="F329" s="55"/>
      <c r="G329" s="56"/>
      <c r="I329" s="28">
        <f>O328+Q328</f>
        <v>445.94250000000005</v>
      </c>
      <c r="J329" s="28">
        <f>I329*105%</f>
        <v>468.23962500000005</v>
      </c>
    </row>
    <row r="330" spans="1:17" ht="33.75" customHeight="1" x14ac:dyDescent="0.2">
      <c r="A330" s="137"/>
      <c r="B330" s="138" t="s">
        <v>311</v>
      </c>
      <c r="C330" s="139" t="s">
        <v>15</v>
      </c>
      <c r="D330" s="87">
        <v>1</v>
      </c>
      <c r="E330" s="88"/>
      <c r="F330" s="55"/>
      <c r="G330" s="56">
        <f t="shared" ref="G330" si="53">(D330*E330)+(D330*F330)</f>
        <v>0</v>
      </c>
    </row>
    <row r="331" spans="1:17" x14ac:dyDescent="0.2">
      <c r="A331" s="181"/>
      <c r="B331" s="185"/>
      <c r="C331" s="139"/>
      <c r="D331" s="87"/>
      <c r="E331" s="88"/>
      <c r="F331" s="55"/>
      <c r="G331" s="56"/>
    </row>
    <row r="332" spans="1:17" x14ac:dyDescent="0.2">
      <c r="A332" s="181"/>
      <c r="B332" s="185"/>
      <c r="C332" s="139"/>
      <c r="D332" s="87"/>
      <c r="E332" s="88"/>
      <c r="F332" s="55"/>
      <c r="G332" s="56"/>
    </row>
    <row r="333" spans="1:17" x14ac:dyDescent="0.2">
      <c r="A333" s="181"/>
      <c r="B333" s="185"/>
      <c r="C333" s="139"/>
      <c r="D333" s="87"/>
      <c r="E333" s="88"/>
      <c r="F333" s="55"/>
      <c r="G333" s="56"/>
    </row>
    <row r="334" spans="1:17" x14ac:dyDescent="0.2">
      <c r="A334" s="181"/>
      <c r="B334" s="185"/>
      <c r="C334" s="139"/>
      <c r="D334" s="87"/>
      <c r="E334" s="88"/>
      <c r="F334" s="55"/>
      <c r="G334" s="56"/>
    </row>
    <row r="335" spans="1:17" x14ac:dyDescent="0.2">
      <c r="A335" s="181"/>
      <c r="B335" s="185"/>
      <c r="C335" s="139"/>
      <c r="D335" s="87"/>
      <c r="E335" s="88"/>
      <c r="F335" s="55"/>
      <c r="G335" s="56"/>
    </row>
    <row r="336" spans="1:17" x14ac:dyDescent="0.2">
      <c r="A336" s="181"/>
      <c r="B336" s="185"/>
      <c r="C336" s="139"/>
      <c r="D336" s="87"/>
      <c r="E336" s="88"/>
      <c r="F336" s="55"/>
      <c r="G336" s="56"/>
    </row>
    <row r="337" spans="1:13" x14ac:dyDescent="0.2">
      <c r="A337" s="181"/>
      <c r="B337" s="185"/>
      <c r="C337" s="139"/>
      <c r="D337" s="87"/>
      <c r="E337" s="88"/>
      <c r="F337" s="55"/>
      <c r="G337" s="56"/>
    </row>
    <row r="338" spans="1:13" x14ac:dyDescent="0.2">
      <c r="A338" s="181"/>
      <c r="B338" s="185"/>
      <c r="C338" s="139"/>
      <c r="D338" s="87"/>
      <c r="E338" s="88"/>
      <c r="F338" s="55"/>
      <c r="G338" s="56"/>
    </row>
    <row r="339" spans="1:13" x14ac:dyDescent="0.2">
      <c r="A339" s="181"/>
      <c r="B339" s="185"/>
      <c r="C339" s="139"/>
      <c r="D339" s="87"/>
      <c r="E339" s="88"/>
      <c r="F339" s="55"/>
      <c r="G339" s="56"/>
    </row>
    <row r="340" spans="1:13" x14ac:dyDescent="0.2">
      <c r="A340" s="181"/>
      <c r="B340" s="185"/>
      <c r="C340" s="139"/>
      <c r="D340" s="87"/>
      <c r="E340" s="88"/>
      <c r="F340" s="55"/>
      <c r="G340" s="56"/>
    </row>
    <row r="341" spans="1:13" x14ac:dyDescent="0.2">
      <c r="A341" s="181"/>
      <c r="B341" s="185"/>
      <c r="C341" s="139"/>
      <c r="D341" s="87"/>
      <c r="E341" s="88"/>
      <c r="F341" s="55"/>
      <c r="G341" s="56"/>
    </row>
    <row r="342" spans="1:13" x14ac:dyDescent="0.2">
      <c r="A342" s="181"/>
      <c r="B342" s="185"/>
      <c r="C342" s="139"/>
      <c r="D342" s="87"/>
      <c r="E342" s="88"/>
      <c r="F342" s="55"/>
      <c r="G342" s="56"/>
    </row>
    <row r="343" spans="1:13" x14ac:dyDescent="0.2">
      <c r="A343" s="181"/>
      <c r="B343" s="185"/>
      <c r="C343" s="139"/>
      <c r="D343" s="87"/>
      <c r="E343" s="88"/>
      <c r="F343" s="55"/>
      <c r="G343" s="56"/>
    </row>
    <row r="344" spans="1:13" x14ac:dyDescent="0.2">
      <c r="A344" s="181"/>
      <c r="B344" s="185"/>
      <c r="C344" s="139"/>
      <c r="D344" s="87"/>
      <c r="E344" s="88"/>
      <c r="F344" s="55"/>
      <c r="G344" s="56"/>
    </row>
    <row r="345" spans="1:13" x14ac:dyDescent="0.2">
      <c r="A345" s="181"/>
      <c r="B345" s="185"/>
      <c r="C345" s="139"/>
      <c r="D345" s="87"/>
      <c r="E345" s="88"/>
      <c r="F345" s="55"/>
      <c r="G345" s="56"/>
    </row>
    <row r="346" spans="1:13" x14ac:dyDescent="0.2">
      <c r="A346" s="181"/>
      <c r="B346" s="185"/>
      <c r="C346" s="139"/>
      <c r="D346" s="87"/>
      <c r="E346" s="88"/>
      <c r="F346" s="55"/>
      <c r="G346" s="56"/>
    </row>
    <row r="347" spans="1:13" x14ac:dyDescent="0.2">
      <c r="A347" s="181"/>
      <c r="B347" s="185"/>
      <c r="C347" s="139"/>
      <c r="D347" s="87"/>
      <c r="E347" s="88"/>
      <c r="F347" s="55"/>
      <c r="G347" s="56"/>
    </row>
    <row r="348" spans="1:13" x14ac:dyDescent="0.2">
      <c r="A348" s="181"/>
      <c r="B348" s="185"/>
      <c r="C348" s="139"/>
      <c r="D348" s="87"/>
      <c r="E348" s="88"/>
      <c r="F348" s="55"/>
      <c r="G348" s="56"/>
    </row>
    <row r="349" spans="1:13" ht="12.75" thickBot="1" x14ac:dyDescent="0.25">
      <c r="A349" s="181"/>
      <c r="B349" s="185"/>
      <c r="C349" s="139"/>
      <c r="D349" s="87"/>
      <c r="E349" s="88"/>
      <c r="F349" s="55"/>
      <c r="G349" s="56"/>
    </row>
    <row r="350" spans="1:13" x14ac:dyDescent="0.2">
      <c r="A350" s="64"/>
      <c r="B350" s="65" t="s">
        <v>145</v>
      </c>
      <c r="C350" s="109"/>
      <c r="D350" s="67"/>
      <c r="E350" s="68"/>
      <c r="F350" s="186"/>
      <c r="G350" s="187"/>
    </row>
    <row r="351" spans="1:13" ht="12.75" thickBot="1" x14ac:dyDescent="0.25">
      <c r="A351" s="69"/>
      <c r="B351" s="70" t="s">
        <v>190</v>
      </c>
      <c r="C351" s="110"/>
      <c r="D351" s="72"/>
      <c r="E351" s="73"/>
      <c r="F351" s="151"/>
      <c r="G351" s="188">
        <f>SUM(G275:G328)</f>
        <v>0</v>
      </c>
    </row>
    <row r="352" spans="1:13" x14ac:dyDescent="0.2">
      <c r="A352" s="36"/>
      <c r="B352" s="76"/>
      <c r="C352" s="52"/>
      <c r="D352" s="53"/>
      <c r="E352" s="40"/>
      <c r="F352" s="55"/>
      <c r="G352" s="146"/>
      <c r="K352" s="28">
        <f>(30.53+10.025+22.025+11.525)*2</f>
        <v>148.21</v>
      </c>
      <c r="L352" s="28">
        <f>5.525*8</f>
        <v>44.2</v>
      </c>
      <c r="M352" s="28">
        <f>K352-L352</f>
        <v>104.01</v>
      </c>
    </row>
    <row r="353" spans="1:15" x14ac:dyDescent="0.2">
      <c r="A353" s="200"/>
      <c r="B353" s="201" t="s">
        <v>107</v>
      </c>
      <c r="C353" s="202"/>
      <c r="D353" s="39"/>
      <c r="E353" s="203"/>
      <c r="F353" s="55"/>
      <c r="G353" s="56"/>
      <c r="K353" s="28">
        <f>18.45*2+11.45*2</f>
        <v>59.8</v>
      </c>
      <c r="N353" s="28">
        <f>M352+K353</f>
        <v>163.81</v>
      </c>
      <c r="O353" s="28">
        <f>N353/0.74</f>
        <v>221.36486486486487</v>
      </c>
    </row>
    <row r="354" spans="1:15" x14ac:dyDescent="0.2">
      <c r="A354" s="200"/>
      <c r="B354" s="204" t="s">
        <v>108</v>
      </c>
      <c r="C354" s="202"/>
      <c r="D354" s="39"/>
      <c r="E354" s="203"/>
      <c r="F354" s="55"/>
      <c r="G354" s="56"/>
      <c r="K354" s="28">
        <f>SUM(K352:K353)</f>
        <v>208.01</v>
      </c>
      <c r="L354" s="28">
        <f>K354*5.8</f>
        <v>1206.4579999999999</v>
      </c>
      <c r="M354" s="28">
        <f>L354/18.3</f>
        <v>65.926666666666662</v>
      </c>
    </row>
    <row r="355" spans="1:15" x14ac:dyDescent="0.2">
      <c r="A355" s="189" t="s">
        <v>109</v>
      </c>
      <c r="B355" s="47" t="s">
        <v>41</v>
      </c>
      <c r="C355" s="38"/>
      <c r="D355" s="39"/>
      <c r="E355" s="40"/>
      <c r="F355" s="55"/>
      <c r="G355" s="56"/>
    </row>
    <row r="356" spans="1:15" ht="49.5" customHeight="1" x14ac:dyDescent="0.2">
      <c r="A356" s="189"/>
      <c r="B356" s="58" t="s">
        <v>138</v>
      </c>
      <c r="C356" s="58"/>
      <c r="D356" s="58"/>
      <c r="E356" s="58"/>
      <c r="F356" s="58"/>
      <c r="G356" s="156"/>
    </row>
    <row r="357" spans="1:15" x14ac:dyDescent="0.2">
      <c r="A357" s="205" t="s">
        <v>140</v>
      </c>
      <c r="B357" s="206" t="s">
        <v>193</v>
      </c>
      <c r="C357" s="207"/>
      <c r="D357" s="208"/>
      <c r="E357" s="209"/>
      <c r="F357" s="210"/>
      <c r="G357" s="211"/>
    </row>
    <row r="358" spans="1:15" x14ac:dyDescent="0.2">
      <c r="A358" s="316"/>
      <c r="B358" s="317" t="s">
        <v>198</v>
      </c>
      <c r="C358" s="318"/>
      <c r="D358" s="319"/>
      <c r="E358" s="203"/>
      <c r="F358" s="176"/>
      <c r="G358" s="212"/>
    </row>
    <row r="359" spans="1:15" x14ac:dyDescent="0.2">
      <c r="A359" s="320" t="s">
        <v>147</v>
      </c>
      <c r="B359" s="321" t="s">
        <v>67</v>
      </c>
      <c r="C359" s="322"/>
      <c r="D359" s="323"/>
      <c r="E359" s="160"/>
      <c r="F359" s="161"/>
      <c r="G359" s="162">
        <f t="shared" ref="G359:G364" si="54">(D359*E359)+(D359*F359)</f>
        <v>0</v>
      </c>
    </row>
    <row r="360" spans="1:15" ht="13.5" x14ac:dyDescent="0.2">
      <c r="A360" s="316"/>
      <c r="B360" s="324" t="s">
        <v>398</v>
      </c>
      <c r="C360" s="318" t="s">
        <v>305</v>
      </c>
      <c r="D360" s="319">
        <v>349.43</v>
      </c>
      <c r="E360" s="175"/>
      <c r="F360" s="176"/>
      <c r="G360" s="212">
        <f t="shared" si="54"/>
        <v>0</v>
      </c>
      <c r="I360" s="28">
        <f>8.3*6.2*4</f>
        <v>205.84000000000003</v>
      </c>
      <c r="J360" s="28">
        <v>72.5</v>
      </c>
    </row>
    <row r="361" spans="1:15" ht="13.5" x14ac:dyDescent="0.2">
      <c r="A361" s="316"/>
      <c r="B361" s="324" t="s">
        <v>399</v>
      </c>
      <c r="C361" s="318" t="s">
        <v>305</v>
      </c>
      <c r="D361" s="319">
        <v>84.65</v>
      </c>
      <c r="E361" s="175"/>
      <c r="F361" s="176"/>
      <c r="G361" s="212">
        <f t="shared" ref="G361:G363" si="55">(D361*E361)+(D361*F361)</f>
        <v>0</v>
      </c>
      <c r="I361" s="28">
        <f>8.3*9.4*2</f>
        <v>156.04000000000002</v>
      </c>
      <c r="M361" s="135" t="e">
        <f>D360+D361+D362+D363+#REF!+#REF!+#REF!+D365+D364</f>
        <v>#REF!</v>
      </c>
      <c r="N361" s="135" t="e">
        <f>M361-D365</f>
        <v>#REF!</v>
      </c>
    </row>
    <row r="362" spans="1:15" ht="13.5" x14ac:dyDescent="0.2">
      <c r="A362" s="316"/>
      <c r="B362" s="324" t="s">
        <v>335</v>
      </c>
      <c r="C362" s="318" t="s">
        <v>305</v>
      </c>
      <c r="D362" s="319">
        <v>165.76</v>
      </c>
      <c r="E362" s="175"/>
      <c r="F362" s="176"/>
      <c r="G362" s="212">
        <f t="shared" si="55"/>
        <v>0</v>
      </c>
      <c r="I362" s="28">
        <f>32.2*2.4+13.4*3.2+6.2*2.4+12.8*2.4</f>
        <v>165.76</v>
      </c>
    </row>
    <row r="363" spans="1:15" ht="13.5" x14ac:dyDescent="0.2">
      <c r="A363" s="316"/>
      <c r="B363" s="324" t="s">
        <v>400</v>
      </c>
      <c r="C363" s="318" t="s">
        <v>305</v>
      </c>
      <c r="D363" s="319">
        <v>14.26</v>
      </c>
      <c r="E363" s="175"/>
      <c r="F363" s="176"/>
      <c r="G363" s="212">
        <f t="shared" si="55"/>
        <v>0</v>
      </c>
      <c r="I363" s="28">
        <f>2.3*3.1*2</f>
        <v>14.26</v>
      </c>
    </row>
    <row r="364" spans="1:15" ht="13.5" x14ac:dyDescent="0.2">
      <c r="A364" s="316"/>
      <c r="B364" s="324" t="s">
        <v>401</v>
      </c>
      <c r="C364" s="318" t="s">
        <v>305</v>
      </c>
      <c r="D364" s="319">
        <v>7.13</v>
      </c>
      <c r="E364" s="175"/>
      <c r="F364" s="176"/>
      <c r="G364" s="212">
        <f t="shared" si="54"/>
        <v>0</v>
      </c>
      <c r="I364" s="28">
        <f>3.1*2.3</f>
        <v>7.13</v>
      </c>
    </row>
    <row r="365" spans="1:15" ht="13.5" x14ac:dyDescent="0.2">
      <c r="A365" s="316"/>
      <c r="B365" s="324" t="s">
        <v>263</v>
      </c>
      <c r="C365" s="318" t="s">
        <v>305</v>
      </c>
      <c r="D365" s="319">
        <v>20.3</v>
      </c>
      <c r="E365" s="175"/>
      <c r="F365" s="176"/>
      <c r="G365" s="212">
        <f t="shared" ref="G365" si="56">(D365*E365)+(D365*F365)</f>
        <v>0</v>
      </c>
      <c r="I365" s="135">
        <f>3.3*1.475*2</f>
        <v>9.7349999999999994</v>
      </c>
      <c r="J365" s="28">
        <f>1.5*3.1</f>
        <v>4.6500000000000004</v>
      </c>
      <c r="K365" s="135">
        <f>0.16*1.475*25</f>
        <v>5.9</v>
      </c>
      <c r="L365" s="135">
        <f>SUM(I365:K365)</f>
        <v>20.285</v>
      </c>
    </row>
    <row r="366" spans="1:15" ht="13.5" x14ac:dyDescent="0.2">
      <c r="A366" s="316"/>
      <c r="B366" s="324" t="s">
        <v>354</v>
      </c>
      <c r="C366" s="318" t="s">
        <v>305</v>
      </c>
      <c r="D366" s="319">
        <v>60.5</v>
      </c>
      <c r="E366" s="175"/>
      <c r="F366" s="176"/>
      <c r="G366" s="212">
        <f t="shared" ref="G366" si="57">(D366*E366)+(D366*F366)</f>
        <v>0</v>
      </c>
      <c r="I366" s="135">
        <f>32.85*2+2.95*2+21.5</f>
        <v>93.100000000000009</v>
      </c>
      <c r="J366" s="135">
        <f>I366*0.65</f>
        <v>60.515000000000008</v>
      </c>
      <c r="K366" s="135"/>
      <c r="L366" s="135"/>
    </row>
    <row r="367" spans="1:15" x14ac:dyDescent="0.2">
      <c r="A367" s="320" t="s">
        <v>148</v>
      </c>
      <c r="B367" s="321" t="s">
        <v>69</v>
      </c>
      <c r="C367" s="322"/>
      <c r="D367" s="323"/>
      <c r="E367" s="160"/>
      <c r="F367" s="161"/>
      <c r="G367" s="162">
        <f t="shared" ref="G367:G370" si="58">(D367*E367)+(D367*F367)</f>
        <v>0</v>
      </c>
    </row>
    <row r="368" spans="1:15" ht="13.5" x14ac:dyDescent="0.2">
      <c r="A368" s="316"/>
      <c r="B368" s="324" t="s">
        <v>402</v>
      </c>
      <c r="C368" s="318" t="s">
        <v>305</v>
      </c>
      <c r="D368" s="319">
        <v>66.31</v>
      </c>
      <c r="E368" s="175"/>
      <c r="F368" s="176"/>
      <c r="G368" s="212">
        <f t="shared" si="58"/>
        <v>0</v>
      </c>
      <c r="I368" s="28">
        <f>13.42*1.65+19.2*1.15*2</f>
        <v>66.302999999999997</v>
      </c>
    </row>
    <row r="369" spans="1:12" ht="13.5" x14ac:dyDescent="0.2">
      <c r="A369" s="316"/>
      <c r="B369" s="324" t="s">
        <v>405</v>
      </c>
      <c r="C369" s="318" t="s">
        <v>305</v>
      </c>
      <c r="D369" s="319">
        <v>195.44</v>
      </c>
      <c r="E369" s="175"/>
      <c r="F369" s="176"/>
      <c r="G369" s="212">
        <f t="shared" si="58"/>
        <v>0</v>
      </c>
      <c r="I369" s="28">
        <f>32.55*2.65+9.6*3.45+28.7*2.65</f>
        <v>195.4325</v>
      </c>
    </row>
    <row r="370" spans="1:12" ht="13.5" x14ac:dyDescent="0.2">
      <c r="A370" s="316"/>
      <c r="B370" s="324" t="s">
        <v>404</v>
      </c>
      <c r="C370" s="318" t="s">
        <v>305</v>
      </c>
      <c r="D370" s="319">
        <v>11.16</v>
      </c>
      <c r="E370" s="175"/>
      <c r="F370" s="176"/>
      <c r="G370" s="212">
        <f t="shared" si="58"/>
        <v>0</v>
      </c>
      <c r="I370" s="28">
        <f>3.6*3.1</f>
        <v>11.16</v>
      </c>
      <c r="L370" s="28">
        <f>SUM(I370:K370)</f>
        <v>11.16</v>
      </c>
    </row>
    <row r="371" spans="1:12" x14ac:dyDescent="0.2">
      <c r="A371" s="320" t="s">
        <v>57</v>
      </c>
      <c r="B371" s="321" t="s">
        <v>237</v>
      </c>
      <c r="C371" s="322"/>
      <c r="D371" s="323"/>
      <c r="E371" s="160"/>
      <c r="F371" s="161"/>
      <c r="G371" s="162">
        <f t="shared" ref="G371:G372" si="59">(D371*E371)+(D371*F371)</f>
        <v>0</v>
      </c>
      <c r="J371" s="28">
        <f>3.9*2.6</f>
        <v>10.14</v>
      </c>
      <c r="K371" s="135">
        <f>D371+J371</f>
        <v>10.14</v>
      </c>
    </row>
    <row r="372" spans="1:12" ht="13.5" x14ac:dyDescent="0.2">
      <c r="A372" s="316"/>
      <c r="B372" s="324" t="s">
        <v>403</v>
      </c>
      <c r="C372" s="318" t="s">
        <v>305</v>
      </c>
      <c r="D372" s="319">
        <v>29.92</v>
      </c>
      <c r="E372" s="175"/>
      <c r="F372" s="176"/>
      <c r="G372" s="212">
        <f t="shared" si="59"/>
        <v>0</v>
      </c>
      <c r="I372" s="28">
        <f>8.8*3.4</f>
        <v>29.92</v>
      </c>
    </row>
    <row r="373" spans="1:12" x14ac:dyDescent="0.2">
      <c r="A373" s="316"/>
      <c r="B373" s="324"/>
      <c r="C373" s="318"/>
      <c r="D373" s="319"/>
      <c r="E373" s="175"/>
      <c r="F373" s="176"/>
      <c r="G373" s="212"/>
    </row>
    <row r="374" spans="1:12" x14ac:dyDescent="0.2">
      <c r="A374" s="205" t="s">
        <v>141</v>
      </c>
      <c r="B374" s="206" t="s">
        <v>142</v>
      </c>
      <c r="C374" s="213"/>
      <c r="D374" s="214"/>
      <c r="E374" s="209"/>
      <c r="F374" s="210"/>
      <c r="G374" s="211"/>
    </row>
    <row r="375" spans="1:12" ht="35.25" customHeight="1" x14ac:dyDescent="0.2">
      <c r="A375" s="189"/>
      <c r="B375" s="387" t="s">
        <v>215</v>
      </c>
      <c r="C375" s="388"/>
      <c r="D375" s="388"/>
      <c r="E375" s="389"/>
      <c r="F375" s="58"/>
      <c r="G375" s="156"/>
    </row>
    <row r="376" spans="1:12" ht="15.75" customHeight="1" x14ac:dyDescent="0.2">
      <c r="A376" s="215"/>
      <c r="B376" s="387" t="s">
        <v>216</v>
      </c>
      <c r="C376" s="388"/>
      <c r="D376" s="388"/>
      <c r="E376" s="389"/>
      <c r="F376" s="58"/>
      <c r="G376" s="156"/>
    </row>
    <row r="377" spans="1:12" ht="28.5" customHeight="1" x14ac:dyDescent="0.2">
      <c r="A377" s="215"/>
      <c r="B377" s="387" t="s">
        <v>357</v>
      </c>
      <c r="C377" s="388"/>
      <c r="D377" s="388"/>
      <c r="E377" s="389"/>
      <c r="F377" s="58"/>
      <c r="G377" s="156"/>
    </row>
    <row r="378" spans="1:12" ht="37.5" customHeight="1" x14ac:dyDescent="0.2">
      <c r="A378" s="215"/>
      <c r="B378" s="387" t="s">
        <v>264</v>
      </c>
      <c r="C378" s="388"/>
      <c r="D378" s="388"/>
      <c r="E378" s="389"/>
      <c r="F378" s="58"/>
      <c r="G378" s="156"/>
    </row>
    <row r="379" spans="1:12" x14ac:dyDescent="0.2">
      <c r="A379" s="320" t="s">
        <v>147</v>
      </c>
      <c r="B379" s="321" t="s">
        <v>67</v>
      </c>
      <c r="C379" s="322"/>
      <c r="D379" s="323"/>
      <c r="E379" s="216"/>
      <c r="F379" s="161"/>
      <c r="G379" s="162"/>
    </row>
    <row r="380" spans="1:12" x14ac:dyDescent="0.2">
      <c r="A380" s="316" t="s">
        <v>217</v>
      </c>
      <c r="B380" s="325" t="s">
        <v>213</v>
      </c>
      <c r="C380" s="318"/>
      <c r="D380" s="319"/>
      <c r="E380" s="175"/>
      <c r="F380" s="176"/>
      <c r="G380" s="212"/>
      <c r="I380" s="217"/>
      <c r="J380" s="218"/>
      <c r="K380" s="219"/>
    </row>
    <row r="381" spans="1:12" x14ac:dyDescent="0.2">
      <c r="A381" s="316" t="s">
        <v>160</v>
      </c>
      <c r="B381" s="325" t="s">
        <v>356</v>
      </c>
      <c r="C381" s="318"/>
      <c r="D381" s="319"/>
      <c r="E381" s="175"/>
      <c r="F381" s="176"/>
      <c r="G381" s="212"/>
      <c r="I381" s="217"/>
      <c r="J381" s="218"/>
      <c r="K381" s="219"/>
    </row>
    <row r="382" spans="1:12" ht="13.5" x14ac:dyDescent="0.2">
      <c r="A382" s="316"/>
      <c r="B382" s="324" t="s">
        <v>400</v>
      </c>
      <c r="C382" s="318" t="s">
        <v>305</v>
      </c>
      <c r="D382" s="319">
        <v>14.26</v>
      </c>
      <c r="E382" s="175"/>
      <c r="F382" s="176"/>
      <c r="G382" s="212">
        <f t="shared" ref="G382:G383" si="60">(D382*E382)+(D382*F382)</f>
        <v>0</v>
      </c>
      <c r="I382" s="28">
        <f>2.3*3.1*2</f>
        <v>14.26</v>
      </c>
      <c r="J382" s="218"/>
      <c r="K382" s="219"/>
    </row>
    <row r="383" spans="1:12" ht="13.5" x14ac:dyDescent="0.2">
      <c r="A383" s="316"/>
      <c r="B383" s="324" t="s">
        <v>401</v>
      </c>
      <c r="C383" s="318" t="s">
        <v>305</v>
      </c>
      <c r="D383" s="319">
        <v>7.13</v>
      </c>
      <c r="E383" s="175"/>
      <c r="F383" s="176"/>
      <c r="G383" s="212">
        <f t="shared" si="60"/>
        <v>0</v>
      </c>
      <c r="I383" s="28">
        <f>3.1*2.3</f>
        <v>7.13</v>
      </c>
      <c r="J383" s="218"/>
      <c r="K383" s="219"/>
    </row>
    <row r="384" spans="1:12" x14ac:dyDescent="0.2">
      <c r="A384" s="316" t="s">
        <v>161</v>
      </c>
      <c r="B384" s="325" t="s">
        <v>336</v>
      </c>
      <c r="C384" s="318"/>
      <c r="D384" s="319"/>
      <c r="E384" s="175"/>
      <c r="F384" s="176"/>
      <c r="G384" s="212"/>
      <c r="I384" s="217"/>
      <c r="J384" s="218"/>
      <c r="K384" s="219"/>
    </row>
    <row r="385" spans="1:13" ht="13.5" x14ac:dyDescent="0.2">
      <c r="A385" s="316"/>
      <c r="B385" s="324" t="s">
        <v>405</v>
      </c>
      <c r="C385" s="318" t="s">
        <v>305</v>
      </c>
      <c r="D385" s="319">
        <v>195.44</v>
      </c>
      <c r="E385" s="175"/>
      <c r="F385" s="176"/>
      <c r="G385" s="212">
        <f t="shared" ref="G385" si="61">(D385*E385)+(D385*F385)</f>
        <v>0</v>
      </c>
      <c r="I385" s="217"/>
      <c r="J385" s="218"/>
      <c r="K385" s="219"/>
      <c r="M385" s="164"/>
    </row>
    <row r="386" spans="1:13" x14ac:dyDescent="0.2">
      <c r="A386" s="316" t="s">
        <v>171</v>
      </c>
      <c r="B386" s="325" t="s">
        <v>229</v>
      </c>
      <c r="C386" s="318"/>
      <c r="D386" s="319"/>
      <c r="E386" s="175"/>
      <c r="F386" s="176"/>
      <c r="G386" s="212"/>
    </row>
    <row r="387" spans="1:13" ht="13.5" x14ac:dyDescent="0.2">
      <c r="A387" s="316"/>
      <c r="B387" s="324" t="s">
        <v>353</v>
      </c>
      <c r="C387" s="318" t="s">
        <v>305</v>
      </c>
      <c r="D387" s="319">
        <v>20.3</v>
      </c>
      <c r="E387" s="175"/>
      <c r="F387" s="176"/>
      <c r="G387" s="212">
        <f t="shared" ref="G387:G388" si="62">(D387*E387)+(D387*F387)</f>
        <v>0</v>
      </c>
      <c r="I387" s="28">
        <f>2.1*1.8</f>
        <v>3.7800000000000002</v>
      </c>
      <c r="J387" s="28">
        <f>0.9*0.18*17</f>
        <v>2.754</v>
      </c>
      <c r="K387" s="28">
        <f>SUM(I387:J387)</f>
        <v>6.5340000000000007</v>
      </c>
    </row>
    <row r="388" spans="1:13" ht="13.5" x14ac:dyDescent="0.2">
      <c r="A388" s="316"/>
      <c r="B388" s="324" t="s">
        <v>354</v>
      </c>
      <c r="C388" s="318" t="s">
        <v>305</v>
      </c>
      <c r="D388" s="319">
        <f>D366</f>
        <v>60.5</v>
      </c>
      <c r="E388" s="175"/>
      <c r="F388" s="176"/>
      <c r="G388" s="212">
        <f t="shared" si="62"/>
        <v>0</v>
      </c>
    </row>
    <row r="389" spans="1:13" x14ac:dyDescent="0.2">
      <c r="A389" s="316" t="s">
        <v>219</v>
      </c>
      <c r="B389" s="325" t="s">
        <v>214</v>
      </c>
      <c r="C389" s="318"/>
      <c r="D389" s="319"/>
      <c r="E389" s="175"/>
      <c r="F389" s="176"/>
      <c r="G389" s="212"/>
      <c r="I389" s="217"/>
      <c r="J389" s="218"/>
      <c r="K389" s="219"/>
      <c r="L389" s="219"/>
    </row>
    <row r="390" spans="1:13" x14ac:dyDescent="0.2">
      <c r="A390" s="316" t="s">
        <v>160</v>
      </c>
      <c r="B390" s="324" t="s">
        <v>355</v>
      </c>
      <c r="C390" s="318" t="s">
        <v>125</v>
      </c>
      <c r="D390" s="319">
        <v>115.4</v>
      </c>
      <c r="E390" s="175"/>
      <c r="F390" s="176"/>
      <c r="G390" s="212">
        <f t="shared" ref="G390" si="63">(D390*E390)+(D390*F390)</f>
        <v>0</v>
      </c>
      <c r="I390" s="28">
        <f>8.3*8+6.2*4+8.3*4+9.3*4+5.6*4+3*6+5.2*2+3.2+8.7+31.1+4.15+13*4+28.3+1.4+3.9*2+2.6</f>
        <v>351.65000000000003</v>
      </c>
      <c r="J390" s="28">
        <f>0.85*22</f>
        <v>18.7</v>
      </c>
      <c r="K390" s="28">
        <f>I390-J390</f>
        <v>332.95000000000005</v>
      </c>
      <c r="M390" s="28">
        <f>I390-L390</f>
        <v>351.65000000000003</v>
      </c>
    </row>
    <row r="391" spans="1:13" x14ac:dyDescent="0.2">
      <c r="A391" s="316"/>
      <c r="B391" s="324"/>
      <c r="C391" s="318"/>
      <c r="D391" s="319"/>
      <c r="E391" s="175"/>
      <c r="F391" s="176"/>
      <c r="G391" s="212"/>
    </row>
    <row r="392" spans="1:13" x14ac:dyDescent="0.2">
      <c r="A392" s="320" t="s">
        <v>148</v>
      </c>
      <c r="B392" s="321" t="s">
        <v>69</v>
      </c>
      <c r="C392" s="322"/>
      <c r="D392" s="323"/>
      <c r="E392" s="216"/>
      <c r="F392" s="161"/>
      <c r="G392" s="162"/>
    </row>
    <row r="393" spans="1:13" x14ac:dyDescent="0.2">
      <c r="A393" s="316" t="s">
        <v>217</v>
      </c>
      <c r="B393" s="325" t="s">
        <v>213</v>
      </c>
      <c r="C393" s="318"/>
      <c r="D393" s="319"/>
      <c r="E393" s="175"/>
      <c r="F393" s="176"/>
      <c r="G393" s="212"/>
      <c r="I393" s="217"/>
      <c r="J393" s="218"/>
      <c r="K393" s="219"/>
    </row>
    <row r="394" spans="1:13" x14ac:dyDescent="0.2">
      <c r="A394" s="316" t="s">
        <v>160</v>
      </c>
      <c r="B394" s="325" t="s">
        <v>356</v>
      </c>
      <c r="C394" s="318"/>
      <c r="D394" s="319"/>
      <c r="E394" s="175"/>
      <c r="F394" s="176"/>
      <c r="G394" s="212"/>
      <c r="I394" s="217"/>
      <c r="J394" s="218"/>
      <c r="K394" s="219"/>
    </row>
    <row r="395" spans="1:13" ht="13.5" x14ac:dyDescent="0.2">
      <c r="A395" s="316"/>
      <c r="B395" s="324" t="s">
        <v>404</v>
      </c>
      <c r="C395" s="318" t="s">
        <v>305</v>
      </c>
      <c r="D395" s="319">
        <v>11.16</v>
      </c>
      <c r="E395" s="175"/>
      <c r="F395" s="176"/>
      <c r="G395" s="212">
        <f t="shared" ref="G395" si="64">(D395*E395)+(D395*F395)</f>
        <v>0</v>
      </c>
      <c r="I395" s="217"/>
      <c r="J395" s="218"/>
      <c r="K395" s="219"/>
    </row>
    <row r="396" spans="1:13" x14ac:dyDescent="0.2">
      <c r="A396" s="316" t="s">
        <v>161</v>
      </c>
      <c r="B396" s="325" t="s">
        <v>336</v>
      </c>
      <c r="C396" s="318"/>
      <c r="D396" s="319"/>
      <c r="E396" s="175"/>
      <c r="F396" s="176"/>
      <c r="G396" s="212"/>
      <c r="I396" s="217"/>
      <c r="J396" s="218"/>
      <c r="K396" s="219"/>
    </row>
    <row r="397" spans="1:13" ht="13.5" x14ac:dyDescent="0.2">
      <c r="A397" s="316"/>
      <c r="B397" s="324" t="s">
        <v>335</v>
      </c>
      <c r="C397" s="318" t="s">
        <v>305</v>
      </c>
      <c r="D397" s="319">
        <v>46.5</v>
      </c>
      <c r="E397" s="175"/>
      <c r="F397" s="176"/>
      <c r="G397" s="212">
        <f t="shared" ref="G397" si="65">(D397*E397)+(D397*F397)</f>
        <v>0</v>
      </c>
      <c r="I397" s="217"/>
      <c r="J397" s="218"/>
      <c r="K397" s="219"/>
      <c r="M397" s="164"/>
    </row>
    <row r="398" spans="1:13" x14ac:dyDescent="0.2">
      <c r="A398" s="316" t="s">
        <v>171</v>
      </c>
      <c r="B398" s="325" t="s">
        <v>229</v>
      </c>
      <c r="C398" s="318"/>
      <c r="D398" s="319"/>
      <c r="E398" s="175"/>
      <c r="F398" s="176"/>
      <c r="G398" s="212"/>
    </row>
    <row r="399" spans="1:13" ht="14.25" thickBot="1" x14ac:dyDescent="0.25">
      <c r="A399" s="351"/>
      <c r="B399" s="352" t="s">
        <v>353</v>
      </c>
      <c r="C399" s="326" t="s">
        <v>305</v>
      </c>
      <c r="D399" s="327">
        <v>14.7</v>
      </c>
      <c r="E399" s="179"/>
      <c r="F399" s="180"/>
      <c r="G399" s="353">
        <f t="shared" ref="G399" si="66">(D399*E399)+(D399*F399)</f>
        <v>0</v>
      </c>
      <c r="I399" s="28">
        <f>2.1*1.8</f>
        <v>3.7800000000000002</v>
      </c>
      <c r="J399" s="28">
        <f>0.9*0.18*17</f>
        <v>2.754</v>
      </c>
      <c r="K399" s="28">
        <f>SUM(I399:J399)</f>
        <v>6.5340000000000007</v>
      </c>
    </row>
    <row r="400" spans="1:13" x14ac:dyDescent="0.2">
      <c r="A400" s="316" t="s">
        <v>218</v>
      </c>
      <c r="B400" s="325" t="s">
        <v>214</v>
      </c>
      <c r="C400" s="318"/>
      <c r="D400" s="319"/>
      <c r="E400" s="175"/>
      <c r="F400" s="176"/>
      <c r="G400" s="212"/>
      <c r="I400" s="217"/>
      <c r="J400" s="218"/>
      <c r="K400" s="219"/>
      <c r="L400" s="219"/>
    </row>
    <row r="401" spans="1:13" x14ac:dyDescent="0.2">
      <c r="A401" s="316" t="s">
        <v>160</v>
      </c>
      <c r="B401" s="324" t="s">
        <v>355</v>
      </c>
      <c r="C401" s="318" t="s">
        <v>125</v>
      </c>
      <c r="D401" s="319">
        <v>144.4</v>
      </c>
      <c r="E401" s="175"/>
      <c r="F401" s="176"/>
      <c r="G401" s="212">
        <f t="shared" ref="G401" si="67">(D401*E401)+(D401*F401)</f>
        <v>0</v>
      </c>
      <c r="I401" s="28">
        <f>I284+I284+I286+I286</f>
        <v>144.4</v>
      </c>
      <c r="J401" s="28">
        <f>0.85*6+1.05*2</f>
        <v>7.1999999999999993</v>
      </c>
      <c r="K401" s="28">
        <f>I401-J401</f>
        <v>137.20000000000002</v>
      </c>
      <c r="M401" s="28">
        <f>I401-L401</f>
        <v>144.4</v>
      </c>
    </row>
    <row r="402" spans="1:13" ht="12.75" thickBot="1" x14ac:dyDescent="0.25">
      <c r="A402" s="351"/>
      <c r="B402" s="352"/>
      <c r="C402" s="326"/>
      <c r="D402" s="327"/>
      <c r="E402" s="179"/>
      <c r="F402" s="180"/>
      <c r="G402" s="353"/>
    </row>
    <row r="403" spans="1:13" x14ac:dyDescent="0.2">
      <c r="A403" s="320" t="s">
        <v>151</v>
      </c>
      <c r="B403" s="321" t="s">
        <v>237</v>
      </c>
      <c r="C403" s="322"/>
      <c r="D403" s="323"/>
      <c r="E403" s="216"/>
      <c r="F403" s="161"/>
      <c r="G403" s="162"/>
    </row>
    <row r="404" spans="1:13" x14ac:dyDescent="0.2">
      <c r="A404" s="316" t="s">
        <v>217</v>
      </c>
      <c r="B404" s="325" t="s">
        <v>213</v>
      </c>
      <c r="C404" s="318"/>
      <c r="D404" s="319"/>
      <c r="E404" s="175"/>
      <c r="F404" s="176"/>
      <c r="G404" s="212"/>
    </row>
    <row r="405" spans="1:13" x14ac:dyDescent="0.2">
      <c r="A405" s="316" t="s">
        <v>161</v>
      </c>
      <c r="B405" s="325" t="s">
        <v>337</v>
      </c>
      <c r="C405" s="318"/>
      <c r="D405" s="319"/>
      <c r="E405" s="175"/>
      <c r="F405" s="176"/>
      <c r="G405" s="212"/>
    </row>
    <row r="406" spans="1:13" ht="13.5" x14ac:dyDescent="0.2">
      <c r="A406" s="316"/>
      <c r="B406" s="324" t="s">
        <v>406</v>
      </c>
      <c r="C406" s="318" t="s">
        <v>305</v>
      </c>
      <c r="D406" s="319">
        <v>29.92</v>
      </c>
      <c r="E406" s="175"/>
      <c r="F406" s="176"/>
      <c r="G406" s="212">
        <f t="shared" ref="G406" si="68">(D406*E406)+(D406*F406)</f>
        <v>0</v>
      </c>
      <c r="I406" s="28">
        <f>8.8*3.4</f>
        <v>29.92</v>
      </c>
    </row>
    <row r="407" spans="1:13" x14ac:dyDescent="0.2">
      <c r="A407" s="220" t="s">
        <v>408</v>
      </c>
      <c r="B407" s="221" t="s">
        <v>199</v>
      </c>
      <c r="C407" s="127"/>
      <c r="D407" s="117"/>
      <c r="E407" s="118"/>
      <c r="F407" s="222"/>
      <c r="G407" s="223"/>
    </row>
    <row r="408" spans="1:13" ht="24" x14ac:dyDescent="0.2">
      <c r="A408" s="226" t="s">
        <v>338</v>
      </c>
      <c r="B408" s="225" t="s">
        <v>312</v>
      </c>
      <c r="C408" s="173" t="s">
        <v>15</v>
      </c>
      <c r="D408" s="53">
        <v>1</v>
      </c>
      <c r="E408" s="175"/>
      <c r="F408" s="176"/>
      <c r="G408" s="212">
        <f>(D408*E408)+(D408*F408)</f>
        <v>0</v>
      </c>
    </row>
    <row r="409" spans="1:13" x14ac:dyDescent="0.2">
      <c r="A409" s="224"/>
      <c r="B409" s="225"/>
      <c r="C409" s="173"/>
      <c r="D409" s="53"/>
      <c r="E409" s="175"/>
      <c r="F409" s="176"/>
      <c r="G409" s="212"/>
    </row>
    <row r="410" spans="1:13" x14ac:dyDescent="0.2">
      <c r="A410" s="220" t="s">
        <v>163</v>
      </c>
      <c r="B410" s="221" t="s">
        <v>358</v>
      </c>
      <c r="C410" s="127"/>
      <c r="D410" s="117"/>
      <c r="E410" s="118"/>
      <c r="F410" s="222"/>
      <c r="G410" s="223"/>
    </row>
    <row r="411" spans="1:13" ht="24" x14ac:dyDescent="0.2">
      <c r="A411" s="226" t="s">
        <v>338</v>
      </c>
      <c r="B411" s="225" t="s">
        <v>359</v>
      </c>
      <c r="C411" s="332"/>
      <c r="D411" s="53"/>
      <c r="E411" s="175"/>
      <c r="F411" s="176"/>
      <c r="G411" s="212"/>
      <c r="I411" s="28">
        <f>1.4*5</f>
        <v>7</v>
      </c>
    </row>
    <row r="412" spans="1:13" ht="13.5" x14ac:dyDescent="0.2">
      <c r="A412" s="224"/>
      <c r="B412" s="225" t="s">
        <v>407</v>
      </c>
      <c r="C412" s="332" t="s">
        <v>305</v>
      </c>
      <c r="D412" s="53">
        <v>29.92</v>
      </c>
      <c r="E412" s="175"/>
      <c r="F412" s="176"/>
      <c r="G412" s="212">
        <f t="shared" ref="G412" si="69">(D412*E412)+(D412*F412)</f>
        <v>0</v>
      </c>
    </row>
    <row r="413" spans="1:13" x14ac:dyDescent="0.2">
      <c r="A413" s="224"/>
      <c r="B413" s="225"/>
      <c r="C413" s="173"/>
      <c r="D413" s="53"/>
      <c r="E413" s="175"/>
      <c r="F413" s="176"/>
      <c r="G413" s="212"/>
    </row>
    <row r="414" spans="1:13" x14ac:dyDescent="0.2">
      <c r="A414" s="224"/>
      <c r="B414" s="225"/>
      <c r="C414" s="173"/>
      <c r="D414" s="53"/>
      <c r="E414" s="175"/>
      <c r="F414" s="176"/>
      <c r="G414" s="212"/>
    </row>
    <row r="415" spans="1:13" x14ac:dyDescent="0.2">
      <c r="A415" s="224"/>
      <c r="B415" s="225"/>
      <c r="C415" s="173"/>
      <c r="D415" s="53"/>
      <c r="E415" s="175"/>
      <c r="F415" s="176"/>
      <c r="G415" s="212"/>
    </row>
    <row r="416" spans="1:13" x14ac:dyDescent="0.2">
      <c r="A416" s="224"/>
      <c r="B416" s="225"/>
      <c r="C416" s="173"/>
      <c r="D416" s="53"/>
      <c r="E416" s="175"/>
      <c r="F416" s="176"/>
      <c r="G416" s="212"/>
    </row>
    <row r="417" spans="1:7" x14ac:dyDescent="0.2">
      <c r="A417" s="224"/>
      <c r="B417" s="225"/>
      <c r="C417" s="173"/>
      <c r="D417" s="53"/>
      <c r="E417" s="175"/>
      <c r="F417" s="176"/>
      <c r="G417" s="212"/>
    </row>
    <row r="418" spans="1:7" x14ac:dyDescent="0.2">
      <c r="A418" s="224"/>
      <c r="B418" s="225"/>
      <c r="C418" s="173"/>
      <c r="D418" s="53"/>
      <c r="E418" s="175"/>
      <c r="F418" s="176"/>
      <c r="G418" s="212"/>
    </row>
    <row r="419" spans="1:7" x14ac:dyDescent="0.2">
      <c r="A419" s="224"/>
      <c r="B419" s="225"/>
      <c r="C419" s="173"/>
      <c r="D419" s="53"/>
      <c r="E419" s="175"/>
      <c r="F419" s="176"/>
      <c r="G419" s="212"/>
    </row>
    <row r="420" spans="1:7" x14ac:dyDescent="0.2">
      <c r="A420" s="224"/>
      <c r="B420" s="225"/>
      <c r="C420" s="173"/>
      <c r="D420" s="53"/>
      <c r="E420" s="175"/>
      <c r="F420" s="176"/>
      <c r="G420" s="212"/>
    </row>
    <row r="421" spans="1:7" x14ac:dyDescent="0.2">
      <c r="A421" s="224"/>
      <c r="B421" s="225"/>
      <c r="C421" s="173"/>
      <c r="D421" s="53"/>
      <c r="E421" s="175"/>
      <c r="F421" s="176"/>
      <c r="G421" s="212"/>
    </row>
    <row r="422" spans="1:7" x14ac:dyDescent="0.2">
      <c r="A422" s="224"/>
      <c r="B422" s="225"/>
      <c r="C422" s="173"/>
      <c r="D422" s="53"/>
      <c r="E422" s="175"/>
      <c r="F422" s="176"/>
      <c r="G422" s="212"/>
    </row>
    <row r="423" spans="1:7" x14ac:dyDescent="0.2">
      <c r="A423" s="224"/>
      <c r="B423" s="225"/>
      <c r="C423" s="173"/>
      <c r="D423" s="53"/>
      <c r="E423" s="175"/>
      <c r="F423" s="176"/>
      <c r="G423" s="212"/>
    </row>
    <row r="424" spans="1:7" x14ac:dyDescent="0.2">
      <c r="A424" s="224"/>
      <c r="B424" s="225"/>
      <c r="C424" s="173"/>
      <c r="D424" s="53"/>
      <c r="E424" s="175"/>
      <c r="F424" s="176"/>
      <c r="G424" s="212"/>
    </row>
    <row r="425" spans="1:7" x14ac:dyDescent="0.2">
      <c r="A425" s="224"/>
      <c r="B425" s="225"/>
      <c r="C425" s="173"/>
      <c r="D425" s="53"/>
      <c r="E425" s="175"/>
      <c r="F425" s="176"/>
      <c r="G425" s="212"/>
    </row>
    <row r="426" spans="1:7" x14ac:dyDescent="0.2">
      <c r="A426" s="224"/>
      <c r="B426" s="225"/>
      <c r="C426" s="173"/>
      <c r="D426" s="53"/>
      <c r="E426" s="175"/>
      <c r="F426" s="176"/>
      <c r="G426" s="212"/>
    </row>
    <row r="427" spans="1:7" x14ac:dyDescent="0.2">
      <c r="A427" s="224"/>
      <c r="B427" s="225"/>
      <c r="C427" s="173"/>
      <c r="D427" s="53"/>
      <c r="E427" s="175"/>
      <c r="F427" s="176"/>
      <c r="G427" s="212"/>
    </row>
    <row r="428" spans="1:7" x14ac:dyDescent="0.2">
      <c r="A428" s="224"/>
      <c r="B428" s="225"/>
      <c r="C428" s="173"/>
      <c r="D428" s="53"/>
      <c r="E428" s="175"/>
      <c r="F428" s="176"/>
      <c r="G428" s="212"/>
    </row>
    <row r="429" spans="1:7" x14ac:dyDescent="0.2">
      <c r="A429" s="224"/>
      <c r="B429" s="225"/>
      <c r="C429" s="173"/>
      <c r="D429" s="53"/>
      <c r="E429" s="175"/>
      <c r="F429" s="176"/>
      <c r="G429" s="212"/>
    </row>
    <row r="430" spans="1:7" x14ac:dyDescent="0.2">
      <c r="A430" s="224"/>
      <c r="B430" s="225"/>
      <c r="C430" s="173"/>
      <c r="D430" s="53"/>
      <c r="E430" s="175"/>
      <c r="F430" s="176"/>
      <c r="G430" s="212"/>
    </row>
    <row r="431" spans="1:7" x14ac:dyDescent="0.2">
      <c r="A431" s="224"/>
      <c r="B431" s="225"/>
      <c r="C431" s="173"/>
      <c r="D431" s="53"/>
      <c r="E431" s="175"/>
      <c r="F431" s="176"/>
      <c r="G431" s="212"/>
    </row>
    <row r="432" spans="1:7" x14ac:dyDescent="0.2">
      <c r="A432" s="224"/>
      <c r="B432" s="225"/>
      <c r="C432" s="173"/>
      <c r="D432" s="53"/>
      <c r="E432" s="175"/>
      <c r="F432" s="176"/>
      <c r="G432" s="212"/>
    </row>
    <row r="433" spans="1:7" x14ac:dyDescent="0.2">
      <c r="A433" s="224"/>
      <c r="B433" s="225"/>
      <c r="C433" s="173"/>
      <c r="D433" s="53"/>
      <c r="E433" s="175"/>
      <c r="F433" s="176"/>
      <c r="G433" s="212"/>
    </row>
    <row r="434" spans="1:7" x14ac:dyDescent="0.2">
      <c r="A434" s="224"/>
      <c r="B434" s="225"/>
      <c r="C434" s="173"/>
      <c r="D434" s="53"/>
      <c r="E434" s="175"/>
      <c r="F434" s="176"/>
      <c r="G434" s="212"/>
    </row>
    <row r="435" spans="1:7" x14ac:dyDescent="0.2">
      <c r="A435" s="224"/>
      <c r="B435" s="225"/>
      <c r="C435" s="173"/>
      <c r="D435" s="53"/>
      <c r="E435" s="175"/>
      <c r="F435" s="176"/>
      <c r="G435" s="212"/>
    </row>
    <row r="436" spans="1:7" x14ac:dyDescent="0.2">
      <c r="A436" s="224"/>
      <c r="B436" s="225"/>
      <c r="C436" s="173"/>
      <c r="D436" s="53"/>
      <c r="E436" s="175"/>
      <c r="F436" s="176"/>
      <c r="G436" s="212"/>
    </row>
    <row r="437" spans="1:7" x14ac:dyDescent="0.2">
      <c r="A437" s="224"/>
      <c r="B437" s="225"/>
      <c r="C437" s="173"/>
      <c r="D437" s="53"/>
      <c r="E437" s="175"/>
      <c r="F437" s="176"/>
      <c r="G437" s="212"/>
    </row>
    <row r="438" spans="1:7" x14ac:dyDescent="0.2">
      <c r="A438" s="224"/>
      <c r="B438" s="225"/>
      <c r="C438" s="173"/>
      <c r="D438" s="53"/>
      <c r="E438" s="175"/>
      <c r="F438" s="176"/>
      <c r="G438" s="212"/>
    </row>
    <row r="439" spans="1:7" x14ac:dyDescent="0.2">
      <c r="A439" s="224"/>
      <c r="B439" s="225"/>
      <c r="C439" s="173"/>
      <c r="D439" s="53"/>
      <c r="E439" s="175"/>
      <c r="F439" s="176"/>
      <c r="G439" s="212"/>
    </row>
    <row r="440" spans="1:7" x14ac:dyDescent="0.2">
      <c r="A440" s="224"/>
      <c r="B440" s="225"/>
      <c r="C440" s="173"/>
      <c r="D440" s="53"/>
      <c r="E440" s="175"/>
      <c r="F440" s="176"/>
      <c r="G440" s="212"/>
    </row>
    <row r="441" spans="1:7" x14ac:dyDescent="0.2">
      <c r="A441" s="224"/>
      <c r="B441" s="225"/>
      <c r="C441" s="173"/>
      <c r="D441" s="53"/>
      <c r="E441" s="175"/>
      <c r="F441" s="176"/>
      <c r="G441" s="212"/>
    </row>
    <row r="442" spans="1:7" x14ac:dyDescent="0.2">
      <c r="A442" s="224"/>
      <c r="B442" s="225"/>
      <c r="C442" s="173"/>
      <c r="D442" s="53"/>
      <c r="E442" s="175"/>
      <c r="F442" s="176"/>
      <c r="G442" s="212"/>
    </row>
    <row r="443" spans="1:7" x14ac:dyDescent="0.2">
      <c r="A443" s="224"/>
      <c r="B443" s="225"/>
      <c r="C443" s="173"/>
      <c r="D443" s="53"/>
      <c r="E443" s="175"/>
      <c r="F443" s="176"/>
      <c r="G443" s="212"/>
    </row>
    <row r="444" spans="1:7" x14ac:dyDescent="0.2">
      <c r="A444" s="224"/>
      <c r="B444" s="225"/>
      <c r="C444" s="173"/>
      <c r="D444" s="53"/>
      <c r="E444" s="175"/>
      <c r="F444" s="176"/>
      <c r="G444" s="212"/>
    </row>
    <row r="445" spans="1:7" x14ac:dyDescent="0.2">
      <c r="A445" s="224"/>
      <c r="B445" s="225"/>
      <c r="C445" s="173"/>
      <c r="D445" s="53"/>
      <c r="E445" s="175"/>
      <c r="F445" s="176"/>
      <c r="G445" s="212"/>
    </row>
    <row r="446" spans="1:7" x14ac:dyDescent="0.2">
      <c r="A446" s="224"/>
      <c r="B446" s="225"/>
      <c r="C446" s="173"/>
      <c r="D446" s="53"/>
      <c r="E446" s="175"/>
      <c r="F446" s="176"/>
      <c r="G446" s="212"/>
    </row>
    <row r="447" spans="1:7" x14ac:dyDescent="0.2">
      <c r="A447" s="224"/>
      <c r="B447" s="225"/>
      <c r="C447" s="173"/>
      <c r="D447" s="53"/>
      <c r="E447" s="175"/>
      <c r="F447" s="176"/>
      <c r="G447" s="212"/>
    </row>
    <row r="448" spans="1:7" x14ac:dyDescent="0.2">
      <c r="A448" s="224"/>
      <c r="B448" s="225"/>
      <c r="C448" s="173"/>
      <c r="D448" s="53"/>
      <c r="E448" s="175"/>
      <c r="F448" s="176"/>
      <c r="G448" s="212"/>
    </row>
    <row r="449" spans="1:7" x14ac:dyDescent="0.2">
      <c r="A449" s="224"/>
      <c r="B449" s="225"/>
      <c r="C449" s="173"/>
      <c r="D449" s="53"/>
      <c r="E449" s="175"/>
      <c r="F449" s="176"/>
      <c r="G449" s="212"/>
    </row>
    <row r="450" spans="1:7" x14ac:dyDescent="0.2">
      <c r="A450" s="224"/>
      <c r="B450" s="225"/>
      <c r="C450" s="173"/>
      <c r="D450" s="53"/>
      <c r="E450" s="175"/>
      <c r="F450" s="176"/>
      <c r="G450" s="212"/>
    </row>
    <row r="451" spans="1:7" x14ac:dyDescent="0.2">
      <c r="A451" s="224"/>
      <c r="B451" s="225"/>
      <c r="C451" s="173"/>
      <c r="D451" s="53"/>
      <c r="E451" s="175"/>
      <c r="F451" s="176"/>
      <c r="G451" s="212"/>
    </row>
    <row r="452" spans="1:7" x14ac:dyDescent="0.2">
      <c r="A452" s="224"/>
      <c r="B452" s="225"/>
      <c r="C452" s="173"/>
      <c r="D452" s="53"/>
      <c r="E452" s="175"/>
      <c r="F452" s="176"/>
      <c r="G452" s="212"/>
    </row>
    <row r="453" spans="1:7" x14ac:dyDescent="0.2">
      <c r="A453" s="224"/>
      <c r="B453" s="225"/>
      <c r="C453" s="173"/>
      <c r="D453" s="53"/>
      <c r="E453" s="175"/>
      <c r="F453" s="176"/>
      <c r="G453" s="212"/>
    </row>
    <row r="454" spans="1:7" ht="12.75" thickBot="1" x14ac:dyDescent="0.25">
      <c r="A454" s="224"/>
      <c r="B454" s="225"/>
      <c r="C454" s="173"/>
      <c r="D454" s="53"/>
      <c r="E454" s="175"/>
      <c r="F454" s="176"/>
      <c r="G454" s="212"/>
    </row>
    <row r="455" spans="1:7" x14ac:dyDescent="0.2">
      <c r="A455" s="64"/>
      <c r="B455" s="65" t="s">
        <v>143</v>
      </c>
      <c r="C455" s="109"/>
      <c r="D455" s="67"/>
      <c r="E455" s="68"/>
      <c r="F455" s="186"/>
      <c r="G455" s="187"/>
    </row>
    <row r="456" spans="1:7" ht="12.75" thickBot="1" x14ac:dyDescent="0.25">
      <c r="A456" s="69"/>
      <c r="B456" s="70" t="s">
        <v>144</v>
      </c>
      <c r="C456" s="110"/>
      <c r="D456" s="72"/>
      <c r="E456" s="73"/>
      <c r="F456" s="151"/>
      <c r="G456" s="188">
        <f>SUM(G359:G455)</f>
        <v>0</v>
      </c>
    </row>
    <row r="457" spans="1:7" x14ac:dyDescent="0.2">
      <c r="A457" s="36"/>
      <c r="B457" s="76"/>
      <c r="C457" s="52"/>
      <c r="D457" s="53"/>
      <c r="E457" s="40"/>
      <c r="F457" s="55"/>
      <c r="G457" s="146"/>
    </row>
    <row r="458" spans="1:7" x14ac:dyDescent="0.2">
      <c r="A458" s="36"/>
      <c r="B458" s="37" t="s">
        <v>180</v>
      </c>
      <c r="C458" s="52"/>
      <c r="D458" s="53"/>
      <c r="E458" s="40"/>
      <c r="F458" s="55"/>
      <c r="G458" s="56"/>
    </row>
    <row r="459" spans="1:7" x14ac:dyDescent="0.2">
      <c r="A459" s="36"/>
      <c r="B459" s="45" t="s">
        <v>110</v>
      </c>
      <c r="C459" s="52"/>
      <c r="D459" s="53"/>
      <c r="E459" s="40"/>
      <c r="F459" s="55"/>
      <c r="G459" s="56"/>
    </row>
    <row r="460" spans="1:7" x14ac:dyDescent="0.2">
      <c r="A460" s="189" t="s">
        <v>164</v>
      </c>
      <c r="B460" s="47" t="s">
        <v>41</v>
      </c>
      <c r="C460" s="52"/>
      <c r="D460" s="53"/>
      <c r="E460" s="40"/>
      <c r="F460" s="55"/>
      <c r="G460" s="56"/>
    </row>
    <row r="461" spans="1:7" ht="45" customHeight="1" x14ac:dyDescent="0.2">
      <c r="A461" s="36"/>
      <c r="B461" s="58" t="s">
        <v>241</v>
      </c>
      <c r="C461" s="190"/>
      <c r="D461" s="190"/>
      <c r="E461" s="190"/>
      <c r="F461" s="190"/>
      <c r="G461" s="191"/>
    </row>
    <row r="462" spans="1:7" ht="62.25" customHeight="1" x14ac:dyDescent="0.2">
      <c r="A462" s="36"/>
      <c r="B462" s="58" t="s">
        <v>240</v>
      </c>
      <c r="C462" s="190"/>
      <c r="D462" s="190"/>
      <c r="E462" s="190"/>
      <c r="F462" s="190"/>
      <c r="G462" s="191"/>
    </row>
    <row r="463" spans="1:7" ht="43.5" customHeight="1" x14ac:dyDescent="0.2">
      <c r="A463" s="36"/>
      <c r="B463" s="58" t="s">
        <v>239</v>
      </c>
      <c r="C463" s="190"/>
      <c r="D463" s="190"/>
      <c r="E463" s="190"/>
      <c r="F463" s="190"/>
      <c r="G463" s="191"/>
    </row>
    <row r="464" spans="1:7" ht="38.25" customHeight="1" x14ac:dyDescent="0.2">
      <c r="A464" s="36"/>
      <c r="B464" s="58" t="s">
        <v>238</v>
      </c>
      <c r="C464" s="190"/>
      <c r="D464" s="190"/>
      <c r="E464" s="190"/>
      <c r="F464" s="190"/>
      <c r="G464" s="191"/>
    </row>
    <row r="465" spans="1:13" ht="13.5" customHeight="1" x14ac:dyDescent="0.2">
      <c r="A465" s="36"/>
      <c r="B465" s="391" t="s">
        <v>197</v>
      </c>
      <c r="C465" s="392"/>
      <c r="D465" s="392"/>
      <c r="E465" s="392"/>
      <c r="F465" s="392"/>
      <c r="G465" s="393"/>
    </row>
    <row r="466" spans="1:13" x14ac:dyDescent="0.2">
      <c r="A466" s="227" t="s">
        <v>147</v>
      </c>
      <c r="B466" s="228" t="s">
        <v>112</v>
      </c>
      <c r="C466" s="229"/>
      <c r="D466" s="230"/>
      <c r="E466" s="216"/>
      <c r="F466" s="161"/>
      <c r="G466" s="162"/>
    </row>
    <row r="467" spans="1:13" x14ac:dyDescent="0.2">
      <c r="A467" s="231"/>
      <c r="B467" s="232" t="s">
        <v>284</v>
      </c>
      <c r="C467" s="233"/>
      <c r="D467" s="234"/>
      <c r="E467" s="235"/>
      <c r="F467" s="236"/>
      <c r="G467" s="237"/>
    </row>
    <row r="468" spans="1:13" s="199" customFormat="1" ht="48" x14ac:dyDescent="0.2">
      <c r="A468" s="59" t="s">
        <v>160</v>
      </c>
      <c r="B468" s="238" t="s">
        <v>389</v>
      </c>
      <c r="C468" s="239" t="s">
        <v>113</v>
      </c>
      <c r="D468" s="53">
        <v>1</v>
      </c>
      <c r="E468" s="40"/>
      <c r="F468" s="99"/>
      <c r="G468" s="100">
        <f t="shared" ref="G468" si="70">(D468*E468)+(D468*F468)</f>
        <v>0</v>
      </c>
      <c r="I468" s="241">
        <f>2.5*2.65</f>
        <v>6.625</v>
      </c>
      <c r="J468" s="241">
        <f t="shared" ref="J468" si="71">I468*D468</f>
        <v>6.625</v>
      </c>
      <c r="K468" s="240"/>
    </row>
    <row r="469" spans="1:13" s="199" customFormat="1" ht="51.75" customHeight="1" x14ac:dyDescent="0.2">
      <c r="A469" s="59" t="s">
        <v>161</v>
      </c>
      <c r="B469" s="238" t="s">
        <v>390</v>
      </c>
      <c r="C469" s="239" t="s">
        <v>113</v>
      </c>
      <c r="D469" s="53">
        <v>13</v>
      </c>
      <c r="E469" s="40"/>
      <c r="F469" s="99"/>
      <c r="G469" s="100">
        <f t="shared" ref="G469:G470" si="72">(D469*E469)+(D469*F469)</f>
        <v>0</v>
      </c>
      <c r="I469" s="240">
        <f>1.85*2.65</f>
        <v>4.9024999999999999</v>
      </c>
      <c r="J469" s="241">
        <f>I469*D469</f>
        <v>63.732500000000002</v>
      </c>
      <c r="K469" s="240">
        <f>J469+J468</f>
        <v>70.357500000000002</v>
      </c>
      <c r="L469" s="240">
        <f>I470*3</f>
        <v>5.6999999999999993</v>
      </c>
      <c r="M469" s="240">
        <f>SUM(K469:L469)</f>
        <v>76.057500000000005</v>
      </c>
    </row>
    <row r="470" spans="1:13" s="199" customFormat="1" ht="39" customHeight="1" x14ac:dyDescent="0.2">
      <c r="A470" s="59" t="s">
        <v>171</v>
      </c>
      <c r="B470" s="238" t="s">
        <v>391</v>
      </c>
      <c r="C470" s="239" t="s">
        <v>113</v>
      </c>
      <c r="D470" s="53">
        <v>5</v>
      </c>
      <c r="E470" s="40"/>
      <c r="F470" s="99"/>
      <c r="G470" s="100">
        <f t="shared" si="72"/>
        <v>0</v>
      </c>
      <c r="I470" s="240">
        <f>0.95*2</f>
        <v>1.9</v>
      </c>
      <c r="J470" s="241">
        <f>I470*D470</f>
        <v>9.5</v>
      </c>
      <c r="K470" s="240"/>
    </row>
    <row r="471" spans="1:13" ht="12" customHeight="1" x14ac:dyDescent="0.2">
      <c r="A471" s="231"/>
      <c r="B471" s="232" t="s">
        <v>282</v>
      </c>
      <c r="C471" s="233"/>
      <c r="D471" s="234"/>
      <c r="E471" s="235"/>
      <c r="F471" s="236"/>
      <c r="G471" s="237"/>
      <c r="I471" s="135"/>
      <c r="J471" s="241">
        <f>SUM(J468:J470)</f>
        <v>79.857500000000002</v>
      </c>
      <c r="K471" s="164"/>
      <c r="L471" s="135"/>
      <c r="M471" s="135"/>
    </row>
    <row r="472" spans="1:13" ht="52.5" customHeight="1" x14ac:dyDescent="0.2">
      <c r="A472" s="59" t="s">
        <v>160</v>
      </c>
      <c r="B472" s="238" t="s">
        <v>387</v>
      </c>
      <c r="C472" s="239" t="s">
        <v>113</v>
      </c>
      <c r="D472" s="53">
        <v>20</v>
      </c>
      <c r="E472" s="40"/>
      <c r="F472" s="99"/>
      <c r="G472" s="100">
        <f t="shared" ref="G472" si="73">(D472*E472)+(D472*F472)</f>
        <v>0</v>
      </c>
      <c r="I472" s="135"/>
      <c r="J472" s="241"/>
      <c r="K472" s="164"/>
    </row>
    <row r="473" spans="1:13" ht="26.25" customHeight="1" x14ac:dyDescent="0.2">
      <c r="A473" s="59" t="s">
        <v>161</v>
      </c>
      <c r="B473" s="238" t="s">
        <v>388</v>
      </c>
      <c r="C473" s="239" t="s">
        <v>113</v>
      </c>
      <c r="D473" s="53">
        <v>3</v>
      </c>
      <c r="E473" s="40"/>
      <c r="F473" s="99"/>
      <c r="G473" s="100">
        <f t="shared" ref="G473" si="74">(D473*E473)+(D473*F473)</f>
        <v>0</v>
      </c>
      <c r="I473" s="135"/>
      <c r="J473" s="241"/>
      <c r="K473" s="164"/>
    </row>
    <row r="474" spans="1:13" ht="12" customHeight="1" x14ac:dyDescent="0.2">
      <c r="A474" s="59"/>
      <c r="B474" s="238"/>
      <c r="C474" s="239"/>
      <c r="D474" s="53"/>
      <c r="E474" s="40"/>
      <c r="F474" s="99"/>
      <c r="G474" s="100"/>
      <c r="I474" s="135"/>
      <c r="J474" s="241"/>
      <c r="K474" s="164"/>
    </row>
    <row r="475" spans="1:13" x14ac:dyDescent="0.2">
      <c r="A475" s="227" t="s">
        <v>148</v>
      </c>
      <c r="B475" s="228" t="s">
        <v>69</v>
      </c>
      <c r="C475" s="229"/>
      <c r="D475" s="230"/>
      <c r="E475" s="216"/>
      <c r="F475" s="161"/>
      <c r="G475" s="162"/>
      <c r="J475" s="135"/>
      <c r="K475" s="135"/>
    </row>
    <row r="476" spans="1:13" x14ac:dyDescent="0.2">
      <c r="A476" s="231"/>
      <c r="B476" s="232" t="s">
        <v>284</v>
      </c>
      <c r="C476" s="233"/>
      <c r="D476" s="234"/>
      <c r="E476" s="235"/>
      <c r="F476" s="236"/>
      <c r="G476" s="237"/>
    </row>
    <row r="477" spans="1:13" ht="48" x14ac:dyDescent="0.2">
      <c r="A477" s="59" t="s">
        <v>160</v>
      </c>
      <c r="B477" s="238" t="s">
        <v>390</v>
      </c>
      <c r="C477" s="239" t="s">
        <v>113</v>
      </c>
      <c r="D477" s="53">
        <v>2</v>
      </c>
      <c r="E477" s="40"/>
      <c r="F477" s="99"/>
      <c r="G477" s="100">
        <f t="shared" ref="G477" si="75">(D477*E477)+(D477*F477)</f>
        <v>0</v>
      </c>
      <c r="H477" s="199"/>
      <c r="I477" s="240">
        <f>1.85*2.65</f>
        <v>4.9024999999999999</v>
      </c>
      <c r="J477" s="241">
        <f>I477*D477</f>
        <v>9.8049999999999997</v>
      </c>
      <c r="K477" s="240"/>
      <c r="L477" s="199"/>
      <c r="M477" s="199"/>
    </row>
    <row r="478" spans="1:13" ht="13.5" customHeight="1" x14ac:dyDescent="0.2">
      <c r="A478" s="231"/>
      <c r="B478" s="232" t="s">
        <v>283</v>
      </c>
      <c r="C478" s="233"/>
      <c r="D478" s="234"/>
      <c r="E478" s="235"/>
      <c r="F478" s="236"/>
      <c r="G478" s="237"/>
      <c r="I478" s="135"/>
      <c r="J478" s="241"/>
      <c r="K478" s="164"/>
    </row>
    <row r="479" spans="1:13" ht="50.25" customHeight="1" x14ac:dyDescent="0.2">
      <c r="A479" s="59" t="s">
        <v>160</v>
      </c>
      <c r="B479" s="238" t="s">
        <v>392</v>
      </c>
      <c r="C479" s="239" t="s">
        <v>113</v>
      </c>
      <c r="D479" s="53">
        <v>18</v>
      </c>
      <c r="E479" s="40"/>
      <c r="F479" s="99"/>
      <c r="G479" s="100">
        <f t="shared" ref="G479" si="76">(D479*E479)+(D479*F479)</f>
        <v>0</v>
      </c>
      <c r="I479" s="135">
        <f>1.85*2.7</f>
        <v>4.995000000000001</v>
      </c>
      <c r="J479" s="241">
        <f>I479*D479</f>
        <v>89.910000000000025</v>
      </c>
      <c r="K479" s="164"/>
    </row>
    <row r="480" spans="1:13" x14ac:dyDescent="0.2">
      <c r="A480" s="59"/>
      <c r="B480" s="238"/>
      <c r="C480" s="239"/>
      <c r="D480" s="53"/>
      <c r="E480" s="40"/>
      <c r="F480" s="99"/>
      <c r="G480" s="100"/>
      <c r="I480" s="164"/>
      <c r="J480" s="135">
        <f>SUM(J477:J479)</f>
        <v>99.715000000000032</v>
      </c>
      <c r="K480" s="164">
        <f>J480-I477</f>
        <v>94.812500000000028</v>
      </c>
    </row>
    <row r="481" spans="1:10" ht="12.75" thickBot="1" x14ac:dyDescent="0.25">
      <c r="A481" s="59"/>
      <c r="B481" s="238"/>
      <c r="C481" s="239"/>
      <c r="D481" s="53"/>
      <c r="E481" s="40"/>
      <c r="F481" s="99"/>
      <c r="G481" s="100"/>
      <c r="I481" s="164"/>
      <c r="J481" s="135"/>
    </row>
    <row r="482" spans="1:10" x14ac:dyDescent="0.2">
      <c r="A482" s="242"/>
      <c r="B482" s="65" t="s">
        <v>181</v>
      </c>
      <c r="C482" s="243"/>
      <c r="D482" s="244"/>
      <c r="E482" s="68"/>
      <c r="F482" s="186"/>
      <c r="G482" s="187"/>
    </row>
    <row r="483" spans="1:10" ht="12.75" thickBot="1" x14ac:dyDescent="0.25">
      <c r="A483" s="245"/>
      <c r="B483" s="70" t="s">
        <v>182</v>
      </c>
      <c r="C483" s="246"/>
      <c r="D483" s="247"/>
      <c r="E483" s="73"/>
      <c r="F483" s="151"/>
      <c r="G483" s="188">
        <f>SUM(G468:G482)</f>
        <v>0</v>
      </c>
    </row>
    <row r="484" spans="1:10" x14ac:dyDescent="0.2">
      <c r="A484" s="189"/>
      <c r="B484" s="76"/>
      <c r="C484" s="38"/>
      <c r="D484" s="39"/>
      <c r="E484" s="40"/>
      <c r="F484" s="55"/>
      <c r="G484" s="146"/>
    </row>
    <row r="485" spans="1:10" x14ac:dyDescent="0.2">
      <c r="A485" s="36"/>
      <c r="B485" s="37" t="s">
        <v>183</v>
      </c>
      <c r="C485" s="52"/>
      <c r="D485" s="53"/>
      <c r="E485" s="40"/>
      <c r="F485" s="55"/>
      <c r="G485" s="56"/>
    </row>
    <row r="486" spans="1:10" x14ac:dyDescent="0.2">
      <c r="A486" s="36"/>
      <c r="B486" s="45" t="s">
        <v>159</v>
      </c>
      <c r="C486" s="52"/>
      <c r="D486" s="53"/>
      <c r="E486" s="40"/>
      <c r="F486" s="55"/>
      <c r="G486" s="56"/>
    </row>
    <row r="487" spans="1:10" x14ac:dyDescent="0.2">
      <c r="A487" s="189" t="s">
        <v>111</v>
      </c>
      <c r="B487" s="94" t="s">
        <v>41</v>
      </c>
      <c r="C487" s="52"/>
      <c r="D487" s="53"/>
      <c r="E487" s="40"/>
      <c r="F487" s="55"/>
      <c r="G487" s="56"/>
    </row>
    <row r="488" spans="1:10" ht="62.25" customHeight="1" x14ac:dyDescent="0.2">
      <c r="A488" s="189"/>
      <c r="B488" s="248" t="s">
        <v>230</v>
      </c>
      <c r="C488" s="249"/>
      <c r="D488" s="249"/>
      <c r="E488" s="249"/>
      <c r="F488" s="249"/>
      <c r="G488" s="250"/>
    </row>
    <row r="489" spans="1:10" ht="42.75" customHeight="1" x14ac:dyDescent="0.2">
      <c r="A489" s="189"/>
      <c r="B489" s="251" t="s">
        <v>117</v>
      </c>
      <c r="C489" s="251"/>
      <c r="D489" s="251"/>
      <c r="E489" s="251"/>
      <c r="F489" s="251"/>
      <c r="G489" s="252"/>
      <c r="I489" s="135"/>
    </row>
    <row r="490" spans="1:10" ht="36.75" customHeight="1" x14ac:dyDescent="0.2">
      <c r="A490" s="36"/>
      <c r="B490" s="253" t="s">
        <v>220</v>
      </c>
      <c r="C490" s="253"/>
      <c r="D490" s="253"/>
      <c r="E490" s="253"/>
      <c r="F490" s="253"/>
      <c r="G490" s="254"/>
    </row>
    <row r="491" spans="1:10" x14ac:dyDescent="0.2">
      <c r="A491" s="114" t="s">
        <v>165</v>
      </c>
      <c r="B491" s="255" t="s">
        <v>92</v>
      </c>
      <c r="C491" s="127"/>
      <c r="D491" s="117"/>
      <c r="E491" s="118"/>
      <c r="F491" s="117"/>
      <c r="G491" s="197"/>
    </row>
    <row r="492" spans="1:10" x14ac:dyDescent="0.2">
      <c r="A492" s="227" t="s">
        <v>147</v>
      </c>
      <c r="B492" s="228" t="s">
        <v>265</v>
      </c>
      <c r="C492" s="256"/>
      <c r="D492" s="257"/>
      <c r="E492" s="258"/>
      <c r="F492" s="161"/>
      <c r="G492" s="162"/>
    </row>
    <row r="493" spans="1:10" ht="13.5" x14ac:dyDescent="0.2">
      <c r="A493" s="189"/>
      <c r="B493" s="259" t="s">
        <v>393</v>
      </c>
      <c r="C493" s="77" t="s">
        <v>305</v>
      </c>
      <c r="D493" s="53">
        <v>450.6</v>
      </c>
      <c r="E493" s="40"/>
      <c r="F493" s="55"/>
      <c r="G493" s="56"/>
      <c r="I493" s="164">
        <f>28.7*15.7</f>
        <v>450.59</v>
      </c>
    </row>
    <row r="494" spans="1:10" x14ac:dyDescent="0.2">
      <c r="A494" s="227" t="s">
        <v>148</v>
      </c>
      <c r="B494" s="228" t="s">
        <v>363</v>
      </c>
      <c r="C494" s="256"/>
      <c r="D494" s="257"/>
      <c r="E494" s="258"/>
      <c r="F494" s="161"/>
      <c r="G494" s="162"/>
    </row>
    <row r="495" spans="1:10" ht="13.5" x14ac:dyDescent="0.2">
      <c r="A495" s="189"/>
      <c r="B495" s="259" t="s">
        <v>364</v>
      </c>
      <c r="C495" s="77" t="s">
        <v>305</v>
      </c>
      <c r="D495" s="53">
        <v>67.599999999999994</v>
      </c>
      <c r="E495" s="40"/>
      <c r="F495" s="55"/>
      <c r="G495" s="56">
        <f t="shared" ref="G495" si="77">(D495*E495)+(D495*F495)</f>
        <v>0</v>
      </c>
      <c r="I495" s="28">
        <f>93.2*0.725</f>
        <v>67.569999999999993</v>
      </c>
    </row>
    <row r="496" spans="1:10" x14ac:dyDescent="0.2">
      <c r="A496" s="114" t="s">
        <v>273</v>
      </c>
      <c r="B496" s="255" t="s">
        <v>274</v>
      </c>
      <c r="C496" s="127"/>
      <c r="D496" s="117"/>
      <c r="E496" s="118"/>
      <c r="F496" s="117"/>
      <c r="G496" s="197"/>
    </row>
    <row r="497" spans="1:7" x14ac:dyDescent="0.2">
      <c r="A497" s="189" t="s">
        <v>366</v>
      </c>
      <c r="B497" s="356" t="s">
        <v>237</v>
      </c>
      <c r="C497" s="77"/>
      <c r="D497" s="53"/>
      <c r="E497" s="40"/>
      <c r="F497" s="55"/>
      <c r="G497" s="56"/>
    </row>
    <row r="498" spans="1:7" ht="36" x14ac:dyDescent="0.2">
      <c r="A498" s="36" t="s">
        <v>160</v>
      </c>
      <c r="B498" s="259" t="s">
        <v>275</v>
      </c>
      <c r="C498" s="77" t="s">
        <v>271</v>
      </c>
      <c r="D498" s="53">
        <f>D590</f>
        <v>98</v>
      </c>
      <c r="E498" s="40"/>
      <c r="F498" s="55"/>
      <c r="G498" s="56">
        <f>(D498*E498)+(D498*F498)</f>
        <v>0</v>
      </c>
    </row>
    <row r="499" spans="1:7" x14ac:dyDescent="0.2">
      <c r="A499" s="189"/>
      <c r="B499" s="259"/>
      <c r="C499" s="77"/>
      <c r="D499" s="53"/>
      <c r="E499" s="40"/>
      <c r="F499" s="55"/>
      <c r="G499" s="56"/>
    </row>
    <row r="500" spans="1:7" x14ac:dyDescent="0.2">
      <c r="A500" s="189"/>
      <c r="B500" s="259"/>
      <c r="C500" s="77"/>
      <c r="D500" s="53"/>
      <c r="E500" s="40"/>
      <c r="F500" s="55"/>
      <c r="G500" s="56"/>
    </row>
    <row r="501" spans="1:7" x14ac:dyDescent="0.2">
      <c r="A501" s="189"/>
      <c r="B501" s="259"/>
      <c r="C501" s="77"/>
      <c r="D501" s="53"/>
      <c r="E501" s="40"/>
      <c r="F501" s="55"/>
      <c r="G501" s="56"/>
    </row>
    <row r="502" spans="1:7" x14ac:dyDescent="0.2">
      <c r="A502" s="189"/>
      <c r="B502" s="259"/>
      <c r="C502" s="77"/>
      <c r="D502" s="53"/>
      <c r="E502" s="40"/>
      <c r="F502" s="55"/>
      <c r="G502" s="56"/>
    </row>
    <row r="503" spans="1:7" x14ac:dyDescent="0.2">
      <c r="A503" s="189"/>
      <c r="B503" s="259"/>
      <c r="C503" s="77"/>
      <c r="D503" s="53"/>
      <c r="E503" s="40"/>
      <c r="F503" s="55"/>
      <c r="G503" s="56"/>
    </row>
    <row r="504" spans="1:7" x14ac:dyDescent="0.2">
      <c r="A504" s="189"/>
      <c r="B504" s="259"/>
      <c r="C504" s="77"/>
      <c r="D504" s="53"/>
      <c r="E504" s="40"/>
      <c r="F504" s="55"/>
      <c r="G504" s="56"/>
    </row>
    <row r="505" spans="1:7" x14ac:dyDescent="0.2">
      <c r="A505" s="189"/>
      <c r="B505" s="259"/>
      <c r="C505" s="77"/>
      <c r="D505" s="53"/>
      <c r="E505" s="40"/>
      <c r="F505" s="55"/>
      <c r="G505" s="56"/>
    </row>
    <row r="506" spans="1:7" x14ac:dyDescent="0.2">
      <c r="A506" s="189"/>
      <c r="B506" s="259"/>
      <c r="C506" s="77"/>
      <c r="D506" s="53"/>
      <c r="E506" s="40"/>
      <c r="F506" s="55"/>
      <c r="G506" s="56"/>
    </row>
    <row r="507" spans="1:7" x14ac:dyDescent="0.2">
      <c r="A507" s="189"/>
      <c r="B507" s="259"/>
      <c r="C507" s="77"/>
      <c r="D507" s="53"/>
      <c r="E507" s="40"/>
      <c r="F507" s="55"/>
      <c r="G507" s="56"/>
    </row>
    <row r="508" spans="1:7" x14ac:dyDescent="0.2">
      <c r="A508" s="189"/>
      <c r="B508" s="259"/>
      <c r="C508" s="77"/>
      <c r="D508" s="53"/>
      <c r="E508" s="40"/>
      <c r="F508" s="55"/>
      <c r="G508" s="56"/>
    </row>
    <row r="509" spans="1:7" x14ac:dyDescent="0.2">
      <c r="A509" s="189"/>
      <c r="B509" s="259"/>
      <c r="C509" s="77"/>
      <c r="D509" s="53"/>
      <c r="E509" s="40"/>
      <c r="F509" s="55"/>
      <c r="G509" s="56"/>
    </row>
    <row r="510" spans="1:7" x14ac:dyDescent="0.2">
      <c r="A510" s="189"/>
      <c r="B510" s="259"/>
      <c r="C510" s="77"/>
      <c r="D510" s="53"/>
      <c r="E510" s="40"/>
      <c r="F510" s="55"/>
      <c r="G510" s="56"/>
    </row>
    <row r="511" spans="1:7" x14ac:dyDescent="0.2">
      <c r="A511" s="189"/>
      <c r="B511" s="259"/>
      <c r="C511" s="77"/>
      <c r="D511" s="53"/>
      <c r="E511" s="40"/>
      <c r="F511" s="55"/>
      <c r="G511" s="56"/>
    </row>
    <row r="512" spans="1:7" x14ac:dyDescent="0.2">
      <c r="A512" s="189"/>
      <c r="B512" s="259"/>
      <c r="C512" s="77"/>
      <c r="D512" s="53"/>
      <c r="E512" s="40"/>
      <c r="F512" s="55"/>
      <c r="G512" s="56"/>
    </row>
    <row r="513" spans="1:7" x14ac:dyDescent="0.2">
      <c r="A513" s="189"/>
      <c r="B513" s="259"/>
      <c r="C513" s="77"/>
      <c r="D513" s="53"/>
      <c r="E513" s="40"/>
      <c r="F513" s="55"/>
      <c r="G513" s="56"/>
    </row>
    <row r="514" spans="1:7" x14ac:dyDescent="0.2">
      <c r="A514" s="189"/>
      <c r="B514" s="259"/>
      <c r="C514" s="77"/>
      <c r="D514" s="53"/>
      <c r="E514" s="40"/>
      <c r="F514" s="55"/>
      <c r="G514" s="56"/>
    </row>
    <row r="515" spans="1:7" x14ac:dyDescent="0.2">
      <c r="A515" s="189"/>
      <c r="B515" s="259"/>
      <c r="C515" s="77"/>
      <c r="D515" s="53"/>
      <c r="E515" s="40"/>
      <c r="F515" s="55"/>
      <c r="G515" s="56"/>
    </row>
    <row r="516" spans="1:7" x14ac:dyDescent="0.2">
      <c r="A516" s="189"/>
      <c r="B516" s="259"/>
      <c r="C516" s="77"/>
      <c r="D516" s="53"/>
      <c r="E516" s="40"/>
      <c r="F516" s="55"/>
      <c r="G516" s="56"/>
    </row>
    <row r="517" spans="1:7" x14ac:dyDescent="0.2">
      <c r="A517" s="189"/>
      <c r="B517" s="259"/>
      <c r="C517" s="77"/>
      <c r="D517" s="53"/>
      <c r="E517" s="40"/>
      <c r="F517" s="55"/>
      <c r="G517" s="56"/>
    </row>
    <row r="518" spans="1:7" x14ac:dyDescent="0.2">
      <c r="A518" s="189"/>
      <c r="B518" s="259"/>
      <c r="C518" s="77"/>
      <c r="D518" s="53"/>
      <c r="E518" s="40"/>
      <c r="F518" s="55"/>
      <c r="G518" s="56"/>
    </row>
    <row r="519" spans="1:7" x14ac:dyDescent="0.2">
      <c r="A519" s="189"/>
      <c r="B519" s="259"/>
      <c r="C519" s="77"/>
      <c r="D519" s="53"/>
      <c r="E519" s="40"/>
      <c r="F519" s="55"/>
      <c r="G519" s="56"/>
    </row>
    <row r="520" spans="1:7" x14ac:dyDescent="0.2">
      <c r="A520" s="189"/>
      <c r="B520" s="259"/>
      <c r="C520" s="77"/>
      <c r="D520" s="53"/>
      <c r="E520" s="40"/>
      <c r="F520" s="55"/>
      <c r="G520" s="56"/>
    </row>
    <row r="521" spans="1:7" x14ac:dyDescent="0.2">
      <c r="A521" s="189"/>
      <c r="B521" s="259"/>
      <c r="C521" s="77"/>
      <c r="D521" s="53"/>
      <c r="E521" s="40"/>
      <c r="F521" s="55"/>
      <c r="G521" s="56"/>
    </row>
    <row r="522" spans="1:7" x14ac:dyDescent="0.2">
      <c r="A522" s="189"/>
      <c r="B522" s="259"/>
      <c r="C522" s="77"/>
      <c r="D522" s="53"/>
      <c r="E522" s="40"/>
      <c r="F522" s="55"/>
      <c r="G522" s="56"/>
    </row>
    <row r="523" spans="1:7" x14ac:dyDescent="0.2">
      <c r="A523" s="189"/>
      <c r="B523" s="259"/>
      <c r="C523" s="77"/>
      <c r="D523" s="53"/>
      <c r="E523" s="40"/>
      <c r="F523" s="55"/>
      <c r="G523" s="56"/>
    </row>
    <row r="524" spans="1:7" x14ac:dyDescent="0.2">
      <c r="A524" s="189"/>
      <c r="B524" s="259"/>
      <c r="C524" s="77"/>
      <c r="D524" s="53"/>
      <c r="E524" s="40"/>
      <c r="F524" s="55"/>
      <c r="G524" s="56"/>
    </row>
    <row r="525" spans="1:7" x14ac:dyDescent="0.2">
      <c r="A525" s="189"/>
      <c r="B525" s="259"/>
      <c r="C525" s="77"/>
      <c r="D525" s="53"/>
      <c r="E525" s="40"/>
      <c r="F525" s="55"/>
      <c r="G525" s="56"/>
    </row>
    <row r="526" spans="1:7" x14ac:dyDescent="0.2">
      <c r="A526" s="189"/>
      <c r="B526" s="259"/>
      <c r="C526" s="77"/>
      <c r="D526" s="53"/>
      <c r="E526" s="40"/>
      <c r="F526" s="55"/>
      <c r="G526" s="56"/>
    </row>
    <row r="527" spans="1:7" x14ac:dyDescent="0.2">
      <c r="A527" s="189"/>
      <c r="B527" s="259"/>
      <c r="C527" s="77"/>
      <c r="D527" s="53"/>
      <c r="E527" s="40"/>
      <c r="F527" s="55"/>
      <c r="G527" s="56"/>
    </row>
    <row r="528" spans="1:7" x14ac:dyDescent="0.2">
      <c r="A528" s="189"/>
      <c r="B528" s="259"/>
      <c r="C528" s="77"/>
      <c r="D528" s="53"/>
      <c r="E528" s="40"/>
      <c r="F528" s="55"/>
      <c r="G528" s="56"/>
    </row>
    <row r="529" spans="1:11" ht="12.75" thickBot="1" x14ac:dyDescent="0.25">
      <c r="A529" s="189"/>
      <c r="B529" s="259"/>
      <c r="C529" s="77"/>
      <c r="D529" s="53"/>
      <c r="E529" s="40"/>
      <c r="F529" s="55"/>
      <c r="G529" s="56"/>
    </row>
    <row r="530" spans="1:11" x14ac:dyDescent="0.2">
      <c r="A530" s="64"/>
      <c r="B530" s="65" t="s">
        <v>184</v>
      </c>
      <c r="C530" s="109"/>
      <c r="D530" s="67"/>
      <c r="E530" s="68"/>
      <c r="F530" s="186"/>
      <c r="G530" s="187"/>
    </row>
    <row r="531" spans="1:11" ht="12.75" thickBot="1" x14ac:dyDescent="0.25">
      <c r="A531" s="69"/>
      <c r="B531" s="70" t="s">
        <v>114</v>
      </c>
      <c r="C531" s="110"/>
      <c r="D531" s="72"/>
      <c r="E531" s="73"/>
      <c r="F531" s="151"/>
      <c r="G531" s="188">
        <f>SUM(G493:G496)</f>
        <v>0</v>
      </c>
    </row>
    <row r="532" spans="1:11" x14ac:dyDescent="0.2">
      <c r="A532" s="36"/>
      <c r="B532" s="76"/>
      <c r="C532" s="52"/>
      <c r="D532" s="53"/>
      <c r="E532" s="40"/>
      <c r="F532" s="55"/>
      <c r="G532" s="146"/>
    </row>
    <row r="533" spans="1:11" x14ac:dyDescent="0.2">
      <c r="A533" s="36"/>
      <c r="B533" s="37" t="s">
        <v>115</v>
      </c>
      <c r="C533" s="52"/>
      <c r="D533" s="53"/>
      <c r="E533" s="40"/>
      <c r="F533" s="55"/>
      <c r="G533" s="56"/>
    </row>
    <row r="534" spans="1:11" x14ac:dyDescent="0.2">
      <c r="A534" s="36"/>
      <c r="B534" s="45" t="s">
        <v>94</v>
      </c>
      <c r="C534" s="52"/>
      <c r="D534" s="53"/>
      <c r="E534" s="40"/>
      <c r="F534" s="55"/>
      <c r="G534" s="56"/>
    </row>
    <row r="535" spans="1:11" x14ac:dyDescent="0.2">
      <c r="A535" s="189" t="s">
        <v>116</v>
      </c>
      <c r="B535" s="94" t="s">
        <v>41</v>
      </c>
      <c r="C535" s="52" t="s">
        <v>59</v>
      </c>
      <c r="D535" s="53"/>
      <c r="E535" s="40"/>
      <c r="F535" s="55"/>
      <c r="G535" s="56"/>
      <c r="I535" s="260"/>
      <c r="J535" s="261">
        <v>80.599999999999994</v>
      </c>
      <c r="K535" s="261"/>
    </row>
    <row r="536" spans="1:11" s="263" customFormat="1" ht="51" customHeight="1" x14ac:dyDescent="0.2">
      <c r="A536" s="59"/>
      <c r="B536" s="394" t="s">
        <v>245</v>
      </c>
      <c r="C536" s="395"/>
      <c r="D536" s="395"/>
      <c r="E536" s="396"/>
      <c r="F536" s="105"/>
      <c r="G536" s="262"/>
      <c r="I536" s="260"/>
      <c r="J536" s="264"/>
      <c r="K536" s="261"/>
    </row>
    <row r="537" spans="1:11" s="263" customFormat="1" ht="17.25" customHeight="1" x14ac:dyDescent="0.2">
      <c r="A537" s="59"/>
      <c r="B537" s="381" t="s">
        <v>300</v>
      </c>
      <c r="C537" s="382"/>
      <c r="D537" s="382"/>
      <c r="E537" s="383"/>
      <c r="F537" s="105"/>
      <c r="G537" s="262"/>
      <c r="I537" s="260"/>
      <c r="J537" s="261">
        <v>168.85</v>
      </c>
      <c r="K537" s="261"/>
    </row>
    <row r="538" spans="1:11" s="263" customFormat="1" ht="40.5" customHeight="1" x14ac:dyDescent="0.2">
      <c r="A538" s="59"/>
      <c r="B538" s="381" t="s">
        <v>313</v>
      </c>
      <c r="C538" s="382"/>
      <c r="D538" s="382"/>
      <c r="E538" s="383"/>
      <c r="F538" s="105"/>
      <c r="G538" s="262"/>
      <c r="I538" s="260"/>
      <c r="J538" s="264"/>
      <c r="K538" s="261"/>
    </row>
    <row r="539" spans="1:11" s="263" customFormat="1" ht="52.5" customHeight="1" x14ac:dyDescent="0.2">
      <c r="A539" s="59"/>
      <c r="B539" s="381" t="s">
        <v>314</v>
      </c>
      <c r="C539" s="382"/>
      <c r="D539" s="382"/>
      <c r="E539" s="383"/>
      <c r="F539" s="105"/>
      <c r="G539" s="262"/>
      <c r="I539" s="265"/>
      <c r="J539" s="261">
        <v>139</v>
      </c>
      <c r="K539" s="266"/>
    </row>
    <row r="540" spans="1:11" x14ac:dyDescent="0.2">
      <c r="A540" s="227" t="s">
        <v>147</v>
      </c>
      <c r="B540" s="228" t="s">
        <v>67</v>
      </c>
      <c r="C540" s="229"/>
      <c r="D540" s="230"/>
      <c r="E540" s="216"/>
      <c r="F540" s="161"/>
      <c r="G540" s="162"/>
      <c r="I540" s="261"/>
      <c r="J540" s="266"/>
      <c r="K540" s="261"/>
    </row>
    <row r="541" spans="1:11" ht="36" x14ac:dyDescent="0.2">
      <c r="A541" s="36"/>
      <c r="B541" s="267" t="s">
        <v>315</v>
      </c>
      <c r="C541" s="268" t="s">
        <v>305</v>
      </c>
      <c r="D541" s="87">
        <v>317.74</v>
      </c>
      <c r="E541" s="40"/>
      <c r="F541" s="55"/>
      <c r="G541" s="56">
        <f t="shared" ref="G541:G543" si="78">(D541*E541)+(D541*F541)</f>
        <v>0</v>
      </c>
      <c r="I541" s="261"/>
      <c r="J541" s="264"/>
      <c r="K541" s="261"/>
    </row>
    <row r="542" spans="1:11" ht="24.75" customHeight="1" x14ac:dyDescent="0.2">
      <c r="A542" s="36"/>
      <c r="B542" s="267" t="s">
        <v>316</v>
      </c>
      <c r="C542" s="268" t="s">
        <v>305</v>
      </c>
      <c r="D542" s="87">
        <v>524.11</v>
      </c>
      <c r="E542" s="40"/>
      <c r="F542" s="55"/>
      <c r="G542" s="56">
        <f t="shared" si="78"/>
        <v>0</v>
      </c>
      <c r="I542" s="261"/>
      <c r="J542" s="261">
        <v>143.19999999999999</v>
      </c>
      <c r="K542" s="261"/>
    </row>
    <row r="543" spans="1:11" ht="28.5" customHeight="1" x14ac:dyDescent="0.2">
      <c r="A543" s="36"/>
      <c r="B543" s="267" t="s">
        <v>339</v>
      </c>
      <c r="C543" s="268" t="s">
        <v>305</v>
      </c>
      <c r="D543" s="87">
        <v>272.95</v>
      </c>
      <c r="E543" s="40"/>
      <c r="F543" s="55"/>
      <c r="G543" s="56">
        <f t="shared" si="78"/>
        <v>0</v>
      </c>
      <c r="I543" s="261">
        <f>D368+D369+D370</f>
        <v>272.91000000000003</v>
      </c>
      <c r="J543" s="264"/>
      <c r="K543" s="261"/>
    </row>
    <row r="544" spans="1:11" x14ac:dyDescent="0.2">
      <c r="A544" s="36"/>
      <c r="B544" s="267"/>
      <c r="C544" s="268"/>
      <c r="D544" s="53"/>
      <c r="E544" s="40"/>
      <c r="F544" s="55"/>
      <c r="G544" s="56"/>
      <c r="I544" s="266"/>
      <c r="J544" s="261"/>
      <c r="K544" s="261"/>
    </row>
    <row r="545" spans="1:11" x14ac:dyDescent="0.2">
      <c r="A545" s="227" t="s">
        <v>148</v>
      </c>
      <c r="B545" s="228" t="s">
        <v>69</v>
      </c>
      <c r="C545" s="229"/>
      <c r="D545" s="230"/>
      <c r="E545" s="216"/>
      <c r="F545" s="161"/>
      <c r="G545" s="162"/>
      <c r="I545" s="261"/>
      <c r="J545" s="266"/>
      <c r="K545" s="261"/>
    </row>
    <row r="546" spans="1:11" ht="36" x14ac:dyDescent="0.2">
      <c r="A546" s="36"/>
      <c r="B546" s="267" t="s">
        <v>315</v>
      </c>
      <c r="C546" s="268" t="s">
        <v>305</v>
      </c>
      <c r="D546" s="87">
        <v>492.74</v>
      </c>
      <c r="E546" s="40"/>
      <c r="F546" s="55"/>
      <c r="G546" s="56">
        <f t="shared" ref="G546:G548" si="79">(D546*E546)+(D546*F546)</f>
        <v>0</v>
      </c>
      <c r="I546" s="261"/>
      <c r="J546" s="264"/>
      <c r="K546" s="261"/>
    </row>
    <row r="547" spans="1:11" ht="26.25" customHeight="1" x14ac:dyDescent="0.2">
      <c r="A547" s="36"/>
      <c r="B547" s="267" t="s">
        <v>316</v>
      </c>
      <c r="C547" s="268" t="s">
        <v>305</v>
      </c>
      <c r="D547" s="87">
        <v>486.24</v>
      </c>
      <c r="E547" s="40"/>
      <c r="F547" s="55"/>
      <c r="G547" s="56">
        <f t="shared" si="79"/>
        <v>0</v>
      </c>
      <c r="I547" s="261"/>
      <c r="J547" s="261">
        <v>143.19999999999999</v>
      </c>
      <c r="K547" s="261"/>
    </row>
    <row r="548" spans="1:11" ht="28.5" customHeight="1" x14ac:dyDescent="0.2">
      <c r="A548" s="36"/>
      <c r="B548" s="267" t="s">
        <v>339</v>
      </c>
      <c r="C548" s="268" t="s">
        <v>305</v>
      </c>
      <c r="D548" s="87">
        <f>I495+25.52</f>
        <v>93.089999999999989</v>
      </c>
      <c r="E548" s="40"/>
      <c r="F548" s="55"/>
      <c r="G548" s="56">
        <f t="shared" si="79"/>
        <v>0</v>
      </c>
      <c r="I548" s="261">
        <f>51.46*4+32.2*2+8.5*3*2</f>
        <v>321.24</v>
      </c>
      <c r="J548" s="264" t="e">
        <f>#REF!</f>
        <v>#REF!</v>
      </c>
      <c r="K548" s="261"/>
    </row>
    <row r="549" spans="1:11" ht="40.5" customHeight="1" x14ac:dyDescent="0.2">
      <c r="A549" s="36"/>
      <c r="B549" s="267" t="s">
        <v>362</v>
      </c>
      <c r="C549" s="268" t="s">
        <v>305</v>
      </c>
      <c r="D549" s="87">
        <f>D360</f>
        <v>349.43</v>
      </c>
      <c r="E549" s="40"/>
      <c r="F549" s="55"/>
      <c r="G549" s="56">
        <f t="shared" ref="G549" si="80">(D549*E549)+(D549*F549)</f>
        <v>0</v>
      </c>
      <c r="I549" s="269">
        <f>22.05*16.3</f>
        <v>359.41500000000002</v>
      </c>
      <c r="J549" s="264">
        <f>1.15*1.225*2</f>
        <v>2.8174999999999999</v>
      </c>
      <c r="K549" s="269">
        <f>SUM(I549:J549)</f>
        <v>362.23250000000002</v>
      </c>
    </row>
    <row r="550" spans="1:11" x14ac:dyDescent="0.2">
      <c r="A550" s="36"/>
      <c r="B550" s="267"/>
      <c r="C550" s="268"/>
      <c r="D550" s="53"/>
      <c r="E550" s="40"/>
      <c r="F550" s="55"/>
      <c r="G550" s="56"/>
      <c r="J550" s="269"/>
    </row>
    <row r="551" spans="1:11" x14ac:dyDescent="0.2">
      <c r="A551" s="36"/>
      <c r="B551" s="267"/>
      <c r="C551" s="268"/>
      <c r="D551" s="53"/>
      <c r="E551" s="40"/>
      <c r="F551" s="55"/>
      <c r="G551" s="56"/>
      <c r="J551" s="269"/>
    </row>
    <row r="552" spans="1:11" x14ac:dyDescent="0.2">
      <c r="A552" s="36"/>
      <c r="B552" s="267"/>
      <c r="C552" s="268"/>
      <c r="D552" s="53"/>
      <c r="E552" s="40"/>
      <c r="F552" s="55"/>
      <c r="G552" s="56"/>
      <c r="J552" s="269"/>
    </row>
    <row r="553" spans="1:11" x14ac:dyDescent="0.2">
      <c r="A553" s="36"/>
      <c r="B553" s="267"/>
      <c r="C553" s="268"/>
      <c r="D553" s="53"/>
      <c r="E553" s="40"/>
      <c r="F553" s="55"/>
      <c r="G553" s="56"/>
      <c r="J553" s="269"/>
    </row>
    <row r="554" spans="1:11" x14ac:dyDescent="0.2">
      <c r="A554" s="36"/>
      <c r="B554" s="267"/>
      <c r="C554" s="268"/>
      <c r="D554" s="53"/>
      <c r="E554" s="40"/>
      <c r="F554" s="55"/>
      <c r="G554" s="56"/>
      <c r="J554" s="269"/>
    </row>
    <row r="555" spans="1:11" x14ac:dyDescent="0.2">
      <c r="A555" s="36"/>
      <c r="B555" s="267"/>
      <c r="C555" s="268"/>
      <c r="D555" s="53"/>
      <c r="E555" s="40"/>
      <c r="F555" s="55"/>
      <c r="G555" s="56"/>
      <c r="J555" s="269"/>
    </row>
    <row r="556" spans="1:11" x14ac:dyDescent="0.2">
      <c r="A556" s="36"/>
      <c r="B556" s="267"/>
      <c r="C556" s="268"/>
      <c r="D556" s="53"/>
      <c r="E556" s="40"/>
      <c r="F556" s="55"/>
      <c r="G556" s="56"/>
      <c r="J556" s="269"/>
    </row>
    <row r="557" spans="1:11" x14ac:dyDescent="0.2">
      <c r="A557" s="36"/>
      <c r="B557" s="267"/>
      <c r="C557" s="268"/>
      <c r="D557" s="53"/>
      <c r="E557" s="40"/>
      <c r="F557" s="55"/>
      <c r="G557" s="56"/>
      <c r="J557" s="269"/>
    </row>
    <row r="558" spans="1:11" x14ac:dyDescent="0.2">
      <c r="A558" s="36"/>
      <c r="B558" s="267"/>
      <c r="C558" s="268"/>
      <c r="D558" s="53"/>
      <c r="E558" s="40"/>
      <c r="F558" s="55"/>
      <c r="G558" s="56"/>
      <c r="J558" s="269"/>
    </row>
    <row r="559" spans="1:11" x14ac:dyDescent="0.2">
      <c r="A559" s="36"/>
      <c r="B559" s="267"/>
      <c r="C559" s="268"/>
      <c r="D559" s="53"/>
      <c r="E559" s="40"/>
      <c r="F559" s="55"/>
      <c r="G559" s="56"/>
      <c r="J559" s="269"/>
    </row>
    <row r="560" spans="1:11" x14ac:dyDescent="0.2">
      <c r="A560" s="36"/>
      <c r="B560" s="267"/>
      <c r="C560" s="268"/>
      <c r="D560" s="53"/>
      <c r="E560" s="40"/>
      <c r="F560" s="55"/>
      <c r="G560" s="56"/>
      <c r="J560" s="269"/>
    </row>
    <row r="561" spans="1:10" x14ac:dyDescent="0.2">
      <c r="A561" s="36"/>
      <c r="B561" s="267"/>
      <c r="C561" s="268"/>
      <c r="D561" s="53"/>
      <c r="E561" s="40"/>
      <c r="F561" s="55"/>
      <c r="G561" s="56"/>
      <c r="J561" s="269"/>
    </row>
    <row r="562" spans="1:10" x14ac:dyDescent="0.2">
      <c r="A562" s="36"/>
      <c r="B562" s="267"/>
      <c r="C562" s="268"/>
      <c r="D562" s="53"/>
      <c r="E562" s="40"/>
      <c r="F562" s="55"/>
      <c r="G562" s="56"/>
      <c r="J562" s="269"/>
    </row>
    <row r="563" spans="1:10" x14ac:dyDescent="0.2">
      <c r="A563" s="36"/>
      <c r="B563" s="267"/>
      <c r="C563" s="268"/>
      <c r="D563" s="53"/>
      <c r="E563" s="40"/>
      <c r="F563" s="55"/>
      <c r="G563" s="56"/>
      <c r="J563" s="269"/>
    </row>
    <row r="564" spans="1:10" x14ac:dyDescent="0.2">
      <c r="A564" s="36"/>
      <c r="B564" s="267"/>
      <c r="C564" s="268"/>
      <c r="D564" s="53"/>
      <c r="E564" s="40"/>
      <c r="F564" s="55"/>
      <c r="G564" s="56"/>
      <c r="J564" s="269"/>
    </row>
    <row r="565" spans="1:10" x14ac:dyDescent="0.2">
      <c r="A565" s="36"/>
      <c r="B565" s="267"/>
      <c r="C565" s="268"/>
      <c r="D565" s="53"/>
      <c r="E565" s="40"/>
      <c r="F565" s="55"/>
      <c r="G565" s="56"/>
      <c r="J565" s="269"/>
    </row>
    <row r="566" spans="1:10" x14ac:dyDescent="0.2">
      <c r="A566" s="36"/>
      <c r="B566" s="267"/>
      <c r="C566" s="268"/>
      <c r="D566" s="53"/>
      <c r="E566" s="40"/>
      <c r="F566" s="55"/>
      <c r="G566" s="56"/>
      <c r="J566" s="269"/>
    </row>
    <row r="567" spans="1:10" ht="12.75" thickBot="1" x14ac:dyDescent="0.25">
      <c r="A567" s="36"/>
      <c r="B567" s="267"/>
      <c r="C567" s="268"/>
      <c r="D567" s="53"/>
      <c r="E567" s="40"/>
      <c r="F567" s="55"/>
      <c r="G567" s="56"/>
      <c r="J567" s="269"/>
    </row>
    <row r="568" spans="1:10" x14ac:dyDescent="0.2">
      <c r="A568" s="64"/>
      <c r="B568" s="65" t="s">
        <v>185</v>
      </c>
      <c r="C568" s="109"/>
      <c r="D568" s="67"/>
      <c r="E568" s="68"/>
      <c r="F568" s="186"/>
      <c r="G568" s="187"/>
    </row>
    <row r="569" spans="1:10" ht="12.75" thickBot="1" x14ac:dyDescent="0.25">
      <c r="A569" s="69"/>
      <c r="B569" s="70" t="s">
        <v>118</v>
      </c>
      <c r="C569" s="110"/>
      <c r="D569" s="72"/>
      <c r="E569" s="73"/>
      <c r="F569" s="151"/>
      <c r="G569" s="188">
        <f>SUM(G541:G549)</f>
        <v>0</v>
      </c>
    </row>
    <row r="570" spans="1:10" x14ac:dyDescent="0.2">
      <c r="A570" s="36"/>
      <c r="B570" s="37" t="s">
        <v>119</v>
      </c>
      <c r="C570" s="52"/>
      <c r="D570" s="53"/>
      <c r="E570" s="40"/>
      <c r="F570" s="55"/>
      <c r="G570" s="56"/>
    </row>
    <row r="571" spans="1:10" x14ac:dyDescent="0.2">
      <c r="A571" s="36"/>
      <c r="B571" s="45" t="s">
        <v>96</v>
      </c>
      <c r="C571" s="52"/>
      <c r="D571" s="53"/>
      <c r="E571" s="40"/>
      <c r="F571" s="55"/>
      <c r="G571" s="56"/>
    </row>
    <row r="572" spans="1:10" x14ac:dyDescent="0.2">
      <c r="A572" s="189" t="s">
        <v>120</v>
      </c>
      <c r="B572" s="94" t="s">
        <v>41</v>
      </c>
      <c r="C572" s="52"/>
      <c r="D572" s="53"/>
      <c r="E572" s="40"/>
      <c r="F572" s="55"/>
      <c r="G572" s="56"/>
    </row>
    <row r="573" spans="1:10" s="263" customFormat="1" ht="39.75" customHeight="1" x14ac:dyDescent="0.25">
      <c r="A573" s="59"/>
      <c r="B573" s="381" t="s">
        <v>139</v>
      </c>
      <c r="C573" s="382"/>
      <c r="D573" s="382"/>
      <c r="E573" s="382"/>
      <c r="F573" s="383"/>
      <c r="G573" s="155"/>
    </row>
    <row r="574" spans="1:10" x14ac:dyDescent="0.2">
      <c r="A574" s="114" t="s">
        <v>166</v>
      </c>
      <c r="B574" s="115" t="s">
        <v>124</v>
      </c>
      <c r="C574" s="127"/>
      <c r="D574" s="117"/>
      <c r="E574" s="118"/>
      <c r="F574" s="117"/>
      <c r="G574" s="197"/>
    </row>
    <row r="575" spans="1:10" x14ac:dyDescent="0.2">
      <c r="A575" s="227" t="s">
        <v>147</v>
      </c>
      <c r="B575" s="270" t="s">
        <v>67</v>
      </c>
      <c r="C575" s="271"/>
      <c r="D575" s="230"/>
      <c r="E575" s="216"/>
      <c r="F575" s="230"/>
      <c r="G575" s="272"/>
    </row>
    <row r="576" spans="1:10" x14ac:dyDescent="0.2">
      <c r="A576" s="273" t="s">
        <v>160</v>
      </c>
      <c r="B576" s="274" t="s">
        <v>360</v>
      </c>
      <c r="C576" s="275" t="s">
        <v>113</v>
      </c>
      <c r="D576" s="276"/>
      <c r="E576" s="277"/>
      <c r="F576" s="145"/>
      <c r="G576" s="146"/>
    </row>
    <row r="577" spans="1:10" ht="37.5" customHeight="1" x14ac:dyDescent="0.2">
      <c r="A577" s="189"/>
      <c r="B577" s="238" t="s">
        <v>347</v>
      </c>
      <c r="C577" s="239" t="s">
        <v>125</v>
      </c>
      <c r="D577" s="53">
        <v>9.9499999999999993</v>
      </c>
      <c r="E577" s="40"/>
      <c r="F577" s="55"/>
      <c r="G577" s="56">
        <f>(D577*E577)+(D577*F577)</f>
        <v>0</v>
      </c>
    </row>
    <row r="578" spans="1:10" x14ac:dyDescent="0.2">
      <c r="A578" s="114" t="s">
        <v>166</v>
      </c>
      <c r="B578" s="115" t="s">
        <v>266</v>
      </c>
      <c r="C578" s="127"/>
      <c r="D578" s="117"/>
      <c r="E578" s="118"/>
      <c r="F578" s="117"/>
      <c r="G578" s="197"/>
    </row>
    <row r="579" spans="1:10" ht="48" customHeight="1" x14ac:dyDescent="0.2">
      <c r="A579" s="36" t="s">
        <v>160</v>
      </c>
      <c r="B579" s="238" t="s">
        <v>340</v>
      </c>
      <c r="C579" s="239"/>
      <c r="D579" s="53"/>
      <c r="E579" s="40"/>
      <c r="F579" s="55"/>
      <c r="G579" s="56">
        <f t="shared" ref="G579:G585" si="81">(D579*E579)+(D579*F579)</f>
        <v>0</v>
      </c>
    </row>
    <row r="580" spans="1:10" x14ac:dyDescent="0.2">
      <c r="A580" s="189"/>
      <c r="B580" s="238" t="s">
        <v>410</v>
      </c>
      <c r="C580" s="239" t="s">
        <v>113</v>
      </c>
      <c r="D580" s="53">
        <v>4</v>
      </c>
      <c r="E580" s="40"/>
      <c r="F580" s="55"/>
      <c r="G580" s="56">
        <f t="shared" si="81"/>
        <v>0</v>
      </c>
    </row>
    <row r="581" spans="1:10" x14ac:dyDescent="0.2">
      <c r="A581" s="189"/>
      <c r="B581" s="238" t="s">
        <v>409</v>
      </c>
      <c r="C581" s="239" t="s">
        <v>113</v>
      </c>
      <c r="D581" s="53">
        <v>10</v>
      </c>
      <c r="E581" s="40"/>
      <c r="F581" s="55"/>
      <c r="G581" s="56">
        <f t="shared" ref="G581" si="82">(D581*E581)+(D581*F581)</f>
        <v>0</v>
      </c>
    </row>
    <row r="582" spans="1:10" x14ac:dyDescent="0.2">
      <c r="A582" s="189"/>
      <c r="B582" s="238" t="s">
        <v>411</v>
      </c>
      <c r="C582" s="239" t="s">
        <v>113</v>
      </c>
      <c r="D582" s="53">
        <v>4</v>
      </c>
      <c r="E582" s="40"/>
      <c r="F582" s="55"/>
      <c r="G582" s="56">
        <f t="shared" ref="G582:G583" si="83">(D582*E582)+(D582*F582)</f>
        <v>0</v>
      </c>
    </row>
    <row r="583" spans="1:10" x14ac:dyDescent="0.2">
      <c r="A583" s="189"/>
      <c r="B583" s="238" t="s">
        <v>412</v>
      </c>
      <c r="C583" s="239" t="s">
        <v>113</v>
      </c>
      <c r="D583" s="53">
        <v>8</v>
      </c>
      <c r="E583" s="40"/>
      <c r="F583" s="55"/>
      <c r="G583" s="56">
        <f t="shared" si="83"/>
        <v>0</v>
      </c>
    </row>
    <row r="584" spans="1:10" ht="47.25" customHeight="1" x14ac:dyDescent="0.2">
      <c r="A584" s="36" t="s">
        <v>161</v>
      </c>
      <c r="B584" s="238" t="s">
        <v>413</v>
      </c>
      <c r="C584" s="239" t="s">
        <v>267</v>
      </c>
      <c r="D584" s="53">
        <v>26.5</v>
      </c>
      <c r="E584" s="40"/>
      <c r="F584" s="55"/>
      <c r="G584" s="56">
        <f t="shared" si="81"/>
        <v>0</v>
      </c>
      <c r="I584" s="28">
        <f>13.25*2</f>
        <v>26.5</v>
      </c>
    </row>
    <row r="585" spans="1:10" ht="24" x14ac:dyDescent="0.2">
      <c r="A585" s="36" t="s">
        <v>171</v>
      </c>
      <c r="B585" s="238" t="s">
        <v>361</v>
      </c>
      <c r="C585" s="239" t="s">
        <v>267</v>
      </c>
      <c r="D585" s="53">
        <v>856.8</v>
      </c>
      <c r="E585" s="40"/>
      <c r="F585" s="55"/>
      <c r="G585" s="56">
        <f t="shared" si="81"/>
        <v>0</v>
      </c>
      <c r="I585" s="28">
        <v>816</v>
      </c>
      <c r="J585" s="28">
        <f>I585*105%</f>
        <v>856.80000000000007</v>
      </c>
    </row>
    <row r="586" spans="1:10" ht="24" x14ac:dyDescent="0.2">
      <c r="A586" s="36" t="s">
        <v>172</v>
      </c>
      <c r="B586" s="238" t="s">
        <v>367</v>
      </c>
      <c r="C586" s="268" t="s">
        <v>305</v>
      </c>
      <c r="D586" s="53">
        <v>586.04999999999995</v>
      </c>
      <c r="E586" s="40"/>
      <c r="F586" s="55"/>
      <c r="G586" s="56">
        <f t="shared" ref="G586" si="84">(D586*E586)+(D586*F586)</f>
        <v>0</v>
      </c>
      <c r="I586" s="28">
        <f>9.576*17.6*2+13*9.575*2</f>
        <v>586.02520000000004</v>
      </c>
    </row>
    <row r="587" spans="1:10" ht="36" x14ac:dyDescent="0.2">
      <c r="A587" s="36" t="s">
        <v>173</v>
      </c>
      <c r="B587" s="238" t="s">
        <v>268</v>
      </c>
      <c r="C587" s="268" t="s">
        <v>305</v>
      </c>
      <c r="D587" s="53">
        <f>D586</f>
        <v>586.04999999999995</v>
      </c>
      <c r="E587" s="40"/>
      <c r="F587" s="55"/>
      <c r="G587" s="56">
        <f t="shared" ref="G587" si="85">(D587*E587)+(D587*F587)</f>
        <v>0</v>
      </c>
    </row>
    <row r="588" spans="1:10" ht="24" x14ac:dyDescent="0.2">
      <c r="A588" s="36" t="s">
        <v>174</v>
      </c>
      <c r="B588" s="238" t="s">
        <v>269</v>
      </c>
      <c r="C588" s="268" t="s">
        <v>305</v>
      </c>
      <c r="D588" s="53">
        <f>D586</f>
        <v>586.04999999999995</v>
      </c>
      <c r="E588" s="40"/>
      <c r="F588" s="55"/>
      <c r="G588" s="56">
        <f t="shared" ref="G588" si="86">(D588*E588)+(D588*F588)</f>
        <v>0</v>
      </c>
    </row>
    <row r="589" spans="1:10" ht="24" x14ac:dyDescent="0.2">
      <c r="A589" s="36" t="s">
        <v>175</v>
      </c>
      <c r="B589" s="238" t="s">
        <v>270</v>
      </c>
      <c r="C589" s="268" t="s">
        <v>271</v>
      </c>
      <c r="D589" s="53">
        <v>66</v>
      </c>
      <c r="E589" s="40"/>
      <c r="F589" s="55"/>
      <c r="G589" s="56">
        <f t="shared" ref="G589" si="87">(D589*E589)+(D589*F589)</f>
        <v>0</v>
      </c>
    </row>
    <row r="590" spans="1:10" ht="36" x14ac:dyDescent="0.2">
      <c r="A590" s="36" t="s">
        <v>176</v>
      </c>
      <c r="B590" s="238" t="s">
        <v>272</v>
      </c>
      <c r="C590" s="268" t="s">
        <v>271</v>
      </c>
      <c r="D590" s="53">
        <v>98</v>
      </c>
      <c r="E590" s="40"/>
      <c r="F590" s="55"/>
      <c r="G590" s="56">
        <f t="shared" ref="G590" si="88">(D590*E590)+(D590*F590)</f>
        <v>0</v>
      </c>
      <c r="I590" s="28">
        <f>30.4*2+18.6*2+18.1*2+10.6*2</f>
        <v>155.39999999999998</v>
      </c>
    </row>
    <row r="591" spans="1:10" x14ac:dyDescent="0.2">
      <c r="A591" s="36"/>
      <c r="B591" s="238"/>
      <c r="C591" s="268"/>
      <c r="D591" s="53"/>
      <c r="E591" s="40"/>
      <c r="F591" s="55"/>
      <c r="G591" s="56"/>
    </row>
    <row r="592" spans="1:10" x14ac:dyDescent="0.2">
      <c r="A592" s="36"/>
      <c r="B592" s="238"/>
      <c r="C592" s="268"/>
      <c r="D592" s="53"/>
      <c r="E592" s="40"/>
      <c r="F592" s="55"/>
      <c r="G592" s="56"/>
    </row>
    <row r="593" spans="1:7" x14ac:dyDescent="0.2">
      <c r="A593" s="36"/>
      <c r="B593" s="238"/>
      <c r="C593" s="268"/>
      <c r="D593" s="53"/>
      <c r="E593" s="40"/>
      <c r="F593" s="55"/>
      <c r="G593" s="56"/>
    </row>
    <row r="594" spans="1:7" x14ac:dyDescent="0.2">
      <c r="A594" s="36"/>
      <c r="B594" s="238"/>
      <c r="C594" s="268"/>
      <c r="D594" s="53"/>
      <c r="E594" s="40"/>
      <c r="F594" s="55"/>
      <c r="G594" s="56"/>
    </row>
    <row r="595" spans="1:7" x14ac:dyDescent="0.2">
      <c r="A595" s="36"/>
      <c r="B595" s="238"/>
      <c r="C595" s="268"/>
      <c r="D595" s="53"/>
      <c r="E595" s="40"/>
      <c r="F595" s="55"/>
      <c r="G595" s="56"/>
    </row>
    <row r="596" spans="1:7" x14ac:dyDescent="0.2">
      <c r="A596" s="36"/>
      <c r="B596" s="238"/>
      <c r="C596" s="268"/>
      <c r="D596" s="53"/>
      <c r="E596" s="40"/>
      <c r="F596" s="55"/>
      <c r="G596" s="56"/>
    </row>
    <row r="597" spans="1:7" x14ac:dyDescent="0.2">
      <c r="A597" s="36"/>
      <c r="B597" s="238"/>
      <c r="C597" s="268"/>
      <c r="D597" s="53"/>
      <c r="E597" s="40"/>
      <c r="F597" s="55"/>
      <c r="G597" s="56"/>
    </row>
    <row r="598" spans="1:7" x14ac:dyDescent="0.2">
      <c r="A598" s="36"/>
      <c r="B598" s="238"/>
      <c r="C598" s="268"/>
      <c r="D598" s="53"/>
      <c r="E598" s="40"/>
      <c r="F598" s="55"/>
      <c r="G598" s="56"/>
    </row>
    <row r="599" spans="1:7" x14ac:dyDescent="0.2">
      <c r="A599" s="36"/>
      <c r="B599" s="238"/>
      <c r="C599" s="268"/>
      <c r="D599" s="53"/>
      <c r="E599" s="40"/>
      <c r="F599" s="55"/>
      <c r="G599" s="56"/>
    </row>
    <row r="600" spans="1:7" x14ac:dyDescent="0.2">
      <c r="A600" s="36"/>
      <c r="B600" s="238"/>
      <c r="C600" s="268"/>
      <c r="D600" s="53"/>
      <c r="E600" s="40"/>
      <c r="F600" s="55"/>
      <c r="G600" s="56"/>
    </row>
    <row r="601" spans="1:7" x14ac:dyDescent="0.2">
      <c r="A601" s="36"/>
      <c r="B601" s="238"/>
      <c r="C601" s="268"/>
      <c r="D601" s="53"/>
      <c r="E601" s="40"/>
      <c r="F601" s="55"/>
      <c r="G601" s="56"/>
    </row>
    <row r="602" spans="1:7" x14ac:dyDescent="0.2">
      <c r="A602" s="36"/>
      <c r="B602" s="238"/>
      <c r="C602" s="268"/>
      <c r="D602" s="53"/>
      <c r="E602" s="40"/>
      <c r="F602" s="55"/>
      <c r="G602" s="56"/>
    </row>
    <row r="603" spans="1:7" x14ac:dyDescent="0.2">
      <c r="A603" s="36"/>
      <c r="B603" s="238"/>
      <c r="C603" s="268"/>
      <c r="D603" s="53"/>
      <c r="E603" s="40"/>
      <c r="F603" s="55"/>
      <c r="G603" s="56"/>
    </row>
    <row r="604" spans="1:7" x14ac:dyDescent="0.2">
      <c r="A604" s="36"/>
      <c r="B604" s="238"/>
      <c r="C604" s="268"/>
      <c r="D604" s="53"/>
      <c r="E604" s="40"/>
      <c r="F604" s="55"/>
      <c r="G604" s="56"/>
    </row>
    <row r="605" spans="1:7" x14ac:dyDescent="0.2">
      <c r="A605" s="36"/>
      <c r="B605" s="238"/>
      <c r="C605" s="268"/>
      <c r="D605" s="53"/>
      <c r="E605" s="40"/>
      <c r="F605" s="55"/>
      <c r="G605" s="56"/>
    </row>
    <row r="606" spans="1:7" x14ac:dyDescent="0.2">
      <c r="A606" s="36"/>
      <c r="B606" s="238"/>
      <c r="C606" s="268"/>
      <c r="D606" s="53"/>
      <c r="E606" s="40"/>
      <c r="F606" s="55"/>
      <c r="G606" s="56"/>
    </row>
    <row r="607" spans="1:7" x14ac:dyDescent="0.2">
      <c r="A607" s="36"/>
      <c r="B607" s="238"/>
      <c r="C607" s="268"/>
      <c r="D607" s="53"/>
      <c r="E607" s="40"/>
      <c r="F607" s="55"/>
      <c r="G607" s="56"/>
    </row>
    <row r="608" spans="1:7" ht="12.75" thickBot="1" x14ac:dyDescent="0.25">
      <c r="A608" s="36"/>
      <c r="B608" s="238"/>
      <c r="C608" s="268"/>
      <c r="D608" s="53"/>
      <c r="E608" s="40"/>
      <c r="F608" s="55"/>
      <c r="G608" s="56"/>
    </row>
    <row r="609" spans="1:7" x14ac:dyDescent="0.2">
      <c r="A609" s="242"/>
      <c r="B609" s="65" t="s">
        <v>186</v>
      </c>
      <c r="C609" s="109"/>
      <c r="D609" s="67"/>
      <c r="E609" s="68"/>
      <c r="F609" s="186"/>
      <c r="G609" s="187"/>
    </row>
    <row r="610" spans="1:7" ht="12.75" thickBot="1" x14ac:dyDescent="0.25">
      <c r="A610" s="245"/>
      <c r="B610" s="70" t="s">
        <v>121</v>
      </c>
      <c r="C610" s="110"/>
      <c r="D610" s="72"/>
      <c r="E610" s="73"/>
      <c r="F610" s="151"/>
      <c r="G610" s="188">
        <f>SUM(G577:G609)</f>
        <v>0</v>
      </c>
    </row>
    <row r="611" spans="1:7" x14ac:dyDescent="0.2">
      <c r="A611" s="189"/>
      <c r="B611" s="76"/>
      <c r="C611" s="52"/>
      <c r="D611" s="53"/>
      <c r="E611" s="40"/>
      <c r="F611" s="55"/>
      <c r="G611" s="56"/>
    </row>
    <row r="612" spans="1:7" x14ac:dyDescent="0.2">
      <c r="A612" s="36"/>
      <c r="B612" s="37" t="s">
        <v>122</v>
      </c>
      <c r="C612" s="52"/>
      <c r="D612" s="53"/>
      <c r="E612" s="40"/>
      <c r="F612" s="55"/>
      <c r="G612" s="56"/>
    </row>
    <row r="613" spans="1:7" x14ac:dyDescent="0.2">
      <c r="A613" s="36"/>
      <c r="B613" s="45" t="s">
        <v>128</v>
      </c>
      <c r="C613" s="52"/>
      <c r="D613" s="53"/>
      <c r="E613" s="40"/>
      <c r="F613" s="55"/>
      <c r="G613" s="56"/>
    </row>
    <row r="614" spans="1:7" x14ac:dyDescent="0.2">
      <c r="A614" s="189" t="s">
        <v>123</v>
      </c>
      <c r="B614" s="94" t="s">
        <v>41</v>
      </c>
      <c r="C614" s="52"/>
      <c r="D614" s="53"/>
      <c r="E614" s="40"/>
      <c r="F614" s="55"/>
      <c r="G614" s="56"/>
    </row>
    <row r="615" spans="1:7" ht="36" customHeight="1" x14ac:dyDescent="0.2">
      <c r="A615" s="36"/>
      <c r="B615" s="58" t="s">
        <v>158</v>
      </c>
      <c r="C615" s="190"/>
      <c r="D615" s="190"/>
      <c r="E615" s="190"/>
      <c r="F615" s="190"/>
      <c r="G615" s="191"/>
    </row>
    <row r="616" spans="1:7" ht="51" customHeight="1" x14ac:dyDescent="0.2">
      <c r="A616" s="97"/>
      <c r="B616" s="58" t="s">
        <v>157</v>
      </c>
      <c r="C616" s="190"/>
      <c r="D616" s="190"/>
      <c r="E616" s="190"/>
      <c r="F616" s="190"/>
      <c r="G616" s="191"/>
    </row>
    <row r="617" spans="1:7" ht="28.5" customHeight="1" x14ac:dyDescent="0.2">
      <c r="A617" s="36"/>
      <c r="B617" s="58" t="s">
        <v>232</v>
      </c>
      <c r="C617" s="190"/>
      <c r="D617" s="190"/>
      <c r="E617" s="190"/>
      <c r="F617" s="190"/>
      <c r="G617" s="191"/>
    </row>
    <row r="618" spans="1:7" ht="36.75" customHeight="1" x14ac:dyDescent="0.2">
      <c r="A618" s="36"/>
      <c r="B618" s="58" t="s">
        <v>156</v>
      </c>
      <c r="C618" s="190"/>
      <c r="D618" s="190"/>
      <c r="E618" s="190"/>
      <c r="F618" s="190"/>
      <c r="G618" s="191"/>
    </row>
    <row r="619" spans="1:7" ht="29.25" customHeight="1" x14ac:dyDescent="0.2">
      <c r="A619" s="36"/>
      <c r="B619" s="58" t="s">
        <v>233</v>
      </c>
      <c r="C619" s="190"/>
      <c r="D619" s="190"/>
      <c r="E619" s="190"/>
      <c r="F619" s="190"/>
      <c r="G619" s="191"/>
    </row>
    <row r="620" spans="1:7" x14ac:dyDescent="0.2">
      <c r="A620" s="278" t="s">
        <v>147</v>
      </c>
      <c r="B620" s="279" t="s">
        <v>237</v>
      </c>
      <c r="C620" s="280"/>
      <c r="D620" s="281"/>
      <c r="E620" s="258"/>
      <c r="F620" s="161"/>
      <c r="G620" s="162"/>
    </row>
    <row r="621" spans="1:7" x14ac:dyDescent="0.2">
      <c r="A621" s="282" t="s">
        <v>160</v>
      </c>
      <c r="B621" s="285" t="s">
        <v>194</v>
      </c>
      <c r="C621" s="286"/>
      <c r="D621" s="283"/>
      <c r="E621" s="209"/>
      <c r="F621" s="210"/>
      <c r="G621" s="211">
        <f t="shared" ref="G621:G622" si="89">(D621*E621)+(D621*F621)</f>
        <v>0</v>
      </c>
    </row>
    <row r="622" spans="1:7" ht="48" x14ac:dyDescent="0.2">
      <c r="A622" s="284" t="s">
        <v>160</v>
      </c>
      <c r="B622" s="183" t="s">
        <v>365</v>
      </c>
      <c r="C622" s="77" t="s">
        <v>15</v>
      </c>
      <c r="D622" s="184">
        <v>1</v>
      </c>
      <c r="E622" s="40"/>
      <c r="F622" s="55"/>
      <c r="G622" s="56">
        <f t="shared" si="89"/>
        <v>0</v>
      </c>
    </row>
    <row r="623" spans="1:7" ht="48" x14ac:dyDescent="0.2">
      <c r="A623" s="284" t="s">
        <v>161</v>
      </c>
      <c r="B623" s="183" t="s">
        <v>414</v>
      </c>
      <c r="C623" s="77" t="s">
        <v>15</v>
      </c>
      <c r="D623" s="184">
        <v>1</v>
      </c>
      <c r="E623" s="40"/>
      <c r="F623" s="55"/>
      <c r="G623" s="56">
        <f t="shared" ref="G623" si="90">(D623*E623)+(D623*F623)</f>
        <v>0</v>
      </c>
    </row>
    <row r="624" spans="1:7" x14ac:dyDescent="0.2">
      <c r="A624" s="284"/>
      <c r="B624" s="183"/>
      <c r="C624" s="77"/>
      <c r="D624" s="184"/>
      <c r="E624" s="40"/>
      <c r="F624" s="55"/>
      <c r="G624" s="56"/>
    </row>
    <row r="625" spans="1:7" x14ac:dyDescent="0.2">
      <c r="A625" s="284"/>
      <c r="B625" s="183"/>
      <c r="C625" s="77"/>
      <c r="D625" s="184"/>
      <c r="E625" s="40"/>
      <c r="F625" s="55"/>
      <c r="G625" s="56"/>
    </row>
    <row r="626" spans="1:7" x14ac:dyDescent="0.2">
      <c r="A626" s="284"/>
      <c r="B626" s="183"/>
      <c r="C626" s="77"/>
      <c r="D626" s="184"/>
      <c r="E626" s="40"/>
      <c r="F626" s="55"/>
      <c r="G626" s="56"/>
    </row>
    <row r="627" spans="1:7" x14ac:dyDescent="0.2">
      <c r="A627" s="284"/>
      <c r="B627" s="183"/>
      <c r="C627" s="77"/>
      <c r="D627" s="184"/>
      <c r="E627" s="40"/>
      <c r="F627" s="55"/>
      <c r="G627" s="56"/>
    </row>
    <row r="628" spans="1:7" x14ac:dyDescent="0.2">
      <c r="A628" s="284"/>
      <c r="B628" s="183"/>
      <c r="C628" s="77"/>
      <c r="D628" s="184"/>
      <c r="E628" s="40"/>
      <c r="F628" s="55"/>
      <c r="G628" s="56"/>
    </row>
    <row r="629" spans="1:7" x14ac:dyDescent="0.2">
      <c r="A629" s="284"/>
      <c r="B629" s="183"/>
      <c r="C629" s="77"/>
      <c r="D629" s="184"/>
      <c r="E629" s="40"/>
      <c r="F629" s="55"/>
      <c r="G629" s="56"/>
    </row>
    <row r="630" spans="1:7" x14ac:dyDescent="0.2">
      <c r="A630" s="284"/>
      <c r="B630" s="183"/>
      <c r="C630" s="77"/>
      <c r="D630" s="184"/>
      <c r="E630" s="40"/>
      <c r="F630" s="55"/>
      <c r="G630" s="56"/>
    </row>
    <row r="631" spans="1:7" x14ac:dyDescent="0.2">
      <c r="A631" s="284"/>
      <c r="B631" s="183"/>
      <c r="C631" s="77"/>
      <c r="D631" s="184"/>
      <c r="E631" s="40"/>
      <c r="F631" s="55"/>
      <c r="G631" s="56"/>
    </row>
    <row r="632" spans="1:7" x14ac:dyDescent="0.2">
      <c r="A632" s="284"/>
      <c r="B632" s="183"/>
      <c r="C632" s="77"/>
      <c r="D632" s="184"/>
      <c r="E632" s="40"/>
      <c r="F632" s="55"/>
      <c r="G632" s="56"/>
    </row>
    <row r="633" spans="1:7" x14ac:dyDescent="0.2">
      <c r="A633" s="284"/>
      <c r="B633" s="183"/>
      <c r="C633" s="77"/>
      <c r="D633" s="184"/>
      <c r="E633" s="40"/>
      <c r="F633" s="55"/>
      <c r="G633" s="56"/>
    </row>
    <row r="634" spans="1:7" x14ac:dyDescent="0.2">
      <c r="A634" s="284"/>
      <c r="B634" s="183"/>
      <c r="C634" s="77"/>
      <c r="D634" s="184"/>
      <c r="E634" s="40"/>
      <c r="F634" s="55"/>
      <c r="G634" s="56"/>
    </row>
    <row r="635" spans="1:7" x14ac:dyDescent="0.2">
      <c r="A635" s="284"/>
      <c r="B635" s="183"/>
      <c r="C635" s="77"/>
      <c r="D635" s="184"/>
      <c r="E635" s="40"/>
      <c r="F635" s="55"/>
      <c r="G635" s="56"/>
    </row>
    <row r="636" spans="1:7" x14ac:dyDescent="0.2">
      <c r="A636" s="284"/>
      <c r="B636" s="183"/>
      <c r="C636" s="77"/>
      <c r="D636" s="184"/>
      <c r="E636" s="40"/>
      <c r="F636" s="55"/>
      <c r="G636" s="56"/>
    </row>
    <row r="637" spans="1:7" x14ac:dyDescent="0.2">
      <c r="A637" s="284"/>
      <c r="B637" s="183"/>
      <c r="C637" s="77"/>
      <c r="D637" s="184"/>
      <c r="E637" s="40"/>
      <c r="F637" s="55"/>
      <c r="G637" s="56"/>
    </row>
    <row r="638" spans="1:7" x14ac:dyDescent="0.2">
      <c r="A638" s="284"/>
      <c r="B638" s="183"/>
      <c r="C638" s="77"/>
      <c r="D638" s="184"/>
      <c r="E638" s="40"/>
      <c r="F638" s="55"/>
      <c r="G638" s="56"/>
    </row>
    <row r="639" spans="1:7" x14ac:dyDescent="0.2">
      <c r="A639" s="284"/>
      <c r="B639" s="183"/>
      <c r="C639" s="77"/>
      <c r="D639" s="184"/>
      <c r="E639" s="40"/>
      <c r="F639" s="55"/>
      <c r="G639" s="56"/>
    </row>
    <row r="640" spans="1:7" x14ac:dyDescent="0.2">
      <c r="A640" s="284"/>
      <c r="B640" s="183"/>
      <c r="C640" s="77"/>
      <c r="D640" s="184"/>
      <c r="E640" s="40"/>
      <c r="F640" s="55"/>
      <c r="G640" s="56"/>
    </row>
    <row r="641" spans="1:7" x14ac:dyDescent="0.2">
      <c r="A641" s="284"/>
      <c r="B641" s="183"/>
      <c r="C641" s="77"/>
      <c r="D641" s="184"/>
      <c r="E641" s="40"/>
      <c r="F641" s="55"/>
      <c r="G641" s="56"/>
    </row>
    <row r="642" spans="1:7" x14ac:dyDescent="0.2">
      <c r="A642" s="284"/>
      <c r="B642" s="183"/>
      <c r="C642" s="77"/>
      <c r="D642" s="184"/>
      <c r="E642" s="40"/>
      <c r="F642" s="55"/>
      <c r="G642" s="56"/>
    </row>
    <row r="643" spans="1:7" x14ac:dyDescent="0.2">
      <c r="A643" s="284"/>
      <c r="B643" s="183"/>
      <c r="C643" s="77"/>
      <c r="D643" s="184"/>
      <c r="E643" s="40"/>
      <c r="F643" s="55"/>
      <c r="G643" s="56"/>
    </row>
    <row r="644" spans="1:7" x14ac:dyDescent="0.2">
      <c r="A644" s="284"/>
      <c r="B644" s="183"/>
      <c r="C644" s="77"/>
      <c r="D644" s="184"/>
      <c r="E644" s="40"/>
      <c r="F644" s="55"/>
      <c r="G644" s="56"/>
    </row>
    <row r="645" spans="1:7" x14ac:dyDescent="0.2">
      <c r="A645" s="284"/>
      <c r="B645" s="183"/>
      <c r="C645" s="77"/>
      <c r="D645" s="184"/>
      <c r="E645" s="40"/>
      <c r="F645" s="55"/>
      <c r="G645" s="56"/>
    </row>
    <row r="646" spans="1:7" x14ac:dyDescent="0.2">
      <c r="A646" s="284"/>
      <c r="B646" s="183"/>
      <c r="C646" s="77"/>
      <c r="D646" s="184"/>
      <c r="E646" s="40"/>
      <c r="F646" s="55"/>
      <c r="G646" s="56"/>
    </row>
    <row r="647" spans="1:7" x14ac:dyDescent="0.2">
      <c r="A647" s="284"/>
      <c r="B647" s="183"/>
      <c r="C647" s="77"/>
      <c r="D647" s="184"/>
      <c r="E647" s="40"/>
      <c r="F647" s="55"/>
      <c r="G647" s="56"/>
    </row>
    <row r="648" spans="1:7" x14ac:dyDescent="0.2">
      <c r="A648" s="284"/>
      <c r="B648" s="183"/>
      <c r="C648" s="77"/>
      <c r="D648" s="184"/>
      <c r="E648" s="40"/>
      <c r="F648" s="55"/>
      <c r="G648" s="56"/>
    </row>
    <row r="649" spans="1:7" x14ac:dyDescent="0.2">
      <c r="A649" s="284"/>
      <c r="B649" s="183"/>
      <c r="C649" s="77"/>
      <c r="D649" s="184"/>
      <c r="E649" s="40"/>
      <c r="F649" s="55"/>
      <c r="G649" s="56"/>
    </row>
    <row r="650" spans="1:7" x14ac:dyDescent="0.2">
      <c r="A650" s="284"/>
      <c r="B650" s="183"/>
      <c r="C650" s="77"/>
      <c r="D650" s="184"/>
      <c r="E650" s="40"/>
      <c r="F650" s="55"/>
      <c r="G650" s="56"/>
    </row>
    <row r="651" spans="1:7" ht="12.75" thickBot="1" x14ac:dyDescent="0.25">
      <c r="A651" s="284"/>
      <c r="B651" s="183"/>
      <c r="C651" s="77"/>
      <c r="D651" s="184"/>
      <c r="E651" s="40"/>
      <c r="F651" s="55"/>
      <c r="G651" s="56"/>
    </row>
    <row r="652" spans="1:7" x14ac:dyDescent="0.2">
      <c r="A652" s="64"/>
      <c r="B652" s="65" t="s">
        <v>187</v>
      </c>
      <c r="C652" s="109"/>
      <c r="D652" s="67"/>
      <c r="E652" s="68"/>
      <c r="F652" s="186"/>
      <c r="G652" s="187"/>
    </row>
    <row r="653" spans="1:7" ht="12.75" thickBot="1" x14ac:dyDescent="0.25">
      <c r="A653" s="69"/>
      <c r="B653" s="70" t="s">
        <v>126</v>
      </c>
      <c r="C653" s="110"/>
      <c r="D653" s="72"/>
      <c r="E653" s="73"/>
      <c r="F653" s="151"/>
      <c r="G653" s="188">
        <f>SUM(G620:G652)</f>
        <v>0</v>
      </c>
    </row>
    <row r="654" spans="1:7" x14ac:dyDescent="0.2">
      <c r="A654" s="137"/>
      <c r="B654" s="195"/>
      <c r="C654" s="139"/>
      <c r="D654" s="87"/>
      <c r="E654" s="88"/>
      <c r="F654" s="55"/>
      <c r="G654" s="56"/>
    </row>
    <row r="655" spans="1:7" x14ac:dyDescent="0.2">
      <c r="A655" s="36"/>
      <c r="B655" s="37" t="s">
        <v>127</v>
      </c>
      <c r="C655" s="52"/>
      <c r="D655" s="53"/>
      <c r="E655" s="40"/>
      <c r="F655" s="55"/>
      <c r="G655" s="56"/>
    </row>
    <row r="656" spans="1:7" x14ac:dyDescent="0.2">
      <c r="A656" s="36"/>
      <c r="B656" s="45" t="s">
        <v>99</v>
      </c>
      <c r="C656" s="52"/>
      <c r="D656" s="53"/>
      <c r="E656" s="40"/>
      <c r="F656" s="55"/>
      <c r="G656" s="56"/>
    </row>
    <row r="657" spans="1:7" x14ac:dyDescent="0.2">
      <c r="A657" s="287" t="s">
        <v>129</v>
      </c>
      <c r="B657" s="94" t="s">
        <v>41</v>
      </c>
      <c r="C657" s="52"/>
      <c r="D657" s="53"/>
      <c r="E657" s="288"/>
      <c r="F657" s="55"/>
      <c r="G657" s="56"/>
    </row>
    <row r="658" spans="1:7" ht="27.75" customHeight="1" x14ac:dyDescent="0.2">
      <c r="A658" s="289"/>
      <c r="B658" s="384" t="s">
        <v>243</v>
      </c>
      <c r="C658" s="385"/>
      <c r="D658" s="385"/>
      <c r="E658" s="385"/>
      <c r="F658" s="386"/>
      <c r="G658" s="191"/>
    </row>
    <row r="659" spans="1:7" ht="29.25" customHeight="1" x14ac:dyDescent="0.2">
      <c r="A659" s="289"/>
      <c r="B659" s="387" t="s">
        <v>244</v>
      </c>
      <c r="C659" s="388"/>
      <c r="D659" s="388"/>
      <c r="E659" s="388"/>
      <c r="F659" s="389"/>
      <c r="G659" s="191"/>
    </row>
    <row r="660" spans="1:7" ht="41.25" customHeight="1" x14ac:dyDescent="0.2">
      <c r="A660" s="289"/>
      <c r="B660" s="387" t="s">
        <v>242</v>
      </c>
      <c r="C660" s="388"/>
      <c r="D660" s="388"/>
      <c r="E660" s="388"/>
      <c r="F660" s="389"/>
      <c r="G660" s="191"/>
    </row>
    <row r="661" spans="1:7" ht="26.25" customHeight="1" x14ac:dyDescent="0.2">
      <c r="A661" s="290"/>
      <c r="B661" s="387" t="s">
        <v>302</v>
      </c>
      <c r="C661" s="388"/>
      <c r="D661" s="388"/>
      <c r="E661" s="388"/>
      <c r="F661" s="389"/>
      <c r="G661" s="191"/>
    </row>
    <row r="662" spans="1:7" ht="15.75" customHeight="1" x14ac:dyDescent="0.2">
      <c r="A662" s="289"/>
      <c r="B662" s="375" t="s">
        <v>301</v>
      </c>
      <c r="C662" s="376"/>
      <c r="D662" s="376"/>
      <c r="E662" s="376"/>
      <c r="F662" s="377"/>
      <c r="G662" s="191"/>
    </row>
    <row r="663" spans="1:7" ht="17.25" customHeight="1" x14ac:dyDescent="0.2">
      <c r="A663" s="289"/>
      <c r="B663" s="378" t="s">
        <v>299</v>
      </c>
      <c r="C663" s="379"/>
      <c r="D663" s="379"/>
      <c r="E663" s="379"/>
      <c r="F663" s="380"/>
      <c r="G663" s="191"/>
    </row>
    <row r="664" spans="1:7" ht="12" customHeight="1" x14ac:dyDescent="0.2">
      <c r="A664" s="289"/>
      <c r="B664" s="291"/>
      <c r="C664" s="190"/>
      <c r="D664" s="190"/>
      <c r="E664" s="190"/>
      <c r="F664" s="190"/>
      <c r="G664" s="191"/>
    </row>
    <row r="665" spans="1:7" x14ac:dyDescent="0.2">
      <c r="A665" s="292" t="s">
        <v>147</v>
      </c>
      <c r="B665" s="293" t="s">
        <v>67</v>
      </c>
      <c r="C665" s="294"/>
      <c r="D665" s="295"/>
      <c r="E665" s="296"/>
      <c r="F665" s="297"/>
      <c r="G665" s="298"/>
    </row>
    <row r="666" spans="1:7" x14ac:dyDescent="0.2">
      <c r="A666" s="328" t="s">
        <v>160</v>
      </c>
      <c r="B666" s="329" t="s">
        <v>200</v>
      </c>
      <c r="C666" s="318"/>
      <c r="D666" s="319"/>
      <c r="E666" s="203"/>
      <c r="F666" s="176"/>
      <c r="G666" s="212">
        <f>D666*E666</f>
        <v>0</v>
      </c>
    </row>
    <row r="667" spans="1:7" ht="25.5" customHeight="1" x14ac:dyDescent="0.2">
      <c r="A667" s="330" t="s">
        <v>178</v>
      </c>
      <c r="B667" s="331" t="s">
        <v>341</v>
      </c>
      <c r="C667" s="332" t="s">
        <v>8</v>
      </c>
      <c r="D667" s="333">
        <v>1</v>
      </c>
      <c r="E667" s="299"/>
      <c r="F667" s="299"/>
      <c r="G667" s="300">
        <f>+D667*E667+D667*F667</f>
        <v>0</v>
      </c>
    </row>
    <row r="668" spans="1:7" ht="36.75" customHeight="1" x14ac:dyDescent="0.2">
      <c r="A668" s="330" t="s">
        <v>179</v>
      </c>
      <c r="B668" s="334" t="s">
        <v>322</v>
      </c>
      <c r="C668" s="332" t="s">
        <v>8</v>
      </c>
      <c r="D668" s="333">
        <v>2</v>
      </c>
      <c r="E668" s="203"/>
      <c r="F668" s="299"/>
      <c r="G668" s="300">
        <f t="shared" ref="G668:G683" si="91">+D668*E668+D668*F668</f>
        <v>0</v>
      </c>
    </row>
    <row r="669" spans="1:7" x14ac:dyDescent="0.2">
      <c r="A669" s="328" t="s">
        <v>161</v>
      </c>
      <c r="B669" s="329" t="s">
        <v>201</v>
      </c>
      <c r="C669" s="335"/>
      <c r="D669" s="336"/>
      <c r="E669" s="203"/>
      <c r="F669" s="299"/>
      <c r="G669" s="301">
        <f t="shared" si="91"/>
        <v>0</v>
      </c>
    </row>
    <row r="670" spans="1:7" x14ac:dyDescent="0.2">
      <c r="A670" s="330"/>
      <c r="B670" s="334" t="s">
        <v>415</v>
      </c>
      <c r="C670" s="318" t="s">
        <v>8</v>
      </c>
      <c r="D670" s="319">
        <v>23</v>
      </c>
      <c r="E670" s="203"/>
      <c r="F670" s="299"/>
      <c r="G670" s="301">
        <f t="shared" ref="G670" si="92">+D670*E670+D670*F670</f>
        <v>0</v>
      </c>
    </row>
    <row r="671" spans="1:7" x14ac:dyDescent="0.2">
      <c r="A671" s="330"/>
      <c r="B671" s="334" t="s">
        <v>416</v>
      </c>
      <c r="C671" s="318" t="s">
        <v>8</v>
      </c>
      <c r="D671" s="319">
        <v>14</v>
      </c>
      <c r="E671" s="203"/>
      <c r="F671" s="299"/>
      <c r="G671" s="301">
        <f t="shared" ref="G671" si="93">+D671*E671+D671*F671</f>
        <v>0</v>
      </c>
    </row>
    <row r="672" spans="1:7" x14ac:dyDescent="0.2">
      <c r="A672" s="330"/>
      <c r="B672" s="334" t="s">
        <v>417</v>
      </c>
      <c r="C672" s="332" t="s">
        <v>8</v>
      </c>
      <c r="D672" s="333">
        <v>15</v>
      </c>
      <c r="E672" s="203"/>
      <c r="F672" s="299"/>
      <c r="G672" s="301">
        <f t="shared" ref="G672:G673" si="94">+D672*E672+D672*F672</f>
        <v>0</v>
      </c>
    </row>
    <row r="673" spans="1:9" x14ac:dyDescent="0.2">
      <c r="A673" s="330"/>
      <c r="B673" s="334" t="s">
        <v>418</v>
      </c>
      <c r="C673" s="318" t="s">
        <v>8</v>
      </c>
      <c r="D673" s="319">
        <v>0</v>
      </c>
      <c r="E673" s="203"/>
      <c r="F673" s="299"/>
      <c r="G673" s="301">
        <f t="shared" si="94"/>
        <v>0</v>
      </c>
    </row>
    <row r="674" spans="1:9" x14ac:dyDescent="0.2">
      <c r="A674" s="330"/>
      <c r="B674" s="334" t="s">
        <v>419</v>
      </c>
      <c r="C674" s="318" t="s">
        <v>8</v>
      </c>
      <c r="D674" s="319">
        <v>2</v>
      </c>
      <c r="E674" s="203"/>
      <c r="F674" s="299"/>
      <c r="G674" s="301">
        <f t="shared" ref="G674:G676" si="95">+D674*E674+D674*F674</f>
        <v>0</v>
      </c>
      <c r="I674" s="28">
        <v>2</v>
      </c>
    </row>
    <row r="675" spans="1:9" x14ac:dyDescent="0.2">
      <c r="A675" s="330"/>
      <c r="B675" s="334" t="s">
        <v>420</v>
      </c>
      <c r="C675" s="318" t="s">
        <v>8</v>
      </c>
      <c r="D675" s="319">
        <v>27</v>
      </c>
      <c r="E675" s="203"/>
      <c r="F675" s="299"/>
      <c r="G675" s="301">
        <f t="shared" si="95"/>
        <v>0</v>
      </c>
      <c r="I675" s="28">
        <v>9</v>
      </c>
    </row>
    <row r="676" spans="1:9" x14ac:dyDescent="0.2">
      <c r="A676" s="330"/>
      <c r="B676" s="334" t="s">
        <v>421</v>
      </c>
      <c r="C676" s="318" t="s">
        <v>8</v>
      </c>
      <c r="D676" s="319">
        <v>2</v>
      </c>
      <c r="E676" s="203"/>
      <c r="F676" s="299"/>
      <c r="G676" s="301">
        <f t="shared" si="95"/>
        <v>0</v>
      </c>
      <c r="I676" s="28">
        <v>2</v>
      </c>
    </row>
    <row r="677" spans="1:9" x14ac:dyDescent="0.2">
      <c r="A677" s="330"/>
      <c r="B677" s="334" t="s">
        <v>422</v>
      </c>
      <c r="C677" s="318" t="s">
        <v>8</v>
      </c>
      <c r="D677" s="319">
        <v>45</v>
      </c>
      <c r="E677" s="203"/>
      <c r="F677" s="299"/>
      <c r="G677" s="301">
        <f t="shared" si="91"/>
        <v>0</v>
      </c>
    </row>
    <row r="678" spans="1:9" x14ac:dyDescent="0.2">
      <c r="A678" s="330"/>
      <c r="B678" s="334" t="s">
        <v>423</v>
      </c>
      <c r="C678" s="318" t="s">
        <v>8</v>
      </c>
      <c r="D678" s="319">
        <v>2</v>
      </c>
      <c r="E678" s="203"/>
      <c r="F678" s="299"/>
      <c r="G678" s="301">
        <f t="shared" si="91"/>
        <v>0</v>
      </c>
    </row>
    <row r="679" spans="1:9" x14ac:dyDescent="0.2">
      <c r="A679" s="330"/>
      <c r="B679" s="334" t="s">
        <v>342</v>
      </c>
      <c r="C679" s="318" t="s">
        <v>8</v>
      </c>
      <c r="D679" s="319">
        <v>4</v>
      </c>
      <c r="E679" s="203"/>
      <c r="F679" s="299"/>
      <c r="G679" s="301">
        <f t="shared" ref="G679" si="96">+D679*E679+D679*F679</f>
        <v>0</v>
      </c>
    </row>
    <row r="680" spans="1:9" x14ac:dyDescent="0.2">
      <c r="A680" s="328" t="s">
        <v>171</v>
      </c>
      <c r="B680" s="329" t="s">
        <v>202</v>
      </c>
      <c r="C680" s="335"/>
      <c r="D680" s="336"/>
      <c r="E680" s="203"/>
      <c r="F680" s="299"/>
      <c r="G680" s="301">
        <f t="shared" si="91"/>
        <v>0</v>
      </c>
    </row>
    <row r="681" spans="1:9" ht="13.5" x14ac:dyDescent="0.2">
      <c r="A681" s="36" t="s">
        <v>160</v>
      </c>
      <c r="B681" s="238" t="s">
        <v>317</v>
      </c>
      <c r="C681" s="268" t="s">
        <v>203</v>
      </c>
      <c r="D681" s="53">
        <f>D670+D671</f>
        <v>37</v>
      </c>
      <c r="E681" s="40"/>
      <c r="F681" s="299"/>
      <c r="G681" s="301">
        <f t="shared" si="91"/>
        <v>0</v>
      </c>
    </row>
    <row r="682" spans="1:9" ht="13.5" x14ac:dyDescent="0.2">
      <c r="A682" s="36" t="s">
        <v>161</v>
      </c>
      <c r="B682" s="238" t="s">
        <v>318</v>
      </c>
      <c r="C682" s="268" t="s">
        <v>203</v>
      </c>
      <c r="D682" s="53">
        <f>D672</f>
        <v>15</v>
      </c>
      <c r="E682" s="40"/>
      <c r="F682" s="299"/>
      <c r="G682" s="301">
        <f t="shared" si="91"/>
        <v>0</v>
      </c>
    </row>
    <row r="683" spans="1:9" ht="13.5" x14ac:dyDescent="0.2">
      <c r="A683" s="36" t="s">
        <v>171</v>
      </c>
      <c r="B683" s="238" t="s">
        <v>319</v>
      </c>
      <c r="C683" s="268" t="s">
        <v>113</v>
      </c>
      <c r="D683" s="53">
        <v>2</v>
      </c>
      <c r="E683" s="40"/>
      <c r="F683" s="299"/>
      <c r="G683" s="301">
        <f t="shared" si="91"/>
        <v>0</v>
      </c>
    </row>
    <row r="684" spans="1:9" x14ac:dyDescent="0.2">
      <c r="A684" s="36" t="s">
        <v>172</v>
      </c>
      <c r="B684" s="238" t="s">
        <v>247</v>
      </c>
      <c r="C684" s="268" t="s">
        <v>113</v>
      </c>
      <c r="D684" s="53">
        <f>D678</f>
        <v>2</v>
      </c>
      <c r="E684" s="40"/>
      <c r="F684" s="299"/>
      <c r="G684" s="301">
        <f t="shared" ref="G684" si="97">+D684*E684+D684*F684</f>
        <v>0</v>
      </c>
    </row>
    <row r="685" spans="1:9" x14ac:dyDescent="0.2">
      <c r="A685" s="36" t="s">
        <v>173</v>
      </c>
      <c r="B685" s="238" t="s">
        <v>277</v>
      </c>
      <c r="C685" s="268" t="s">
        <v>113</v>
      </c>
      <c r="D685" s="53">
        <f>D679</f>
        <v>4</v>
      </c>
      <c r="E685" s="40"/>
      <c r="F685" s="299"/>
      <c r="G685" s="301">
        <f t="shared" ref="G685" si="98">+D685*E685+D685*F685</f>
        <v>0</v>
      </c>
    </row>
    <row r="686" spans="1:9" ht="12.75" thickBot="1" x14ac:dyDescent="0.25">
      <c r="A686" s="69"/>
      <c r="B686" s="354"/>
      <c r="C686" s="355"/>
      <c r="D686" s="72"/>
      <c r="E686" s="73"/>
      <c r="F686" s="302"/>
      <c r="G686" s="303"/>
    </row>
    <row r="687" spans="1:9" x14ac:dyDescent="0.2">
      <c r="A687" s="292" t="s">
        <v>148</v>
      </c>
      <c r="B687" s="293" t="s">
        <v>69</v>
      </c>
      <c r="C687" s="294"/>
      <c r="D687" s="295"/>
      <c r="E687" s="296"/>
      <c r="F687" s="297"/>
      <c r="G687" s="298"/>
    </row>
    <row r="688" spans="1:9" x14ac:dyDescent="0.2">
      <c r="A688" s="328" t="s">
        <v>160</v>
      </c>
      <c r="B688" s="329" t="s">
        <v>200</v>
      </c>
      <c r="C688" s="318"/>
      <c r="D688" s="319"/>
      <c r="E688" s="203"/>
      <c r="F688" s="176"/>
      <c r="G688" s="212">
        <f>D688*E688</f>
        <v>0</v>
      </c>
    </row>
    <row r="689" spans="1:7" ht="37.5" customHeight="1" x14ac:dyDescent="0.2">
      <c r="A689" s="330" t="s">
        <v>178</v>
      </c>
      <c r="B689" s="337" t="s">
        <v>323</v>
      </c>
      <c r="C689" s="332" t="s">
        <v>8</v>
      </c>
      <c r="D689" s="333">
        <v>2</v>
      </c>
      <c r="E689" s="203"/>
      <c r="F689" s="299"/>
      <c r="G689" s="300">
        <f t="shared" ref="G689:G703" si="99">+D689*E689+D689*F689</f>
        <v>0</v>
      </c>
    </row>
    <row r="690" spans="1:7" x14ac:dyDescent="0.2">
      <c r="A690" s="328" t="s">
        <v>161</v>
      </c>
      <c r="B690" s="329" t="s">
        <v>201</v>
      </c>
      <c r="C690" s="335"/>
      <c r="D690" s="336"/>
      <c r="E690" s="203"/>
      <c r="F690" s="299"/>
      <c r="G690" s="301">
        <f t="shared" si="99"/>
        <v>0</v>
      </c>
    </row>
    <row r="691" spans="1:7" x14ac:dyDescent="0.2">
      <c r="A691" s="330"/>
      <c r="B691" s="334" t="s">
        <v>424</v>
      </c>
      <c r="C691" s="318" t="s">
        <v>8</v>
      </c>
      <c r="D691" s="319">
        <v>2</v>
      </c>
      <c r="E691" s="203"/>
      <c r="F691" s="299"/>
      <c r="G691" s="301">
        <f t="shared" si="99"/>
        <v>0</v>
      </c>
    </row>
    <row r="692" spans="1:7" x14ac:dyDescent="0.2">
      <c r="A692" s="330"/>
      <c r="B692" s="334" t="s">
        <v>276</v>
      </c>
      <c r="C692" s="318" t="s">
        <v>8</v>
      </c>
      <c r="D692" s="319">
        <v>54</v>
      </c>
      <c r="E692" s="203"/>
      <c r="F692" s="299"/>
      <c r="G692" s="301">
        <f t="shared" ref="G692" si="100">+D692*E692+D692*F692</f>
        <v>0</v>
      </c>
    </row>
    <row r="693" spans="1:7" x14ac:dyDescent="0.2">
      <c r="A693" s="330"/>
      <c r="B693" s="334" t="s">
        <v>416</v>
      </c>
      <c r="C693" s="318" t="s">
        <v>8</v>
      </c>
      <c r="D693" s="319">
        <v>12</v>
      </c>
      <c r="E693" s="203"/>
      <c r="F693" s="299"/>
      <c r="G693" s="301">
        <f t="shared" si="99"/>
        <v>0</v>
      </c>
    </row>
    <row r="694" spans="1:7" x14ac:dyDescent="0.2">
      <c r="A694" s="330"/>
      <c r="B694" s="334" t="s">
        <v>425</v>
      </c>
      <c r="C694" s="318" t="s">
        <v>8</v>
      </c>
      <c r="D694" s="319">
        <v>45</v>
      </c>
      <c r="E694" s="203"/>
      <c r="F694" s="299"/>
      <c r="G694" s="301">
        <f t="shared" ref="G694" si="101">+D694*E694+D694*F694</f>
        <v>0</v>
      </c>
    </row>
    <row r="695" spans="1:7" x14ac:dyDescent="0.2">
      <c r="A695" s="330"/>
      <c r="B695" s="334" t="s">
        <v>417</v>
      </c>
      <c r="C695" s="332" t="s">
        <v>8</v>
      </c>
      <c r="D695" s="333">
        <v>11</v>
      </c>
      <c r="E695" s="203"/>
      <c r="F695" s="299"/>
      <c r="G695" s="301">
        <f t="shared" si="99"/>
        <v>0</v>
      </c>
    </row>
    <row r="696" spans="1:7" x14ac:dyDescent="0.2">
      <c r="A696" s="330"/>
      <c r="B696" s="334" t="s">
        <v>418</v>
      </c>
      <c r="C696" s="318" t="s">
        <v>8</v>
      </c>
      <c r="D696" s="319">
        <v>2</v>
      </c>
      <c r="E696" s="203"/>
      <c r="F696" s="299"/>
      <c r="G696" s="301">
        <f t="shared" si="99"/>
        <v>0</v>
      </c>
    </row>
    <row r="697" spans="1:7" x14ac:dyDescent="0.2">
      <c r="A697" s="330"/>
      <c r="B697" s="334" t="s">
        <v>419</v>
      </c>
      <c r="C697" s="318" t="s">
        <v>8</v>
      </c>
      <c r="D697" s="319">
        <v>3</v>
      </c>
      <c r="E697" s="203"/>
      <c r="F697" s="299"/>
      <c r="G697" s="301">
        <f t="shared" si="99"/>
        <v>0</v>
      </c>
    </row>
    <row r="698" spans="1:7" x14ac:dyDescent="0.2">
      <c r="A698" s="330"/>
      <c r="B698" s="334" t="s">
        <v>420</v>
      </c>
      <c r="C698" s="318" t="s">
        <v>8</v>
      </c>
      <c r="D698" s="319">
        <v>2</v>
      </c>
      <c r="E698" s="203"/>
      <c r="F698" s="299"/>
      <c r="G698" s="301">
        <f t="shared" si="99"/>
        <v>0</v>
      </c>
    </row>
    <row r="699" spans="1:7" ht="12.75" thickBot="1" x14ac:dyDescent="0.25">
      <c r="A699" s="359"/>
      <c r="B699" s="360" t="s">
        <v>421</v>
      </c>
      <c r="C699" s="326" t="s">
        <v>8</v>
      </c>
      <c r="D699" s="327">
        <v>2</v>
      </c>
      <c r="E699" s="361"/>
      <c r="F699" s="302"/>
      <c r="G699" s="303">
        <f t="shared" si="99"/>
        <v>0</v>
      </c>
    </row>
    <row r="700" spans="1:7" x14ac:dyDescent="0.2">
      <c r="A700" s="328" t="s">
        <v>171</v>
      </c>
      <c r="B700" s="329" t="s">
        <v>202</v>
      </c>
      <c r="C700" s="335"/>
      <c r="D700" s="336"/>
      <c r="E700" s="203"/>
      <c r="F700" s="299"/>
      <c r="G700" s="301">
        <f t="shared" si="99"/>
        <v>0</v>
      </c>
    </row>
    <row r="701" spans="1:7" ht="13.5" x14ac:dyDescent="0.2">
      <c r="A701" s="36" t="s">
        <v>160</v>
      </c>
      <c r="B701" s="238" t="s">
        <v>317</v>
      </c>
      <c r="C701" s="268" t="s">
        <v>203</v>
      </c>
      <c r="D701" s="53">
        <f>D691+D693+D692+D694</f>
        <v>113</v>
      </c>
      <c r="E701" s="40"/>
      <c r="F701" s="299"/>
      <c r="G701" s="301">
        <f t="shared" si="99"/>
        <v>0</v>
      </c>
    </row>
    <row r="702" spans="1:7" ht="13.5" x14ac:dyDescent="0.2">
      <c r="A702" s="36" t="s">
        <v>161</v>
      </c>
      <c r="B702" s="238" t="s">
        <v>318</v>
      </c>
      <c r="C702" s="268" t="s">
        <v>203</v>
      </c>
      <c r="D702" s="53">
        <f>D695</f>
        <v>11</v>
      </c>
      <c r="E702" s="40"/>
      <c r="F702" s="299"/>
      <c r="G702" s="301">
        <f t="shared" si="99"/>
        <v>0</v>
      </c>
    </row>
    <row r="703" spans="1:7" ht="13.5" x14ac:dyDescent="0.2">
      <c r="A703" s="36" t="s">
        <v>171</v>
      </c>
      <c r="B703" s="238" t="s">
        <v>319</v>
      </c>
      <c r="C703" s="268" t="s">
        <v>113</v>
      </c>
      <c r="D703" s="53">
        <v>1</v>
      </c>
      <c r="E703" s="40"/>
      <c r="F703" s="299"/>
      <c r="G703" s="301">
        <f t="shared" si="99"/>
        <v>0</v>
      </c>
    </row>
    <row r="704" spans="1:7" x14ac:dyDescent="0.2">
      <c r="A704" s="330"/>
      <c r="B704" s="334"/>
      <c r="C704" s="318"/>
      <c r="D704" s="319"/>
      <c r="E704" s="203"/>
      <c r="F704" s="299"/>
      <c r="G704" s="301"/>
    </row>
    <row r="705" spans="1:10" ht="12" customHeight="1" x14ac:dyDescent="0.2">
      <c r="A705" s="36"/>
      <c r="B705" s="238"/>
      <c r="C705" s="268"/>
      <c r="D705" s="53"/>
      <c r="E705" s="40"/>
      <c r="F705" s="299"/>
      <c r="G705" s="301"/>
    </row>
    <row r="706" spans="1:10" ht="12" customHeight="1" x14ac:dyDescent="0.2">
      <c r="A706" s="330"/>
      <c r="B706" s="334"/>
      <c r="C706" s="332"/>
      <c r="D706" s="333"/>
      <c r="E706" s="203"/>
      <c r="F706" s="299"/>
      <c r="G706" s="301"/>
    </row>
    <row r="707" spans="1:10" ht="12" customHeight="1" thickBot="1" x14ac:dyDescent="0.25">
      <c r="A707" s="330"/>
      <c r="B707" s="334"/>
      <c r="C707" s="332"/>
      <c r="D707" s="333"/>
      <c r="E707" s="203"/>
      <c r="F707" s="299"/>
      <c r="G707" s="301"/>
    </row>
    <row r="708" spans="1:10" ht="12" customHeight="1" x14ac:dyDescent="0.2">
      <c r="A708" s="64"/>
      <c r="B708" s="65" t="s">
        <v>177</v>
      </c>
      <c r="C708" s="304"/>
      <c r="D708" s="305"/>
      <c r="E708" s="306"/>
      <c r="F708" s="186"/>
      <c r="G708" s="187"/>
    </row>
    <row r="709" spans="1:10" ht="12" customHeight="1" thickBot="1" x14ac:dyDescent="0.25">
      <c r="A709" s="69"/>
      <c r="B709" s="70" t="s">
        <v>130</v>
      </c>
      <c r="C709" s="149"/>
      <c r="D709" s="150"/>
      <c r="E709" s="178"/>
      <c r="F709" s="151"/>
      <c r="G709" s="188">
        <f>SUM(G667:G708)</f>
        <v>0</v>
      </c>
      <c r="I709" s="164"/>
    </row>
    <row r="710" spans="1:10" x14ac:dyDescent="0.2">
      <c r="A710" s="307"/>
      <c r="B710" s="76"/>
      <c r="C710" s="139"/>
      <c r="D710" s="55"/>
      <c r="E710" s="88"/>
      <c r="F710" s="55"/>
      <c r="G710" s="146"/>
    </row>
    <row r="711" spans="1:10" x14ac:dyDescent="0.2">
      <c r="A711" s="307"/>
      <c r="B711" s="37" t="s">
        <v>290</v>
      </c>
      <c r="C711" s="139"/>
      <c r="D711" s="55"/>
      <c r="E711" s="88"/>
      <c r="F711" s="55"/>
      <c r="G711" s="146"/>
    </row>
    <row r="712" spans="1:10" x14ac:dyDescent="0.2">
      <c r="A712" s="307"/>
      <c r="B712" s="45" t="s">
        <v>343</v>
      </c>
      <c r="C712" s="139"/>
      <c r="D712" s="55"/>
      <c r="E712" s="88"/>
      <c r="F712" s="55"/>
      <c r="G712" s="146"/>
    </row>
    <row r="713" spans="1:10" x14ac:dyDescent="0.2">
      <c r="A713" s="307">
        <v>13.1</v>
      </c>
      <c r="B713" s="348" t="s">
        <v>330</v>
      </c>
      <c r="C713" s="139"/>
      <c r="D713" s="55"/>
      <c r="E713" s="88"/>
      <c r="F713" s="55"/>
      <c r="G713" s="146"/>
    </row>
    <row r="714" spans="1:10" x14ac:dyDescent="0.2">
      <c r="A714" s="307" t="s">
        <v>331</v>
      </c>
      <c r="B714" s="350" t="s">
        <v>332</v>
      </c>
      <c r="C714" s="139"/>
      <c r="D714" s="55"/>
      <c r="E714" s="88"/>
      <c r="F714" s="55"/>
      <c r="G714" s="146"/>
    </row>
    <row r="715" spans="1:10" ht="13.5" x14ac:dyDescent="0.2">
      <c r="A715" s="307"/>
      <c r="B715" s="349" t="s">
        <v>344</v>
      </c>
      <c r="C715" s="139" t="s">
        <v>307</v>
      </c>
      <c r="D715" s="55">
        <v>42.4</v>
      </c>
      <c r="E715" s="88"/>
      <c r="F715" s="55"/>
      <c r="G715" s="301">
        <f t="shared" ref="G715:G716" si="102">+D715*E715+D715*F715</f>
        <v>0</v>
      </c>
      <c r="I715" s="28">
        <f>15.6+6.4+6.25</f>
        <v>28.25</v>
      </c>
      <c r="J715" s="28">
        <f>I715*1.5</f>
        <v>42.375</v>
      </c>
    </row>
    <row r="716" spans="1:10" x14ac:dyDescent="0.2">
      <c r="A716" s="307">
        <v>13.2</v>
      </c>
      <c r="B716" s="348" t="s">
        <v>106</v>
      </c>
      <c r="C716" s="139"/>
      <c r="D716" s="55"/>
      <c r="E716" s="88"/>
      <c r="F716" s="55"/>
      <c r="G716" s="301">
        <f t="shared" si="102"/>
        <v>0</v>
      </c>
    </row>
    <row r="717" spans="1:10" ht="13.5" x14ac:dyDescent="0.2">
      <c r="A717" s="307"/>
      <c r="B717" s="349" t="s">
        <v>345</v>
      </c>
      <c r="C717" s="139" t="s">
        <v>307</v>
      </c>
      <c r="D717" s="55">
        <f>D715*2</f>
        <v>84.8</v>
      </c>
      <c r="E717" s="88"/>
      <c r="F717" s="55"/>
      <c r="G717" s="301">
        <f t="shared" ref="G717" si="103">+D717*E717+D717*F717</f>
        <v>0</v>
      </c>
      <c r="I717" s="28">
        <f>40.225*1.5*2</f>
        <v>120.67500000000001</v>
      </c>
    </row>
    <row r="718" spans="1:10" ht="13.5" x14ac:dyDescent="0.2">
      <c r="A718" s="307">
        <v>13.3</v>
      </c>
      <c r="B718" s="349" t="s">
        <v>426</v>
      </c>
      <c r="C718" s="139" t="s">
        <v>304</v>
      </c>
      <c r="D718" s="55">
        <v>118.5</v>
      </c>
      <c r="E718" s="88"/>
      <c r="F718" s="55"/>
      <c r="G718" s="301">
        <f t="shared" ref="G718" si="104">+D718*E718+D718*F718</f>
        <v>0</v>
      </c>
      <c r="I718" s="135">
        <f>D361</f>
        <v>84.65</v>
      </c>
      <c r="J718" s="164">
        <f>I718*1.4</f>
        <v>118.51</v>
      </c>
    </row>
    <row r="719" spans="1:10" x14ac:dyDescent="0.2">
      <c r="A719" s="307">
        <v>13.4</v>
      </c>
      <c r="B719" s="348" t="s">
        <v>427</v>
      </c>
      <c r="C719" s="139"/>
      <c r="D719" s="55"/>
      <c r="E719" s="88"/>
      <c r="F719" s="55"/>
      <c r="G719" s="56"/>
    </row>
    <row r="720" spans="1:10" ht="13.5" x14ac:dyDescent="0.2">
      <c r="A720" s="307"/>
      <c r="B720" s="349" t="s">
        <v>428</v>
      </c>
      <c r="C720" s="139" t="s">
        <v>304</v>
      </c>
      <c r="D720" s="55">
        <v>8.5</v>
      </c>
      <c r="E720" s="88"/>
      <c r="F720" s="55"/>
      <c r="G720" s="301">
        <f t="shared" ref="G720" si="105">+D720*E720+D720*F720</f>
        <v>0</v>
      </c>
      <c r="I720" s="135">
        <f>84.65*0.1</f>
        <v>8.4650000000000016</v>
      </c>
    </row>
    <row r="721" spans="1:7" x14ac:dyDescent="0.2">
      <c r="A721" s="307"/>
      <c r="B721" s="349" t="s">
        <v>436</v>
      </c>
      <c r="C721" s="139" t="s">
        <v>113</v>
      </c>
      <c r="D721" s="55">
        <v>4</v>
      </c>
      <c r="E721" s="88"/>
      <c r="F721" s="55"/>
      <c r="G721" s="56"/>
    </row>
    <row r="722" spans="1:7" x14ac:dyDescent="0.2">
      <c r="A722" s="307">
        <v>13.5</v>
      </c>
      <c r="B722" s="348" t="s">
        <v>94</v>
      </c>
      <c r="C722" s="139"/>
      <c r="D722" s="55"/>
      <c r="E722" s="88"/>
      <c r="F722" s="55"/>
      <c r="G722" s="301">
        <f t="shared" ref="G722" si="106">+D722*E722+D722*F722</f>
        <v>0</v>
      </c>
    </row>
    <row r="723" spans="1:7" ht="13.5" x14ac:dyDescent="0.2">
      <c r="A723" s="59"/>
      <c r="B723" s="349" t="s">
        <v>333</v>
      </c>
      <c r="C723" s="139" t="s">
        <v>307</v>
      </c>
      <c r="D723" s="55">
        <f>D717</f>
        <v>84.8</v>
      </c>
      <c r="E723" s="88"/>
      <c r="F723" s="55"/>
      <c r="G723" s="301">
        <f t="shared" ref="G723:G724" si="107">+D723*E723+D723*F723</f>
        <v>0</v>
      </c>
    </row>
    <row r="724" spans="1:7" x14ac:dyDescent="0.2">
      <c r="A724" s="307">
        <v>13.6</v>
      </c>
      <c r="B724" s="348" t="s">
        <v>346</v>
      </c>
      <c r="C724" s="139"/>
      <c r="D724" s="55"/>
      <c r="E724" s="88"/>
      <c r="F724" s="55"/>
      <c r="G724" s="301">
        <f t="shared" si="107"/>
        <v>0</v>
      </c>
    </row>
    <row r="725" spans="1:7" ht="13.5" x14ac:dyDescent="0.2">
      <c r="A725" s="59"/>
      <c r="B725" s="349" t="s">
        <v>429</v>
      </c>
      <c r="C725" s="139" t="s">
        <v>307</v>
      </c>
      <c r="D725" s="55">
        <v>84.8</v>
      </c>
      <c r="E725" s="88"/>
      <c r="F725" s="55"/>
      <c r="G725" s="301">
        <f t="shared" ref="G725" si="108">+D725*E725+D725*F725</f>
        <v>0</v>
      </c>
    </row>
    <row r="726" spans="1:7" x14ac:dyDescent="0.2">
      <c r="A726" s="330"/>
      <c r="B726" s="334" t="s">
        <v>430</v>
      </c>
      <c r="C726" s="139" t="s">
        <v>113</v>
      </c>
      <c r="D726" s="55">
        <v>3</v>
      </c>
      <c r="E726" s="88"/>
      <c r="F726" s="55"/>
      <c r="G726" s="301">
        <f t="shared" ref="G726" si="109">+D726*E726+D726*F726</f>
        <v>0</v>
      </c>
    </row>
    <row r="727" spans="1:7" x14ac:dyDescent="0.2">
      <c r="A727" s="330"/>
      <c r="B727" s="334"/>
      <c r="C727" s="318"/>
      <c r="D727" s="319"/>
      <c r="E727" s="203"/>
      <c r="F727" s="299"/>
      <c r="G727" s="301"/>
    </row>
    <row r="728" spans="1:7" x14ac:dyDescent="0.2">
      <c r="A728" s="330"/>
      <c r="B728" s="334"/>
      <c r="C728" s="318"/>
      <c r="D728" s="319"/>
      <c r="E728" s="203"/>
      <c r="F728" s="299"/>
      <c r="G728" s="301"/>
    </row>
    <row r="729" spans="1:7" x14ac:dyDescent="0.2">
      <c r="A729" s="330"/>
      <c r="B729" s="334"/>
      <c r="C729" s="318"/>
      <c r="D729" s="319"/>
      <c r="E729" s="203"/>
      <c r="F729" s="299"/>
      <c r="G729" s="301"/>
    </row>
    <row r="730" spans="1:7" x14ac:dyDescent="0.2">
      <c r="A730" s="307"/>
      <c r="B730" s="349"/>
      <c r="C730" s="139"/>
      <c r="D730" s="55"/>
      <c r="E730" s="88"/>
      <c r="F730" s="55"/>
      <c r="G730" s="56"/>
    </row>
    <row r="731" spans="1:7" x14ac:dyDescent="0.2">
      <c r="A731" s="328"/>
      <c r="B731" s="329"/>
      <c r="C731" s="335"/>
      <c r="D731" s="336"/>
      <c r="E731" s="203"/>
      <c r="F731" s="299"/>
      <c r="G731" s="301"/>
    </row>
    <row r="732" spans="1:7" x14ac:dyDescent="0.2">
      <c r="A732" s="328"/>
      <c r="B732" s="329"/>
      <c r="C732" s="335"/>
      <c r="D732" s="336"/>
      <c r="E732" s="203"/>
      <c r="F732" s="299"/>
      <c r="G732" s="301"/>
    </row>
    <row r="733" spans="1:7" x14ac:dyDescent="0.2">
      <c r="A733" s="328"/>
      <c r="B733" s="329"/>
      <c r="C733" s="335"/>
      <c r="D733" s="336"/>
      <c r="E733" s="203"/>
      <c r="F733" s="299"/>
      <c r="G733" s="301"/>
    </row>
    <row r="734" spans="1:7" x14ac:dyDescent="0.2">
      <c r="A734" s="328"/>
      <c r="B734" s="329"/>
      <c r="C734" s="335"/>
      <c r="D734" s="336"/>
      <c r="E734" s="203"/>
      <c r="F734" s="299"/>
      <c r="G734" s="301"/>
    </row>
    <row r="735" spans="1:7" x14ac:dyDescent="0.2">
      <c r="A735" s="328"/>
      <c r="B735" s="329"/>
      <c r="C735" s="335"/>
      <c r="D735" s="336"/>
      <c r="E735" s="203"/>
      <c r="F735" s="299"/>
      <c r="G735" s="301"/>
    </row>
    <row r="736" spans="1:7" x14ac:dyDescent="0.2">
      <c r="A736" s="328"/>
      <c r="B736" s="329"/>
      <c r="C736" s="335"/>
      <c r="D736" s="336"/>
      <c r="E736" s="203"/>
      <c r="F736" s="299"/>
      <c r="G736" s="301"/>
    </row>
    <row r="737" spans="1:7" x14ac:dyDescent="0.2">
      <c r="A737" s="328"/>
      <c r="B737" s="329"/>
      <c r="C737" s="335"/>
      <c r="D737" s="336"/>
      <c r="E737" s="203"/>
      <c r="F737" s="299"/>
      <c r="G737" s="301"/>
    </row>
    <row r="738" spans="1:7" x14ac:dyDescent="0.2">
      <c r="A738" s="328"/>
      <c r="B738" s="329"/>
      <c r="C738" s="335"/>
      <c r="D738" s="336"/>
      <c r="E738" s="203"/>
      <c r="F738" s="299"/>
      <c r="G738" s="301"/>
    </row>
    <row r="739" spans="1:7" x14ac:dyDescent="0.2">
      <c r="A739" s="328"/>
      <c r="B739" s="329"/>
      <c r="C739" s="335"/>
      <c r="D739" s="336"/>
      <c r="E739" s="203"/>
      <c r="F739" s="299"/>
      <c r="G739" s="301"/>
    </row>
    <row r="740" spans="1:7" x14ac:dyDescent="0.2">
      <c r="A740" s="328"/>
      <c r="B740" s="329"/>
      <c r="C740" s="335"/>
      <c r="D740" s="336"/>
      <c r="E740" s="203"/>
      <c r="F740" s="299"/>
      <c r="G740" s="301"/>
    </row>
    <row r="741" spans="1:7" x14ac:dyDescent="0.2">
      <c r="A741" s="328"/>
      <c r="B741" s="329"/>
      <c r="C741" s="335"/>
      <c r="D741" s="336"/>
      <c r="E741" s="203"/>
      <c r="F741" s="299"/>
      <c r="G741" s="301"/>
    </row>
    <row r="742" spans="1:7" x14ac:dyDescent="0.2">
      <c r="A742" s="328"/>
      <c r="B742" s="329"/>
      <c r="C742" s="335"/>
      <c r="D742" s="336"/>
      <c r="E742" s="203"/>
      <c r="F742" s="299"/>
      <c r="G742" s="301"/>
    </row>
    <row r="743" spans="1:7" x14ac:dyDescent="0.2">
      <c r="A743" s="328"/>
      <c r="B743" s="329"/>
      <c r="C743" s="335"/>
      <c r="D743" s="336"/>
      <c r="E743" s="203"/>
      <c r="F743" s="299"/>
      <c r="G743" s="301"/>
    </row>
    <row r="744" spans="1:7" x14ac:dyDescent="0.2">
      <c r="A744" s="328"/>
      <c r="B744" s="329"/>
      <c r="C744" s="335"/>
      <c r="D744" s="336"/>
      <c r="E744" s="203"/>
      <c r="F744" s="299"/>
      <c r="G744" s="301"/>
    </row>
    <row r="745" spans="1:7" x14ac:dyDescent="0.2">
      <c r="A745" s="328"/>
      <c r="B745" s="329"/>
      <c r="C745" s="335"/>
      <c r="D745" s="336"/>
      <c r="E745" s="203"/>
      <c r="F745" s="299"/>
      <c r="G745" s="301"/>
    </row>
    <row r="746" spans="1:7" x14ac:dyDescent="0.2">
      <c r="A746" s="328"/>
      <c r="B746" s="329"/>
      <c r="C746" s="335"/>
      <c r="D746" s="336"/>
      <c r="E746" s="203"/>
      <c r="F746" s="299"/>
      <c r="G746" s="301"/>
    </row>
    <row r="747" spans="1:7" x14ac:dyDescent="0.2">
      <c r="A747" s="328"/>
      <c r="B747" s="329"/>
      <c r="C747" s="335"/>
      <c r="D747" s="336"/>
      <c r="E747" s="203"/>
      <c r="F747" s="299"/>
      <c r="G747" s="301"/>
    </row>
    <row r="748" spans="1:7" x14ac:dyDescent="0.2">
      <c r="A748" s="328"/>
      <c r="B748" s="329"/>
      <c r="C748" s="335"/>
      <c r="D748" s="336"/>
      <c r="E748" s="203"/>
      <c r="F748" s="299"/>
      <c r="G748" s="301"/>
    </row>
    <row r="749" spans="1:7" x14ac:dyDescent="0.2">
      <c r="A749" s="328"/>
      <c r="B749" s="329"/>
      <c r="C749" s="335"/>
      <c r="D749" s="336"/>
      <c r="E749" s="203"/>
      <c r="F749" s="299"/>
      <c r="G749" s="301"/>
    </row>
    <row r="750" spans="1:7" x14ac:dyDescent="0.2">
      <c r="A750" s="328"/>
      <c r="B750" s="329"/>
      <c r="C750" s="335"/>
      <c r="D750" s="336"/>
      <c r="E750" s="203"/>
      <c r="F750" s="299"/>
      <c r="G750" s="301"/>
    </row>
    <row r="751" spans="1:7" x14ac:dyDescent="0.2">
      <c r="A751" s="328"/>
      <c r="B751" s="329"/>
      <c r="C751" s="335"/>
      <c r="D751" s="336"/>
      <c r="E751" s="203"/>
      <c r="F751" s="299"/>
      <c r="G751" s="301"/>
    </row>
    <row r="752" spans="1:7" x14ac:dyDescent="0.2">
      <c r="A752" s="328"/>
      <c r="B752" s="329"/>
      <c r="C752" s="335"/>
      <c r="D752" s="336"/>
      <c r="E752" s="203"/>
      <c r="F752" s="299"/>
      <c r="G752" s="301"/>
    </row>
    <row r="753" spans="1:7" x14ac:dyDescent="0.2">
      <c r="A753" s="328"/>
      <c r="B753" s="329"/>
      <c r="C753" s="335"/>
      <c r="D753" s="336"/>
      <c r="E753" s="203"/>
      <c r="F753" s="299"/>
      <c r="G753" s="301"/>
    </row>
    <row r="754" spans="1:7" x14ac:dyDescent="0.2">
      <c r="A754" s="328"/>
      <c r="B754" s="329"/>
      <c r="C754" s="335"/>
      <c r="D754" s="336"/>
      <c r="E754" s="203"/>
      <c r="F754" s="299"/>
      <c r="G754" s="301"/>
    </row>
    <row r="755" spans="1:7" ht="12.75" thickBot="1" x14ac:dyDescent="0.25">
      <c r="A755" s="328"/>
      <c r="B755" s="329"/>
      <c r="C755" s="335"/>
      <c r="D755" s="336"/>
      <c r="E755" s="203"/>
      <c r="F755" s="299"/>
      <c r="G755" s="301"/>
    </row>
    <row r="756" spans="1:7" x14ac:dyDescent="0.2">
      <c r="A756" s="311"/>
      <c r="B756" s="65" t="s">
        <v>431</v>
      </c>
      <c r="C756" s="304"/>
      <c r="D756" s="186"/>
      <c r="E756" s="306"/>
      <c r="F756" s="186"/>
      <c r="G756" s="187"/>
    </row>
    <row r="757" spans="1:7" ht="12.75" thickBot="1" x14ac:dyDescent="0.25">
      <c r="A757" s="312"/>
      <c r="B757" s="70" t="s">
        <v>292</v>
      </c>
      <c r="C757" s="149"/>
      <c r="D757" s="151"/>
      <c r="E757" s="178"/>
      <c r="F757" s="151"/>
      <c r="G757" s="188">
        <f>SUM(G713:G756)</f>
        <v>0</v>
      </c>
    </row>
    <row r="758" spans="1:7" x14ac:dyDescent="0.2">
      <c r="A758" s="307"/>
      <c r="B758" s="349"/>
      <c r="C758" s="139"/>
      <c r="D758" s="55"/>
      <c r="E758" s="88"/>
      <c r="F758" s="55"/>
      <c r="G758" s="56"/>
    </row>
    <row r="759" spans="1:7" x14ac:dyDescent="0.2">
      <c r="A759" s="307"/>
      <c r="B759" s="37" t="s">
        <v>293</v>
      </c>
      <c r="C759" s="52"/>
      <c r="D759" s="184"/>
      <c r="E759" s="40"/>
      <c r="F759" s="55"/>
      <c r="G759" s="56"/>
    </row>
    <row r="760" spans="1:7" x14ac:dyDescent="0.2">
      <c r="A760" s="307"/>
      <c r="B760" s="45" t="s">
        <v>287</v>
      </c>
      <c r="C760" s="52"/>
      <c r="D760" s="184"/>
      <c r="E760" s="40"/>
      <c r="F760" s="55"/>
      <c r="G760" s="56"/>
    </row>
    <row r="761" spans="1:7" x14ac:dyDescent="0.2">
      <c r="A761" s="308">
        <v>14.1</v>
      </c>
      <c r="B761" s="255" t="s">
        <v>41</v>
      </c>
      <c r="C761" s="309"/>
      <c r="D761" s="310"/>
      <c r="E761" s="118"/>
      <c r="F761" s="222"/>
      <c r="G761" s="223"/>
    </row>
    <row r="762" spans="1:7" x14ac:dyDescent="0.2">
      <c r="A762" s="313"/>
      <c r="B762" s="255" t="s">
        <v>289</v>
      </c>
      <c r="C762" s="309"/>
      <c r="D762" s="310"/>
      <c r="E762" s="118"/>
      <c r="F762" s="222"/>
      <c r="G762" s="223"/>
    </row>
    <row r="763" spans="1:7" x14ac:dyDescent="0.2">
      <c r="A763" s="307"/>
      <c r="B763" s="238"/>
      <c r="C763" s="268"/>
      <c r="D763" s="184"/>
      <c r="E763" s="40"/>
      <c r="F763" s="55"/>
      <c r="G763" s="56"/>
    </row>
    <row r="764" spans="1:7" x14ac:dyDescent="0.2">
      <c r="A764" s="307"/>
      <c r="B764" s="238"/>
      <c r="C764" s="268"/>
      <c r="D764" s="184"/>
      <c r="E764" s="40"/>
      <c r="F764" s="55"/>
      <c r="G764" s="56"/>
    </row>
    <row r="765" spans="1:7" x14ac:dyDescent="0.2">
      <c r="A765" s="307"/>
      <c r="B765" s="238"/>
      <c r="C765" s="268"/>
      <c r="D765" s="184"/>
      <c r="E765" s="40"/>
      <c r="F765" s="55"/>
      <c r="G765" s="56"/>
    </row>
    <row r="766" spans="1:7" x14ac:dyDescent="0.2">
      <c r="A766" s="307"/>
      <c r="B766" s="238"/>
      <c r="C766" s="268"/>
      <c r="D766" s="184"/>
      <c r="E766" s="40"/>
      <c r="F766" s="55"/>
      <c r="G766" s="56"/>
    </row>
    <row r="767" spans="1:7" x14ac:dyDescent="0.2">
      <c r="A767" s="307"/>
      <c r="B767" s="238"/>
      <c r="C767" s="268"/>
      <c r="D767" s="184"/>
      <c r="E767" s="40"/>
      <c r="F767" s="55"/>
      <c r="G767" s="56"/>
    </row>
    <row r="768" spans="1:7" x14ac:dyDescent="0.2">
      <c r="A768" s="307"/>
      <c r="B768" s="238"/>
      <c r="C768" s="268"/>
      <c r="D768" s="184"/>
      <c r="E768" s="40"/>
      <c r="F768" s="55"/>
      <c r="G768" s="56"/>
    </row>
    <row r="769" spans="1:7" x14ac:dyDescent="0.2">
      <c r="A769" s="307"/>
      <c r="B769" s="238"/>
      <c r="C769" s="268"/>
      <c r="D769" s="184"/>
      <c r="E769" s="40"/>
      <c r="F769" s="55"/>
      <c r="G769" s="56"/>
    </row>
    <row r="770" spans="1:7" x14ac:dyDescent="0.2">
      <c r="A770" s="307"/>
      <c r="B770" s="238"/>
      <c r="C770" s="268"/>
      <c r="D770" s="184"/>
      <c r="E770" s="40"/>
      <c r="F770" s="55"/>
      <c r="G770" s="56"/>
    </row>
    <row r="771" spans="1:7" x14ac:dyDescent="0.2">
      <c r="A771" s="307"/>
      <c r="B771" s="238"/>
      <c r="C771" s="268"/>
      <c r="D771" s="184"/>
      <c r="E771" s="40"/>
      <c r="F771" s="55"/>
      <c r="G771" s="56"/>
    </row>
    <row r="772" spans="1:7" x14ac:dyDescent="0.2">
      <c r="A772" s="307"/>
      <c r="B772" s="238"/>
      <c r="C772" s="268"/>
      <c r="D772" s="184"/>
      <c r="E772" s="40"/>
      <c r="F772" s="55"/>
      <c r="G772" s="56"/>
    </row>
    <row r="773" spans="1:7" x14ac:dyDescent="0.2">
      <c r="A773" s="307"/>
      <c r="B773" s="238"/>
      <c r="C773" s="268"/>
      <c r="D773" s="184"/>
      <c r="E773" s="40"/>
      <c r="F773" s="55"/>
      <c r="G773" s="56"/>
    </row>
    <row r="774" spans="1:7" x14ac:dyDescent="0.2">
      <c r="A774" s="307"/>
      <c r="B774" s="238"/>
      <c r="C774" s="268"/>
      <c r="D774" s="184"/>
      <c r="E774" s="40"/>
      <c r="F774" s="55"/>
      <c r="G774" s="56"/>
    </row>
    <row r="775" spans="1:7" x14ac:dyDescent="0.2">
      <c r="A775" s="307"/>
      <c r="B775" s="238"/>
      <c r="C775" s="268"/>
      <c r="D775" s="184"/>
      <c r="E775" s="40"/>
      <c r="F775" s="55"/>
      <c r="G775" s="56"/>
    </row>
    <row r="776" spans="1:7" x14ac:dyDescent="0.2">
      <c r="A776" s="307"/>
      <c r="B776" s="238"/>
      <c r="C776" s="268"/>
      <c r="D776" s="184"/>
      <c r="E776" s="40"/>
      <c r="F776" s="55"/>
      <c r="G776" s="56"/>
    </row>
    <row r="777" spans="1:7" x14ac:dyDescent="0.2">
      <c r="A777" s="307"/>
      <c r="B777" s="238"/>
      <c r="C777" s="268"/>
      <c r="D777" s="184"/>
      <c r="E777" s="40"/>
      <c r="F777" s="55"/>
      <c r="G777" s="56"/>
    </row>
    <row r="778" spans="1:7" x14ac:dyDescent="0.2">
      <c r="A778" s="307"/>
      <c r="B778" s="238"/>
      <c r="C778" s="268"/>
      <c r="D778" s="184"/>
      <c r="E778" s="40"/>
      <c r="F778" s="55"/>
      <c r="G778" s="56"/>
    </row>
    <row r="779" spans="1:7" x14ac:dyDescent="0.2">
      <c r="A779" s="307"/>
      <c r="B779" s="238"/>
      <c r="C779" s="268"/>
      <c r="D779" s="184"/>
      <c r="E779" s="40"/>
      <c r="F779" s="55"/>
      <c r="G779" s="56"/>
    </row>
    <row r="780" spans="1:7" x14ac:dyDescent="0.2">
      <c r="A780" s="307"/>
      <c r="B780" s="238"/>
      <c r="C780" s="268"/>
      <c r="D780" s="184"/>
      <c r="E780" s="40"/>
      <c r="F780" s="55"/>
      <c r="G780" s="56"/>
    </row>
    <row r="781" spans="1:7" x14ac:dyDescent="0.2">
      <c r="A781" s="307"/>
      <c r="B781" s="238"/>
      <c r="C781" s="268"/>
      <c r="D781" s="184"/>
      <c r="E781" s="40"/>
      <c r="F781" s="55"/>
      <c r="G781" s="56"/>
    </row>
    <row r="782" spans="1:7" x14ac:dyDescent="0.2">
      <c r="A782" s="307"/>
      <c r="B782" s="238"/>
      <c r="C782" s="268"/>
      <c r="D782" s="184"/>
      <c r="E782" s="40"/>
      <c r="F782" s="55"/>
      <c r="G782" s="56"/>
    </row>
    <row r="783" spans="1:7" x14ac:dyDescent="0.2">
      <c r="A783" s="307"/>
      <c r="B783" s="238"/>
      <c r="C783" s="268"/>
      <c r="D783" s="184"/>
      <c r="E783" s="40"/>
      <c r="F783" s="55"/>
      <c r="G783" s="56"/>
    </row>
    <row r="784" spans="1:7" x14ac:dyDescent="0.2">
      <c r="A784" s="307"/>
      <c r="B784" s="238"/>
      <c r="C784" s="268"/>
      <c r="D784" s="184"/>
      <c r="E784" s="40"/>
      <c r="F784" s="55"/>
      <c r="G784" s="56"/>
    </row>
    <row r="785" spans="1:7" x14ac:dyDescent="0.2">
      <c r="A785" s="307"/>
      <c r="B785" s="238"/>
      <c r="C785" s="268"/>
      <c r="D785" s="184"/>
      <c r="E785" s="40"/>
      <c r="F785" s="55"/>
      <c r="G785" s="56"/>
    </row>
    <row r="786" spans="1:7" x14ac:dyDescent="0.2">
      <c r="A786" s="307"/>
      <c r="B786" s="238"/>
      <c r="C786" s="268"/>
      <c r="D786" s="184"/>
      <c r="E786" s="40"/>
      <c r="F786" s="55"/>
      <c r="G786" s="56"/>
    </row>
    <row r="787" spans="1:7" x14ac:dyDescent="0.2">
      <c r="A787" s="307"/>
      <c r="B787" s="238"/>
      <c r="C787" s="268"/>
      <c r="D787" s="184"/>
      <c r="E787" s="40"/>
      <c r="F787" s="55"/>
      <c r="G787" s="56"/>
    </row>
    <row r="788" spans="1:7" x14ac:dyDescent="0.2">
      <c r="A788" s="307"/>
      <c r="B788" s="238"/>
      <c r="C788" s="268"/>
      <c r="D788" s="184"/>
      <c r="E788" s="40"/>
      <c r="F788" s="55"/>
      <c r="G788" s="56"/>
    </row>
    <row r="789" spans="1:7" x14ac:dyDescent="0.2">
      <c r="A789" s="307"/>
      <c r="B789" s="238"/>
      <c r="C789" s="268"/>
      <c r="D789" s="184"/>
      <c r="E789" s="40"/>
      <c r="F789" s="55"/>
      <c r="G789" s="56"/>
    </row>
    <row r="790" spans="1:7" x14ac:dyDescent="0.2">
      <c r="A790" s="307"/>
      <c r="B790" s="238"/>
      <c r="C790" s="268"/>
      <c r="D790" s="184"/>
      <c r="E790" s="40"/>
      <c r="F790" s="55"/>
      <c r="G790" s="56"/>
    </row>
    <row r="791" spans="1:7" x14ac:dyDescent="0.2">
      <c r="A791" s="307"/>
      <c r="B791" s="238"/>
      <c r="C791" s="268"/>
      <c r="D791" s="184"/>
      <c r="E791" s="40"/>
      <c r="F791" s="55"/>
      <c r="G791" s="56"/>
    </row>
    <row r="792" spans="1:7" x14ac:dyDescent="0.2">
      <c r="A792" s="307"/>
      <c r="B792" s="238"/>
      <c r="C792" s="268"/>
      <c r="D792" s="184"/>
      <c r="E792" s="40"/>
      <c r="F792" s="55"/>
      <c r="G792" s="56"/>
    </row>
    <row r="793" spans="1:7" x14ac:dyDescent="0.2">
      <c r="A793" s="307"/>
      <c r="B793" s="238"/>
      <c r="C793" s="268"/>
      <c r="D793" s="184"/>
      <c r="E793" s="40"/>
      <c r="F793" s="55"/>
      <c r="G793" s="56"/>
    </row>
    <row r="794" spans="1:7" x14ac:dyDescent="0.2">
      <c r="A794" s="307"/>
      <c r="B794" s="238"/>
      <c r="C794" s="268"/>
      <c r="D794" s="184"/>
      <c r="E794" s="40"/>
      <c r="F794" s="55"/>
      <c r="G794" s="56"/>
    </row>
    <row r="795" spans="1:7" x14ac:dyDescent="0.2">
      <c r="A795" s="307"/>
      <c r="B795" s="238"/>
      <c r="C795" s="268"/>
      <c r="D795" s="184"/>
      <c r="E795" s="40"/>
      <c r="F795" s="55"/>
      <c r="G795" s="56"/>
    </row>
    <row r="796" spans="1:7" x14ac:dyDescent="0.2">
      <c r="A796" s="307"/>
      <c r="B796" s="238"/>
      <c r="C796" s="268"/>
      <c r="D796" s="184"/>
      <c r="E796" s="40"/>
      <c r="F796" s="55"/>
      <c r="G796" s="56"/>
    </row>
    <row r="797" spans="1:7" x14ac:dyDescent="0.2">
      <c r="A797" s="307"/>
      <c r="B797" s="238"/>
      <c r="C797" s="268"/>
      <c r="D797" s="184"/>
      <c r="E797" s="40"/>
      <c r="F797" s="55"/>
      <c r="G797" s="56"/>
    </row>
    <row r="798" spans="1:7" x14ac:dyDescent="0.2">
      <c r="A798" s="307"/>
      <c r="B798" s="238"/>
      <c r="C798" s="268"/>
      <c r="D798" s="184"/>
      <c r="E798" s="40"/>
      <c r="F798" s="55"/>
      <c r="G798" s="56"/>
    </row>
    <row r="799" spans="1:7" x14ac:dyDescent="0.2">
      <c r="A799" s="307"/>
      <c r="B799" s="238"/>
      <c r="C799" s="268"/>
      <c r="D799" s="184"/>
      <c r="E799" s="40"/>
      <c r="F799" s="55"/>
      <c r="G799" s="56"/>
    </row>
    <row r="800" spans="1:7" x14ac:dyDescent="0.2">
      <c r="A800" s="307"/>
      <c r="B800" s="238"/>
      <c r="C800" s="268"/>
      <c r="D800" s="184"/>
      <c r="E800" s="40"/>
      <c r="F800" s="55"/>
      <c r="G800" s="56"/>
    </row>
    <row r="801" spans="1:7" x14ac:dyDescent="0.2">
      <c r="A801" s="307"/>
      <c r="B801" s="238"/>
      <c r="C801" s="268"/>
      <c r="D801" s="184"/>
      <c r="E801" s="40"/>
      <c r="F801" s="55"/>
      <c r="G801" s="56"/>
    </row>
    <row r="802" spans="1:7" x14ac:dyDescent="0.2">
      <c r="A802" s="307"/>
      <c r="B802" s="238"/>
      <c r="C802" s="268"/>
      <c r="D802" s="184"/>
      <c r="E802" s="40"/>
      <c r="F802" s="55"/>
      <c r="G802" s="56"/>
    </row>
    <row r="803" spans="1:7" x14ac:dyDescent="0.2">
      <c r="A803" s="307"/>
      <c r="B803" s="238"/>
      <c r="C803" s="268"/>
      <c r="D803" s="184"/>
      <c r="E803" s="40"/>
      <c r="F803" s="55"/>
      <c r="G803" s="56"/>
    </row>
    <row r="804" spans="1:7" x14ac:dyDescent="0.2">
      <c r="A804" s="307"/>
      <c r="B804" s="238"/>
      <c r="C804" s="268"/>
      <c r="D804" s="184"/>
      <c r="E804" s="40"/>
      <c r="F804" s="55"/>
      <c r="G804" s="56"/>
    </row>
    <row r="805" spans="1:7" x14ac:dyDescent="0.2">
      <c r="A805" s="307"/>
      <c r="B805" s="238"/>
      <c r="C805" s="268"/>
      <c r="D805" s="184"/>
      <c r="E805" s="40"/>
      <c r="F805" s="55"/>
      <c r="G805" s="56"/>
    </row>
    <row r="806" spans="1:7" x14ac:dyDescent="0.2">
      <c r="A806" s="307"/>
      <c r="B806" s="238"/>
      <c r="C806" s="268"/>
      <c r="D806" s="184"/>
      <c r="E806" s="40"/>
      <c r="F806" s="55"/>
      <c r="G806" s="56"/>
    </row>
    <row r="807" spans="1:7" x14ac:dyDescent="0.2">
      <c r="A807" s="307"/>
      <c r="B807" s="238"/>
      <c r="C807" s="268"/>
      <c r="D807" s="184"/>
      <c r="E807" s="40"/>
      <c r="F807" s="55"/>
      <c r="G807" s="56"/>
    </row>
    <row r="808" spans="1:7" x14ac:dyDescent="0.2">
      <c r="A808" s="307"/>
      <c r="B808" s="238"/>
      <c r="C808" s="268"/>
      <c r="D808" s="184"/>
      <c r="E808" s="40"/>
      <c r="F808" s="55"/>
      <c r="G808" s="56"/>
    </row>
    <row r="809" spans="1:7" x14ac:dyDescent="0.2">
      <c r="A809" s="307"/>
      <c r="B809" s="238"/>
      <c r="C809" s="268"/>
      <c r="D809" s="184"/>
      <c r="E809" s="40"/>
      <c r="F809" s="55"/>
      <c r="G809" s="56"/>
    </row>
    <row r="810" spans="1:7" x14ac:dyDescent="0.2">
      <c r="A810" s="307"/>
      <c r="B810" s="238"/>
      <c r="C810" s="268"/>
      <c r="D810" s="184"/>
      <c r="E810" s="40"/>
      <c r="F810" s="55"/>
      <c r="G810" s="56"/>
    </row>
    <row r="811" spans="1:7" x14ac:dyDescent="0.2">
      <c r="A811" s="307"/>
      <c r="B811" s="238"/>
      <c r="C811" s="268"/>
      <c r="D811" s="184"/>
      <c r="E811" s="40"/>
      <c r="F811" s="55"/>
      <c r="G811" s="56"/>
    </row>
    <row r="812" spans="1:7" x14ac:dyDescent="0.2">
      <c r="A812" s="307"/>
      <c r="B812" s="238"/>
      <c r="C812" s="268"/>
      <c r="D812" s="184"/>
      <c r="E812" s="40"/>
      <c r="F812" s="55"/>
      <c r="G812" s="56"/>
    </row>
    <row r="813" spans="1:7" x14ac:dyDescent="0.2">
      <c r="A813" s="307"/>
      <c r="B813" s="238"/>
      <c r="C813" s="268"/>
      <c r="D813" s="184"/>
      <c r="E813" s="40"/>
      <c r="F813" s="55"/>
      <c r="G813" s="56"/>
    </row>
    <row r="814" spans="1:7" ht="12.75" thickBot="1" x14ac:dyDescent="0.25">
      <c r="A814" s="307"/>
      <c r="B814" s="238"/>
      <c r="C814" s="268"/>
      <c r="D814" s="184"/>
      <c r="E814" s="40"/>
      <c r="F814" s="55"/>
      <c r="G814" s="56"/>
    </row>
    <row r="815" spans="1:7" x14ac:dyDescent="0.2">
      <c r="A815" s="311"/>
      <c r="B815" s="65" t="s">
        <v>432</v>
      </c>
      <c r="C815" s="304"/>
      <c r="D815" s="186"/>
      <c r="E815" s="306"/>
      <c r="F815" s="186"/>
      <c r="G815" s="187"/>
    </row>
    <row r="816" spans="1:7" ht="12.75" thickBot="1" x14ac:dyDescent="0.25">
      <c r="A816" s="312"/>
      <c r="B816" s="70" t="s">
        <v>294</v>
      </c>
      <c r="C816" s="149"/>
      <c r="D816" s="151"/>
      <c r="E816" s="178"/>
      <c r="F816" s="151"/>
      <c r="G816" s="188">
        <f>SUM(G761:G815)</f>
        <v>0</v>
      </c>
    </row>
    <row r="817" spans="1:7" x14ac:dyDescent="0.2">
      <c r="A817" s="307"/>
      <c r="B817" s="76"/>
      <c r="C817" s="139"/>
      <c r="D817" s="55"/>
      <c r="E817" s="88"/>
      <c r="F817" s="55"/>
      <c r="G817" s="146"/>
    </row>
    <row r="818" spans="1:7" x14ac:dyDescent="0.2">
      <c r="A818" s="307"/>
      <c r="B818" s="37" t="s">
        <v>433</v>
      </c>
      <c r="C818" s="52"/>
      <c r="D818" s="184"/>
      <c r="E818" s="40"/>
      <c r="F818" s="55"/>
      <c r="G818" s="56"/>
    </row>
    <row r="819" spans="1:7" x14ac:dyDescent="0.2">
      <c r="A819" s="307"/>
      <c r="B819" s="45" t="s">
        <v>288</v>
      </c>
      <c r="C819" s="52"/>
      <c r="D819" s="184"/>
      <c r="E819" s="40"/>
      <c r="F819" s="55"/>
      <c r="G819" s="56"/>
    </row>
    <row r="820" spans="1:7" x14ac:dyDescent="0.2">
      <c r="A820" s="308">
        <v>15.1</v>
      </c>
      <c r="B820" s="255" t="s">
        <v>41</v>
      </c>
      <c r="C820" s="309"/>
      <c r="D820" s="310"/>
      <c r="E820" s="118"/>
      <c r="F820" s="222"/>
      <c r="G820" s="223"/>
    </row>
    <row r="821" spans="1:7" x14ac:dyDescent="0.2">
      <c r="A821" s="314"/>
      <c r="B821" s="315" t="s">
        <v>291</v>
      </c>
      <c r="C821" s="77"/>
      <c r="D821" s="184"/>
      <c r="E821" s="203"/>
      <c r="F821" s="176"/>
      <c r="G821" s="212"/>
    </row>
    <row r="822" spans="1:7" x14ac:dyDescent="0.2">
      <c r="A822" s="307"/>
      <c r="B822" s="238"/>
      <c r="C822" s="268"/>
      <c r="D822" s="184"/>
      <c r="E822" s="40"/>
      <c r="F822" s="55"/>
      <c r="G822" s="56"/>
    </row>
    <row r="823" spans="1:7" x14ac:dyDescent="0.2">
      <c r="A823" s="307"/>
      <c r="B823" s="238"/>
      <c r="C823" s="268"/>
      <c r="D823" s="184"/>
      <c r="E823" s="40"/>
      <c r="F823" s="55"/>
      <c r="G823" s="56"/>
    </row>
    <row r="824" spans="1:7" x14ac:dyDescent="0.2">
      <c r="A824" s="307"/>
      <c r="B824" s="238"/>
      <c r="C824" s="268"/>
      <c r="D824" s="184"/>
      <c r="E824" s="40"/>
      <c r="F824" s="55"/>
      <c r="G824" s="56"/>
    </row>
    <row r="825" spans="1:7" x14ac:dyDescent="0.2">
      <c r="A825" s="307"/>
      <c r="B825" s="238"/>
      <c r="C825" s="268"/>
      <c r="D825" s="184"/>
      <c r="E825" s="40"/>
      <c r="F825" s="55"/>
      <c r="G825" s="56"/>
    </row>
    <row r="826" spans="1:7" x14ac:dyDescent="0.2">
      <c r="A826" s="307"/>
      <c r="B826" s="238"/>
      <c r="C826" s="268"/>
      <c r="D826" s="184"/>
      <c r="E826" s="40"/>
      <c r="F826" s="55"/>
      <c r="G826" s="56"/>
    </row>
    <row r="827" spans="1:7" x14ac:dyDescent="0.2">
      <c r="A827" s="307"/>
      <c r="B827" s="238"/>
      <c r="C827" s="268"/>
      <c r="D827" s="184"/>
      <c r="E827" s="40"/>
      <c r="F827" s="55"/>
      <c r="G827" s="56"/>
    </row>
    <row r="828" spans="1:7" x14ac:dyDescent="0.2">
      <c r="A828" s="307"/>
      <c r="B828" s="238"/>
      <c r="C828" s="268"/>
      <c r="D828" s="184"/>
      <c r="E828" s="40"/>
      <c r="F828" s="55"/>
      <c r="G828" s="56"/>
    </row>
    <row r="829" spans="1:7" x14ac:dyDescent="0.2">
      <c r="A829" s="307"/>
      <c r="B829" s="238"/>
      <c r="C829" s="268"/>
      <c r="D829" s="184"/>
      <c r="E829" s="40"/>
      <c r="F829" s="55"/>
      <c r="G829" s="56"/>
    </row>
    <row r="830" spans="1:7" x14ac:dyDescent="0.2">
      <c r="A830" s="307"/>
      <c r="B830" s="238"/>
      <c r="C830" s="268"/>
      <c r="D830" s="184"/>
      <c r="E830" s="40"/>
      <c r="F830" s="55"/>
      <c r="G830" s="56"/>
    </row>
    <row r="831" spans="1:7" x14ac:dyDescent="0.2">
      <c r="A831" s="307"/>
      <c r="B831" s="238"/>
      <c r="C831" s="268"/>
      <c r="D831" s="184"/>
      <c r="E831" s="40"/>
      <c r="F831" s="55"/>
      <c r="G831" s="56"/>
    </row>
    <row r="832" spans="1:7" x14ac:dyDescent="0.2">
      <c r="A832" s="307"/>
      <c r="B832" s="238"/>
      <c r="C832" s="268"/>
      <c r="D832" s="184"/>
      <c r="E832" s="40"/>
      <c r="F832" s="55"/>
      <c r="G832" s="56"/>
    </row>
    <row r="833" spans="1:7" x14ac:dyDescent="0.2">
      <c r="A833" s="307"/>
      <c r="B833" s="238"/>
      <c r="C833" s="268"/>
      <c r="D833" s="184"/>
      <c r="E833" s="40"/>
      <c r="F833" s="55"/>
      <c r="G833" s="56"/>
    </row>
    <row r="834" spans="1:7" x14ac:dyDescent="0.2">
      <c r="A834" s="307"/>
      <c r="B834" s="238"/>
      <c r="C834" s="268"/>
      <c r="D834" s="184"/>
      <c r="E834" s="40"/>
      <c r="F834" s="55"/>
      <c r="G834" s="56"/>
    </row>
    <row r="835" spans="1:7" x14ac:dyDescent="0.2">
      <c r="A835" s="307"/>
      <c r="B835" s="238"/>
      <c r="C835" s="268"/>
      <c r="D835" s="184"/>
      <c r="E835" s="40"/>
      <c r="F835" s="55"/>
      <c r="G835" s="56"/>
    </row>
    <row r="836" spans="1:7" x14ac:dyDescent="0.2">
      <c r="A836" s="307"/>
      <c r="B836" s="238"/>
      <c r="C836" s="268"/>
      <c r="D836" s="184"/>
      <c r="E836" s="40"/>
      <c r="F836" s="55"/>
      <c r="G836" s="56"/>
    </row>
    <row r="837" spans="1:7" x14ac:dyDescent="0.2">
      <c r="A837" s="307"/>
      <c r="B837" s="238"/>
      <c r="C837" s="268"/>
      <c r="D837" s="184"/>
      <c r="E837" s="40"/>
      <c r="F837" s="55"/>
      <c r="G837" s="56"/>
    </row>
    <row r="838" spans="1:7" x14ac:dyDescent="0.2">
      <c r="A838" s="307"/>
      <c r="B838" s="238"/>
      <c r="C838" s="268"/>
      <c r="D838" s="184"/>
      <c r="E838" s="40"/>
      <c r="F838" s="55"/>
      <c r="G838" s="56"/>
    </row>
    <row r="839" spans="1:7" x14ac:dyDescent="0.2">
      <c r="A839" s="307"/>
      <c r="B839" s="238"/>
      <c r="C839" s="268"/>
      <c r="D839" s="184"/>
      <c r="E839" s="40"/>
      <c r="F839" s="55"/>
      <c r="G839" s="56"/>
    </row>
    <row r="840" spans="1:7" x14ac:dyDescent="0.2">
      <c r="A840" s="307"/>
      <c r="B840" s="238"/>
      <c r="C840" s="268"/>
      <c r="D840" s="184"/>
      <c r="E840" s="40"/>
      <c r="F840" s="55"/>
      <c r="G840" s="56"/>
    </row>
    <row r="841" spans="1:7" x14ac:dyDescent="0.2">
      <c r="A841" s="307"/>
      <c r="B841" s="238"/>
      <c r="C841" s="268"/>
      <c r="D841" s="184"/>
      <c r="E841" s="40"/>
      <c r="F841" s="55"/>
      <c r="G841" s="56"/>
    </row>
    <row r="842" spans="1:7" x14ac:dyDescent="0.2">
      <c r="A842" s="307"/>
      <c r="B842" s="238"/>
      <c r="C842" s="268"/>
      <c r="D842" s="184"/>
      <c r="E842" s="40"/>
      <c r="F842" s="55"/>
      <c r="G842" s="56"/>
    </row>
    <row r="843" spans="1:7" x14ac:dyDescent="0.2">
      <c r="A843" s="307"/>
      <c r="B843" s="238"/>
      <c r="C843" s="268"/>
      <c r="D843" s="184"/>
      <c r="E843" s="40"/>
      <c r="F843" s="55"/>
      <c r="G843" s="56"/>
    </row>
    <row r="844" spans="1:7" x14ac:dyDescent="0.2">
      <c r="A844" s="307"/>
      <c r="B844" s="238"/>
      <c r="C844" s="268"/>
      <c r="D844" s="184"/>
      <c r="E844" s="40"/>
      <c r="F844" s="55"/>
      <c r="G844" s="56"/>
    </row>
    <row r="845" spans="1:7" x14ac:dyDescent="0.2">
      <c r="A845" s="307"/>
      <c r="B845" s="238"/>
      <c r="C845" s="268"/>
      <c r="D845" s="184"/>
      <c r="E845" s="40"/>
      <c r="F845" s="55"/>
      <c r="G845" s="56"/>
    </row>
    <row r="846" spans="1:7" x14ac:dyDescent="0.2">
      <c r="A846" s="307"/>
      <c r="B846" s="238"/>
      <c r="C846" s="268"/>
      <c r="D846" s="184"/>
      <c r="E846" s="40"/>
      <c r="F846" s="55"/>
      <c r="G846" s="56"/>
    </row>
    <row r="847" spans="1:7" x14ac:dyDescent="0.2">
      <c r="A847" s="307"/>
      <c r="B847" s="238"/>
      <c r="C847" s="268"/>
      <c r="D847" s="184"/>
      <c r="E847" s="40"/>
      <c r="F847" s="55"/>
      <c r="G847" s="56"/>
    </row>
    <row r="848" spans="1:7" x14ac:dyDescent="0.2">
      <c r="A848" s="307"/>
      <c r="B848" s="238"/>
      <c r="C848" s="268"/>
      <c r="D848" s="184"/>
      <c r="E848" s="40"/>
      <c r="F848" s="55"/>
      <c r="G848" s="56"/>
    </row>
    <row r="849" spans="1:7" x14ac:dyDescent="0.2">
      <c r="A849" s="307"/>
      <c r="B849" s="238"/>
      <c r="C849" s="268"/>
      <c r="D849" s="184"/>
      <c r="E849" s="40"/>
      <c r="F849" s="55"/>
      <c r="G849" s="56"/>
    </row>
    <row r="850" spans="1:7" x14ac:dyDescent="0.2">
      <c r="A850" s="307"/>
      <c r="B850" s="238"/>
      <c r="C850" s="268"/>
      <c r="D850" s="184"/>
      <c r="E850" s="40"/>
      <c r="F850" s="55"/>
      <c r="G850" s="56"/>
    </row>
    <row r="851" spans="1:7" x14ac:dyDescent="0.2">
      <c r="A851" s="307"/>
      <c r="B851" s="238"/>
      <c r="C851" s="268"/>
      <c r="D851" s="184"/>
      <c r="E851" s="40"/>
      <c r="F851" s="55"/>
      <c r="G851" s="56"/>
    </row>
    <row r="852" spans="1:7" x14ac:dyDescent="0.2">
      <c r="A852" s="307"/>
      <c r="B852" s="238"/>
      <c r="C852" s="268"/>
      <c r="D852" s="184"/>
      <c r="E852" s="40"/>
      <c r="F852" s="55"/>
      <c r="G852" s="56"/>
    </row>
    <row r="853" spans="1:7" x14ac:dyDescent="0.2">
      <c r="A853" s="307"/>
      <c r="B853" s="238"/>
      <c r="C853" s="268"/>
      <c r="D853" s="184"/>
      <c r="E853" s="40"/>
      <c r="F853" s="55"/>
      <c r="G853" s="56"/>
    </row>
    <row r="854" spans="1:7" x14ac:dyDescent="0.2">
      <c r="A854" s="307"/>
      <c r="B854" s="238"/>
      <c r="C854" s="268"/>
      <c r="D854" s="184"/>
      <c r="E854" s="40"/>
      <c r="F854" s="55"/>
      <c r="G854" s="56"/>
    </row>
    <row r="855" spans="1:7" x14ac:dyDescent="0.2">
      <c r="A855" s="307"/>
      <c r="B855" s="238"/>
      <c r="C855" s="268"/>
      <c r="D855" s="184"/>
      <c r="E855" s="40"/>
      <c r="F855" s="55"/>
      <c r="G855" s="56"/>
    </row>
    <row r="856" spans="1:7" x14ac:dyDescent="0.2">
      <c r="A856" s="307"/>
      <c r="B856" s="238"/>
      <c r="C856" s="268"/>
      <c r="D856" s="184"/>
      <c r="E856" s="40"/>
      <c r="F856" s="55"/>
      <c r="G856" s="56"/>
    </row>
    <row r="857" spans="1:7" x14ac:dyDescent="0.2">
      <c r="A857" s="307"/>
      <c r="B857" s="238"/>
      <c r="C857" s="268"/>
      <c r="D857" s="184"/>
      <c r="E857" s="40"/>
      <c r="F857" s="55"/>
      <c r="G857" s="56"/>
    </row>
    <row r="858" spans="1:7" x14ac:dyDescent="0.2">
      <c r="A858" s="307"/>
      <c r="B858" s="238"/>
      <c r="C858" s="268"/>
      <c r="D858" s="184"/>
      <c r="E858" s="40"/>
      <c r="F858" s="55"/>
      <c r="G858" s="56"/>
    </row>
    <row r="859" spans="1:7" x14ac:dyDescent="0.2">
      <c r="A859" s="307"/>
      <c r="B859" s="238"/>
      <c r="C859" s="268"/>
      <c r="D859" s="184"/>
      <c r="E859" s="40"/>
      <c r="F859" s="55"/>
      <c r="G859" s="56"/>
    </row>
    <row r="860" spans="1:7" x14ac:dyDescent="0.2">
      <c r="A860" s="307"/>
      <c r="B860" s="238"/>
      <c r="C860" s="268"/>
      <c r="D860" s="184"/>
      <c r="E860" s="40"/>
      <c r="F860" s="55"/>
      <c r="G860" s="56"/>
    </row>
    <row r="861" spans="1:7" x14ac:dyDescent="0.2">
      <c r="A861" s="307"/>
      <c r="B861" s="238"/>
      <c r="C861" s="268"/>
      <c r="D861" s="184"/>
      <c r="E861" s="40"/>
      <c r="F861" s="55"/>
      <c r="G861" s="56"/>
    </row>
    <row r="862" spans="1:7" x14ac:dyDescent="0.2">
      <c r="A862" s="307"/>
      <c r="B862" s="238"/>
      <c r="C862" s="268"/>
      <c r="D862" s="184"/>
      <c r="E862" s="40"/>
      <c r="F862" s="55"/>
      <c r="G862" s="56"/>
    </row>
    <row r="863" spans="1:7" x14ac:dyDescent="0.2">
      <c r="A863" s="307"/>
      <c r="B863" s="238"/>
      <c r="C863" s="268"/>
      <c r="D863" s="184"/>
      <c r="E863" s="40"/>
      <c r="F863" s="55"/>
      <c r="G863" s="56"/>
    </row>
    <row r="864" spans="1:7" x14ac:dyDescent="0.2">
      <c r="A864" s="307"/>
      <c r="B864" s="238"/>
      <c r="C864" s="268"/>
      <c r="D864" s="184"/>
      <c r="E864" s="40"/>
      <c r="F864" s="55"/>
      <c r="G864" s="56"/>
    </row>
    <row r="865" spans="1:7" x14ac:dyDescent="0.2">
      <c r="A865" s="307"/>
      <c r="B865" s="238"/>
      <c r="C865" s="268"/>
      <c r="D865" s="184"/>
      <c r="E865" s="40"/>
      <c r="F865" s="55"/>
      <c r="G865" s="56"/>
    </row>
    <row r="866" spans="1:7" x14ac:dyDescent="0.2">
      <c r="A866" s="307"/>
      <c r="B866" s="238"/>
      <c r="C866" s="268"/>
      <c r="D866" s="184"/>
      <c r="E866" s="40"/>
      <c r="F866" s="55"/>
      <c r="G866" s="56"/>
    </row>
    <row r="867" spans="1:7" x14ac:dyDescent="0.2">
      <c r="A867" s="307"/>
      <c r="B867" s="238"/>
      <c r="C867" s="268"/>
      <c r="D867" s="184"/>
      <c r="E867" s="40"/>
      <c r="F867" s="55"/>
      <c r="G867" s="56"/>
    </row>
    <row r="868" spans="1:7" x14ac:dyDescent="0.2">
      <c r="A868" s="307"/>
      <c r="B868" s="238"/>
      <c r="C868" s="268"/>
      <c r="D868" s="184"/>
      <c r="E868" s="40"/>
      <c r="F868" s="55"/>
      <c r="G868" s="56"/>
    </row>
    <row r="869" spans="1:7" x14ac:dyDescent="0.2">
      <c r="A869" s="307"/>
      <c r="B869" s="238"/>
      <c r="C869" s="268"/>
      <c r="D869" s="184"/>
      <c r="E869" s="40"/>
      <c r="F869" s="55"/>
      <c r="G869" s="56"/>
    </row>
    <row r="870" spans="1:7" x14ac:dyDescent="0.2">
      <c r="A870" s="307"/>
      <c r="B870" s="238"/>
      <c r="C870" s="268"/>
      <c r="D870" s="184"/>
      <c r="E870" s="40"/>
      <c r="F870" s="55"/>
      <c r="G870" s="56"/>
    </row>
    <row r="871" spans="1:7" x14ac:dyDescent="0.2">
      <c r="A871" s="307"/>
      <c r="B871" s="238"/>
      <c r="C871" s="268"/>
      <c r="D871" s="184"/>
      <c r="E871" s="40"/>
      <c r="F871" s="55"/>
      <c r="G871" s="56"/>
    </row>
    <row r="872" spans="1:7" x14ac:dyDescent="0.2">
      <c r="A872" s="307"/>
      <c r="B872" s="238"/>
      <c r="C872" s="268"/>
      <c r="D872" s="184"/>
      <c r="E872" s="40"/>
      <c r="F872" s="55"/>
      <c r="G872" s="56"/>
    </row>
    <row r="873" spans="1:7" ht="12.75" thickBot="1" x14ac:dyDescent="0.25">
      <c r="A873" s="307"/>
      <c r="B873" s="238"/>
      <c r="C873" s="268"/>
      <c r="D873" s="184"/>
      <c r="E873" s="40"/>
      <c r="F873" s="55"/>
      <c r="G873" s="56"/>
    </row>
    <row r="874" spans="1:7" x14ac:dyDescent="0.2">
      <c r="A874" s="311"/>
      <c r="B874" s="65" t="s">
        <v>434</v>
      </c>
      <c r="C874" s="304"/>
      <c r="D874" s="186"/>
      <c r="E874" s="306"/>
      <c r="F874" s="186"/>
      <c r="G874" s="187"/>
    </row>
    <row r="875" spans="1:7" ht="12.75" thickBot="1" x14ac:dyDescent="0.25">
      <c r="A875" s="312"/>
      <c r="B875" s="70" t="s">
        <v>435</v>
      </c>
      <c r="C875" s="149"/>
      <c r="D875" s="151"/>
      <c r="E875" s="178"/>
      <c r="F875" s="151"/>
      <c r="G875" s="188">
        <f>SUM(G821:G874)</f>
        <v>0</v>
      </c>
    </row>
  </sheetData>
  <mergeCells count="20">
    <mergeCell ref="A1:G1"/>
    <mergeCell ref="B465:G465"/>
    <mergeCell ref="B536:E536"/>
    <mergeCell ref="B537:E537"/>
    <mergeCell ref="B538:E538"/>
    <mergeCell ref="B270:D270"/>
    <mergeCell ref="B271:D271"/>
    <mergeCell ref="B272:D272"/>
    <mergeCell ref="B375:E375"/>
    <mergeCell ref="B376:E376"/>
    <mergeCell ref="B377:E377"/>
    <mergeCell ref="B378:E378"/>
    <mergeCell ref="B662:F662"/>
    <mergeCell ref="B663:F663"/>
    <mergeCell ref="B539:E539"/>
    <mergeCell ref="B658:F658"/>
    <mergeCell ref="B659:F659"/>
    <mergeCell ref="B660:F660"/>
    <mergeCell ref="B661:F661"/>
    <mergeCell ref="B573:F573"/>
  </mergeCells>
  <pageMargins left="0.59055118110236227" right="0.59055118110236227" top="0.59055118110236227" bottom="0.59055118110236227" header="0.23622047244094491" footer="0.23622047244094491"/>
  <pageSetup scale="99" orientation="portrait" horizontalDpi="4294967293" verticalDpi="300" r:id="rId1"/>
  <headerFooter>
    <oddHeader>&amp;L&amp;8NILANDHOO SCHOOL&amp;R&amp;8     BILL OF QUANTITIES</oddHeader>
    <oddFooter>&amp;L&amp;8AUGUST 2015&amp;C&amp;8&amp;P&amp;R&amp;8ArchEng Studio Pvt. Ltd</oddFooter>
  </headerFooter>
  <rowBreaks count="1" manualBreakCount="1">
    <brk id="4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Summary</vt:lpstr>
      <vt:lpstr>Boq</vt:lpstr>
      <vt:lpstr>Boq!Print_Area</vt:lpstr>
      <vt:lpstr>Cover!Print_Area</vt:lpstr>
      <vt:lpstr>Summary!Print_Area</vt:lpstr>
      <vt:lpstr>Boq!Print_Titles</vt:lpstr>
    </vt:vector>
  </TitlesOfParts>
  <Company>BinArch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dc:creator>
  <cp:lastModifiedBy>Isra Abdulla</cp:lastModifiedBy>
  <cp:lastPrinted>2015-08-19T08:41:35Z</cp:lastPrinted>
  <dcterms:created xsi:type="dcterms:W3CDTF">2011-03-24T06:48:27Z</dcterms:created>
  <dcterms:modified xsi:type="dcterms:W3CDTF">2016-06-08T04:59:51Z</dcterms:modified>
</cp:coreProperties>
</file>