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FFA\Archeng\Projects\projects 2015\15-041 MOE yearly contract\Ongoing\Hdh. Makunudhoo 10 Classroom 2 storey School\"/>
    </mc:Choice>
  </mc:AlternateContent>
  <bookViews>
    <workbookView xWindow="120" yWindow="255" windowWidth="15135" windowHeight="7755" activeTab="2"/>
  </bookViews>
  <sheets>
    <sheet name="Cover" sheetId="3" r:id="rId1"/>
    <sheet name="Summary" sheetId="2" r:id="rId2"/>
    <sheet name="Boq" sheetId="1" r:id="rId3"/>
  </sheets>
  <definedNames>
    <definedName name="_xlnm.Print_Area" localSheetId="2">Boq!$A$1:$G$990</definedName>
    <definedName name="_xlnm.Print_Area" localSheetId="0">Cover!$A$1:$A$34</definedName>
    <definedName name="_xlnm.Print_Area" localSheetId="1">Summary!$A$1:$C$22</definedName>
    <definedName name="_xlnm.Print_Titles" localSheetId="2">Boq!$3:$3</definedName>
  </definedNames>
  <calcPr calcId="152511" iterate="1" iterateCount="50"/>
</workbook>
</file>

<file path=xl/calcChain.xml><?xml version="1.0" encoding="utf-8"?>
<calcChain xmlns="http://schemas.openxmlformats.org/spreadsheetml/2006/main">
  <c r="D821" i="1" l="1"/>
  <c r="D820" i="1"/>
  <c r="D783" i="1"/>
  <c r="D782" i="1"/>
  <c r="I638" i="1"/>
  <c r="I637" i="1"/>
  <c r="I633" i="1"/>
  <c r="I632" i="1"/>
  <c r="I627" i="1"/>
  <c r="I594" i="1"/>
  <c r="D593" i="1"/>
  <c r="I589" i="1"/>
  <c r="J589" i="1" s="1"/>
  <c r="D588" i="1"/>
  <c r="I550" i="1"/>
  <c r="I547" i="1"/>
  <c r="I542" i="1"/>
  <c r="I412" i="1"/>
  <c r="I469" i="1"/>
  <c r="I452" i="1"/>
  <c r="D460" i="1"/>
  <c r="D456" i="1"/>
  <c r="D440" i="1"/>
  <c r="D433" i="1"/>
  <c r="I421" i="1"/>
  <c r="I420" i="1"/>
  <c r="J420" i="1"/>
  <c r="I423" i="1"/>
  <c r="I419" i="1"/>
  <c r="I417" i="1"/>
  <c r="I411" i="1"/>
  <c r="I378" i="1"/>
  <c r="L378" i="1"/>
  <c r="M376" i="1"/>
  <c r="P375" i="1"/>
  <c r="Q375" i="1" s="1"/>
  <c r="P376" i="1"/>
  <c r="N375" i="1"/>
  <c r="I375" i="1"/>
  <c r="J375" i="1" s="1"/>
  <c r="L372" i="1"/>
  <c r="M372" i="1" s="1"/>
  <c r="N372" i="1" s="1"/>
  <c r="I372" i="1"/>
  <c r="J372" i="1" s="1"/>
  <c r="P370" i="1"/>
  <c r="P369" i="1"/>
  <c r="N369" i="1"/>
  <c r="I369" i="1"/>
  <c r="I350" i="1"/>
  <c r="I345" i="1"/>
  <c r="I346" i="1"/>
  <c r="I337" i="1"/>
  <c r="J337" i="1" s="1"/>
  <c r="I343" i="1"/>
  <c r="I342" i="1"/>
  <c r="J342" i="1" s="1"/>
  <c r="I338" i="1"/>
  <c r="I335" i="1"/>
  <c r="I334" i="1"/>
  <c r="J334" i="1" s="1"/>
  <c r="D367" i="1"/>
  <c r="D301" i="1" s="1"/>
  <c r="I331" i="1"/>
  <c r="J331" i="1" s="1"/>
  <c r="I299" i="1"/>
  <c r="I295" i="1"/>
  <c r="I293" i="1"/>
  <c r="K291" i="1"/>
  <c r="I291" i="1"/>
  <c r="J291" i="1"/>
  <c r="I70" i="1"/>
  <c r="I57" i="1"/>
  <c r="G28" i="1"/>
  <c r="G27" i="1"/>
  <c r="J284" i="1"/>
  <c r="I173" i="1"/>
  <c r="J173" i="1" s="1"/>
  <c r="J270" i="1"/>
  <c r="K266" i="1"/>
  <c r="J266" i="1"/>
  <c r="M262" i="1"/>
  <c r="L262" i="1"/>
  <c r="J262" i="1"/>
  <c r="O245" i="1"/>
  <c r="P245" i="1" s="1"/>
  <c r="N245" i="1"/>
  <c r="J245" i="1"/>
  <c r="K245" i="1" s="1"/>
  <c r="L245" i="1" s="1"/>
  <c r="N241" i="1"/>
  <c r="O241" i="1" s="1"/>
  <c r="J241" i="1"/>
  <c r="K241" i="1" s="1"/>
  <c r="L241" i="1" s="1"/>
  <c r="P233" i="1"/>
  <c r="O233" i="1"/>
  <c r="J233" i="1"/>
  <c r="J220" i="1"/>
  <c r="J209" i="1"/>
  <c r="J201" i="1"/>
  <c r="M201" i="1"/>
  <c r="L201" i="1"/>
  <c r="J205" i="1"/>
  <c r="L205" i="1"/>
  <c r="M205" i="1" s="1"/>
  <c r="J195" i="1"/>
  <c r="J191" i="1"/>
  <c r="S188" i="1"/>
  <c r="I170" i="1"/>
  <c r="I169" i="1"/>
  <c r="I168" i="1"/>
  <c r="J163" i="1"/>
  <c r="K161" i="1"/>
  <c r="J166" i="1"/>
  <c r="I166" i="1"/>
  <c r="I164" i="1"/>
  <c r="J164" i="1" s="1"/>
  <c r="I162" i="1"/>
  <c r="J162" i="1" s="1"/>
  <c r="I161" i="1"/>
  <c r="I160" i="1"/>
  <c r="J160" i="1" s="1"/>
  <c r="I159" i="1"/>
  <c r="J159" i="1" s="1"/>
  <c r="J152" i="1"/>
  <c r="I152" i="1"/>
  <c r="J107" i="1"/>
  <c r="I107" i="1"/>
  <c r="D74" i="1" s="1"/>
  <c r="I148" i="1"/>
  <c r="I147" i="1"/>
  <c r="I146" i="1"/>
  <c r="I143" i="1"/>
  <c r="K143" i="1" s="1"/>
  <c r="I142" i="1"/>
  <c r="K142" i="1" s="1"/>
  <c r="P141" i="1"/>
  <c r="O141" i="1"/>
  <c r="N141" i="1"/>
  <c r="M141" i="1"/>
  <c r="L141" i="1"/>
  <c r="K141" i="1"/>
  <c r="J141" i="1"/>
  <c r="I141" i="1"/>
  <c r="I92" i="1"/>
  <c r="I154" i="1"/>
  <c r="J154" i="1" s="1"/>
  <c r="K154" i="1"/>
  <c r="I156" i="1"/>
  <c r="I174" i="1"/>
  <c r="J174" i="1" s="1"/>
  <c r="I175" i="1"/>
  <c r="J175" i="1" s="1"/>
  <c r="I130" i="1"/>
  <c r="I129" i="1"/>
  <c r="I128" i="1"/>
  <c r="I124" i="1"/>
  <c r="I123" i="1"/>
  <c r="I125" i="1"/>
  <c r="J121" i="1"/>
  <c r="I121" i="1"/>
  <c r="I119" i="1"/>
  <c r="I117" i="1"/>
  <c r="I116" i="1"/>
  <c r="I115" i="1"/>
  <c r="I114" i="1"/>
  <c r="K109" i="1"/>
  <c r="I109" i="1"/>
  <c r="J109" i="1" s="1"/>
  <c r="I103" i="1"/>
  <c r="I102" i="1"/>
  <c r="I101" i="1"/>
  <c r="P96" i="1"/>
  <c r="O96" i="1"/>
  <c r="N96" i="1"/>
  <c r="M96" i="1"/>
  <c r="L96" i="1"/>
  <c r="K96" i="1"/>
  <c r="J96" i="1"/>
  <c r="I96" i="1"/>
  <c r="L93" i="1"/>
  <c r="M93" i="1" s="1"/>
  <c r="I93" i="1"/>
  <c r="J93" i="1" s="1"/>
  <c r="P92" i="1"/>
  <c r="O92" i="1"/>
  <c r="N92" i="1"/>
  <c r="M92" i="1"/>
  <c r="L92" i="1"/>
  <c r="K92" i="1"/>
  <c r="J92" i="1"/>
  <c r="L64" i="1"/>
  <c r="M64" i="1" s="1"/>
  <c r="I64" i="1"/>
  <c r="J64" i="1" s="1"/>
  <c r="J594" i="1" l="1"/>
  <c r="N64" i="1"/>
  <c r="O64" i="1" s="1"/>
  <c r="L109" i="1"/>
  <c r="K152" i="1"/>
  <c r="N93" i="1"/>
  <c r="Q92" i="1"/>
  <c r="L154" i="1"/>
  <c r="Q141" i="1"/>
  <c r="K166" i="1"/>
  <c r="K257" i="1" s="1"/>
  <c r="J161" i="1"/>
  <c r="L161" i="1" s="1"/>
  <c r="P63" i="1"/>
  <c r="O63" i="1"/>
  <c r="N63" i="1"/>
  <c r="M63" i="1"/>
  <c r="L63" i="1"/>
  <c r="K63" i="1"/>
  <c r="J63" i="1"/>
  <c r="I63" i="1"/>
  <c r="P93" i="1" l="1"/>
  <c r="Q63" i="1"/>
  <c r="R63" i="1" s="1"/>
  <c r="P64" i="1" s="1"/>
  <c r="G944" i="1" l="1"/>
  <c r="G888" i="1"/>
  <c r="G934" i="1" s="1"/>
  <c r="D788" i="1"/>
  <c r="G788" i="1" s="1"/>
  <c r="D826" i="1"/>
  <c r="D827" i="1"/>
  <c r="D825" i="1"/>
  <c r="D824" i="1"/>
  <c r="D823" i="1"/>
  <c r="G810" i="1"/>
  <c r="G809" i="1"/>
  <c r="G808" i="1"/>
  <c r="G807" i="1"/>
  <c r="G795" i="1"/>
  <c r="G794" i="1"/>
  <c r="G753" i="1"/>
  <c r="G752" i="1"/>
  <c r="G754" i="1"/>
  <c r="G766" i="1"/>
  <c r="G701" i="1"/>
  <c r="G700" i="1"/>
  <c r="D699" i="1"/>
  <c r="G699" i="1" s="1"/>
  <c r="G698" i="1"/>
  <c r="D697" i="1"/>
  <c r="G697" i="1" s="1"/>
  <c r="D696" i="1"/>
  <c r="G696" i="1" s="1"/>
  <c r="D695" i="1"/>
  <c r="G695" i="1" s="1"/>
  <c r="G694" i="1"/>
  <c r="G693" i="1"/>
  <c r="G692" i="1"/>
  <c r="G676" i="1"/>
  <c r="J632" i="1"/>
  <c r="M378" i="1"/>
  <c r="N378" i="1" s="1"/>
  <c r="J293" i="1"/>
  <c r="I546" i="1"/>
  <c r="I545" i="1"/>
  <c r="I465" i="1"/>
  <c r="J465" i="1" s="1"/>
  <c r="I467" i="1"/>
  <c r="G467" i="1"/>
  <c r="I466" i="1"/>
  <c r="J466" i="1" s="1"/>
  <c r="G466" i="1"/>
  <c r="K465" i="1"/>
  <c r="G465" i="1"/>
  <c r="D462" i="1"/>
  <c r="G458" i="1"/>
  <c r="I450" i="1"/>
  <c r="G450" i="1"/>
  <c r="I449" i="1"/>
  <c r="J449" i="1" s="1"/>
  <c r="K448" i="1"/>
  <c r="I448" i="1"/>
  <c r="J448" i="1" s="1"/>
  <c r="D442" i="1"/>
  <c r="D435" i="1"/>
  <c r="G435" i="1" s="1"/>
  <c r="G423" i="1"/>
  <c r="I422" i="1"/>
  <c r="G422" i="1"/>
  <c r="G421" i="1"/>
  <c r="L420" i="1"/>
  <c r="K420" i="1"/>
  <c r="G420" i="1"/>
  <c r="G419" i="1"/>
  <c r="I414" i="1"/>
  <c r="G414" i="1"/>
  <c r="I415" i="1"/>
  <c r="I413" i="1"/>
  <c r="L412" i="1"/>
  <c r="K412" i="1"/>
  <c r="J412" i="1"/>
  <c r="D383" i="1"/>
  <c r="K379" i="1"/>
  <c r="I379" i="1"/>
  <c r="J379" i="1" s="1"/>
  <c r="J346" i="1"/>
  <c r="J378" i="1"/>
  <c r="L375" i="1"/>
  <c r="M375" i="1" s="1"/>
  <c r="O375" i="1" s="1"/>
  <c r="Q376" i="1" s="1"/>
  <c r="N376" i="1" s="1"/>
  <c r="I376" i="1"/>
  <c r="Q369" i="1"/>
  <c r="I373" i="1"/>
  <c r="J373" i="1" s="1"/>
  <c r="K373" i="1"/>
  <c r="L342" i="1"/>
  <c r="M342" i="1" s="1"/>
  <c r="J338" i="1"/>
  <c r="J369" i="1"/>
  <c r="L369" i="1" s="1"/>
  <c r="M369" i="1" s="1"/>
  <c r="I370" i="1"/>
  <c r="J345" i="1"/>
  <c r="I524" i="1"/>
  <c r="J524" i="1" s="1"/>
  <c r="I523" i="1"/>
  <c r="J523" i="1" s="1"/>
  <c r="I522" i="1"/>
  <c r="J522" i="1" s="1"/>
  <c r="I521" i="1"/>
  <c r="J521" i="1" s="1"/>
  <c r="K346" i="1"/>
  <c r="G346" i="1"/>
  <c r="G345" i="1"/>
  <c r="G344" i="1"/>
  <c r="G343" i="1"/>
  <c r="G342" i="1"/>
  <c r="G341" i="1"/>
  <c r="K338" i="1"/>
  <c r="I519" i="1"/>
  <c r="J519" i="1" s="1"/>
  <c r="J525" i="1"/>
  <c r="J520" i="1"/>
  <c r="I518" i="1"/>
  <c r="J518" i="1" s="1"/>
  <c r="I511" i="1"/>
  <c r="I510" i="1"/>
  <c r="I509" i="1"/>
  <c r="I507" i="1"/>
  <c r="I506" i="1"/>
  <c r="I505" i="1"/>
  <c r="J505" i="1" s="1"/>
  <c r="G527" i="1"/>
  <c r="G526" i="1"/>
  <c r="G524" i="1"/>
  <c r="G523" i="1"/>
  <c r="G522" i="1"/>
  <c r="G521" i="1"/>
  <c r="G519" i="1"/>
  <c r="G518" i="1"/>
  <c r="J299" i="1"/>
  <c r="J295" i="1"/>
  <c r="G299" i="1"/>
  <c r="G298" i="1"/>
  <c r="G297" i="1"/>
  <c r="G296" i="1"/>
  <c r="G295" i="1"/>
  <c r="G294" i="1"/>
  <c r="G293" i="1"/>
  <c r="G292" i="1"/>
  <c r="G291" i="1"/>
  <c r="G290" i="1"/>
  <c r="G289" i="1"/>
  <c r="G990" i="1" l="1"/>
  <c r="C18" i="2" s="1"/>
  <c r="M420" i="1"/>
  <c r="J526" i="1"/>
  <c r="K526" i="1" s="1"/>
  <c r="L465" i="1"/>
  <c r="L448" i="1"/>
  <c r="O369" i="1"/>
  <c r="Q370" i="1" s="1"/>
  <c r="M412" i="1"/>
  <c r="L373" i="1"/>
  <c r="N373" i="1" s="1"/>
  <c r="O373" i="1" s="1"/>
  <c r="L379" i="1"/>
  <c r="N379" i="1" s="1"/>
  <c r="O379" i="1" s="1"/>
  <c r="L346" i="1"/>
  <c r="L521" i="1"/>
  <c r="M291" i="1"/>
  <c r="K299" i="1"/>
  <c r="K295" i="1"/>
  <c r="K518" i="1"/>
  <c r="K195" i="1" l="1"/>
  <c r="K253" i="1"/>
  <c r="L253" i="1" s="1"/>
  <c r="J237" i="1"/>
  <c r="M266" i="1"/>
  <c r="K284" i="1"/>
  <c r="L284" i="1" s="1"/>
  <c r="L276" i="1"/>
  <c r="I270" i="1"/>
  <c r="L266" i="1"/>
  <c r="J224" i="1"/>
  <c r="K224" i="1" s="1"/>
  <c r="I267" i="1"/>
  <c r="G267" i="1"/>
  <c r="I266" i="1"/>
  <c r="G266" i="1"/>
  <c r="N266" i="1" l="1"/>
  <c r="I268" i="1"/>
  <c r="D265" i="1" s="1"/>
  <c r="D268" i="1" s="1"/>
  <c r="G268" i="1" s="1"/>
  <c r="J130" i="1"/>
  <c r="G862" i="1"/>
  <c r="G861" i="1"/>
  <c r="G860" i="1"/>
  <c r="G859" i="1"/>
  <c r="G858" i="1"/>
  <c r="G857" i="1"/>
  <c r="G856" i="1"/>
  <c r="G855" i="1"/>
  <c r="G852" i="1"/>
  <c r="G851" i="1"/>
  <c r="G850" i="1"/>
  <c r="G849" i="1"/>
  <c r="G848" i="1"/>
  <c r="G847" i="1"/>
  <c r="G846" i="1"/>
  <c r="G845" i="1"/>
  <c r="G844" i="1"/>
  <c r="G827" i="1"/>
  <c r="G826" i="1"/>
  <c r="G825" i="1"/>
  <c r="G824" i="1"/>
  <c r="G823" i="1"/>
  <c r="G822" i="1"/>
  <c r="G821" i="1"/>
  <c r="G820" i="1"/>
  <c r="G819" i="1"/>
  <c r="G817" i="1"/>
  <c r="G816" i="1"/>
  <c r="G815" i="1"/>
  <c r="G814" i="1"/>
  <c r="G813" i="1"/>
  <c r="G812" i="1"/>
  <c r="D811" i="1"/>
  <c r="G811" i="1" s="1"/>
  <c r="G806" i="1"/>
  <c r="G805" i="1"/>
  <c r="G804" i="1"/>
  <c r="G803" i="1"/>
  <c r="G802" i="1"/>
  <c r="G801" i="1"/>
  <c r="G800" i="1"/>
  <c r="G799" i="1"/>
  <c r="G798" i="1"/>
  <c r="G797" i="1"/>
  <c r="G796" i="1"/>
  <c r="G792" i="1"/>
  <c r="D789" i="1"/>
  <c r="G789" i="1" s="1"/>
  <c r="D787" i="1"/>
  <c r="G787" i="1" s="1"/>
  <c r="D786" i="1"/>
  <c r="G786" i="1" s="1"/>
  <c r="D785" i="1"/>
  <c r="G785" i="1" s="1"/>
  <c r="G784" i="1"/>
  <c r="G783" i="1"/>
  <c r="G782" i="1"/>
  <c r="G781" i="1"/>
  <c r="G776" i="1"/>
  <c r="G775" i="1"/>
  <c r="G774" i="1"/>
  <c r="G773" i="1"/>
  <c r="G772" i="1"/>
  <c r="G771" i="1"/>
  <c r="D770" i="1"/>
  <c r="G770" i="1" s="1"/>
  <c r="G769" i="1"/>
  <c r="G768" i="1"/>
  <c r="G767" i="1"/>
  <c r="G765" i="1"/>
  <c r="G764" i="1"/>
  <c r="G763" i="1"/>
  <c r="G762" i="1"/>
  <c r="G761" i="1"/>
  <c r="G760" i="1"/>
  <c r="G759" i="1"/>
  <c r="G758" i="1"/>
  <c r="G757" i="1"/>
  <c r="G756" i="1"/>
  <c r="G755" i="1"/>
  <c r="G750" i="1"/>
  <c r="G749" i="1"/>
  <c r="G707" i="1"/>
  <c r="G706" i="1"/>
  <c r="G703" i="1"/>
  <c r="G702" i="1"/>
  <c r="G690" i="1"/>
  <c r="G689" i="1"/>
  <c r="G680" i="1"/>
  <c r="G679" i="1"/>
  <c r="G678" i="1"/>
  <c r="G677" i="1"/>
  <c r="G675" i="1"/>
  <c r="D674" i="1"/>
  <c r="G674" i="1" s="1"/>
  <c r="G673" i="1"/>
  <c r="D672" i="1"/>
  <c r="G672" i="1" s="1"/>
  <c r="D671" i="1"/>
  <c r="G671" i="1" s="1"/>
  <c r="D670" i="1"/>
  <c r="G670" i="1" s="1"/>
  <c r="G669" i="1"/>
  <c r="G668" i="1"/>
  <c r="G667" i="1"/>
  <c r="G666" i="1"/>
  <c r="G665" i="1"/>
  <c r="G664" i="1"/>
  <c r="G663" i="1"/>
  <c r="G661" i="1"/>
  <c r="G638" i="1"/>
  <c r="G637" i="1"/>
  <c r="G636" i="1"/>
  <c r="D635" i="1"/>
  <c r="G635" i="1" s="1"/>
  <c r="D634" i="1"/>
  <c r="G634" i="1" s="1"/>
  <c r="G633" i="1"/>
  <c r="G632" i="1"/>
  <c r="G631" i="1"/>
  <c r="G630" i="1"/>
  <c r="G629" i="1"/>
  <c r="G627" i="1"/>
  <c r="I624" i="1"/>
  <c r="G624" i="1"/>
  <c r="G623" i="1"/>
  <c r="D598" i="1"/>
  <c r="G598" i="1" s="1"/>
  <c r="G594" i="1"/>
  <c r="G593" i="1"/>
  <c r="D592" i="1"/>
  <c r="G592" i="1" s="1"/>
  <c r="G589" i="1"/>
  <c r="G588" i="1"/>
  <c r="D587" i="1"/>
  <c r="G587" i="1" s="1"/>
  <c r="G547" i="1"/>
  <c r="G514" i="1"/>
  <c r="G513" i="1"/>
  <c r="J511" i="1"/>
  <c r="G511" i="1"/>
  <c r="J510" i="1"/>
  <c r="G510" i="1"/>
  <c r="J509" i="1"/>
  <c r="G509" i="1"/>
  <c r="J507" i="1"/>
  <c r="G507" i="1"/>
  <c r="J506" i="1"/>
  <c r="G506" i="1"/>
  <c r="G505" i="1"/>
  <c r="G477" i="1"/>
  <c r="J469" i="1"/>
  <c r="G469" i="1"/>
  <c r="G462" i="1"/>
  <c r="J460" i="1"/>
  <c r="I460" i="1"/>
  <c r="G457" i="1"/>
  <c r="I455" i="1"/>
  <c r="J452" i="1"/>
  <c r="G452" i="1"/>
  <c r="G449" i="1"/>
  <c r="G448" i="1"/>
  <c r="G442" i="1"/>
  <c r="G440" i="1"/>
  <c r="D439" i="1"/>
  <c r="G439" i="1" s="1"/>
  <c r="D437" i="1"/>
  <c r="D474" i="1" s="1"/>
  <c r="D434" i="1"/>
  <c r="G434" i="1" s="1"/>
  <c r="G433" i="1"/>
  <c r="G418" i="1"/>
  <c r="G415" i="1"/>
  <c r="G417" i="1"/>
  <c r="K416" i="1"/>
  <c r="J416" i="1"/>
  <c r="I416" i="1"/>
  <c r="G416" i="1"/>
  <c r="G413" i="1"/>
  <c r="G412" i="1"/>
  <c r="G411" i="1"/>
  <c r="G410" i="1"/>
  <c r="O385" i="1"/>
  <c r="N385" i="1"/>
  <c r="M385" i="1"/>
  <c r="L385" i="1"/>
  <c r="K385" i="1"/>
  <c r="D385" i="1"/>
  <c r="G385" i="1" s="1"/>
  <c r="G384" i="1"/>
  <c r="G383" i="1"/>
  <c r="G382" i="1"/>
  <c r="G379" i="1"/>
  <c r="G378" i="1"/>
  <c r="G377" i="1"/>
  <c r="G376" i="1"/>
  <c r="G373" i="1"/>
  <c r="G372" i="1"/>
  <c r="G370" i="1"/>
  <c r="G369" i="1"/>
  <c r="G350" i="1"/>
  <c r="G349" i="1"/>
  <c r="L338" i="1"/>
  <c r="G338" i="1"/>
  <c r="G337" i="1"/>
  <c r="G336" i="1"/>
  <c r="G335" i="1"/>
  <c r="G334" i="1"/>
  <c r="G333" i="1"/>
  <c r="G331" i="1"/>
  <c r="G303" i="1"/>
  <c r="G302" i="1"/>
  <c r="G300" i="1"/>
  <c r="I285" i="1"/>
  <c r="G285" i="1"/>
  <c r="I284" i="1"/>
  <c r="G284" i="1"/>
  <c r="I281" i="1"/>
  <c r="G281" i="1"/>
  <c r="J280" i="1"/>
  <c r="K280" i="1" s="1"/>
  <c r="L280" i="1" s="1"/>
  <c r="I280" i="1"/>
  <c r="G280" i="1"/>
  <c r="I277" i="1"/>
  <c r="G277" i="1"/>
  <c r="M276" i="1"/>
  <c r="I276" i="1"/>
  <c r="G276" i="1"/>
  <c r="G273" i="1"/>
  <c r="I271" i="1"/>
  <c r="I272" i="1" s="1"/>
  <c r="G271" i="1"/>
  <c r="G270" i="1"/>
  <c r="I263" i="1"/>
  <c r="G263" i="1"/>
  <c r="N262" i="1"/>
  <c r="I262" i="1"/>
  <c r="G262" i="1"/>
  <c r="I258" i="1"/>
  <c r="I259" i="1" s="1"/>
  <c r="D257" i="1" s="1"/>
  <c r="G257" i="1" s="1"/>
  <c r="G258" i="1"/>
  <c r="I255" i="1"/>
  <c r="G255" i="1"/>
  <c r="I254" i="1"/>
  <c r="G254" i="1"/>
  <c r="I253" i="1"/>
  <c r="G253" i="1"/>
  <c r="I250" i="1"/>
  <c r="G250" i="1"/>
  <c r="K249" i="1"/>
  <c r="L249" i="1" s="1"/>
  <c r="I249" i="1"/>
  <c r="G249" i="1"/>
  <c r="I246" i="1"/>
  <c r="G246" i="1"/>
  <c r="I245" i="1"/>
  <c r="G245" i="1"/>
  <c r="I242" i="1"/>
  <c r="G242" i="1"/>
  <c r="I241" i="1"/>
  <c r="G241" i="1"/>
  <c r="I238" i="1"/>
  <c r="G238" i="1"/>
  <c r="K237" i="1"/>
  <c r="L237" i="1" s="1"/>
  <c r="I237" i="1"/>
  <c r="G237" i="1"/>
  <c r="I234" i="1"/>
  <c r="G234" i="1"/>
  <c r="L233" i="1"/>
  <c r="M233" i="1" s="1"/>
  <c r="I233" i="1"/>
  <c r="G233" i="1"/>
  <c r="G230" i="1"/>
  <c r="L224" i="1"/>
  <c r="I224" i="1"/>
  <c r="I225" i="1" s="1"/>
  <c r="D223" i="1" s="1"/>
  <c r="D225" i="1" s="1"/>
  <c r="G225" i="1" s="1"/>
  <c r="G224" i="1"/>
  <c r="I221" i="1"/>
  <c r="G221" i="1"/>
  <c r="K220" i="1"/>
  <c r="L220" i="1" s="1"/>
  <c r="I220" i="1"/>
  <c r="G220" i="1"/>
  <c r="I216" i="1"/>
  <c r="I217" i="1" s="1"/>
  <c r="D215" i="1" s="1"/>
  <c r="G215" i="1" s="1"/>
  <c r="G216" i="1"/>
  <c r="I213" i="1"/>
  <c r="I214" i="1" s="1"/>
  <c r="D212" i="1" s="1"/>
  <c r="G212" i="1" s="1"/>
  <c r="G213" i="1"/>
  <c r="I210" i="1"/>
  <c r="G210" i="1"/>
  <c r="K209" i="1"/>
  <c r="I209" i="1"/>
  <c r="G209" i="1"/>
  <c r="I206" i="1"/>
  <c r="G206" i="1"/>
  <c r="I205" i="1"/>
  <c r="G205" i="1"/>
  <c r="I202" i="1"/>
  <c r="G202" i="1"/>
  <c r="N201" i="1"/>
  <c r="I201" i="1"/>
  <c r="G201" i="1"/>
  <c r="G198" i="1"/>
  <c r="I196" i="1"/>
  <c r="G196" i="1"/>
  <c r="L195" i="1"/>
  <c r="I195" i="1"/>
  <c r="G195" i="1"/>
  <c r="I192" i="1"/>
  <c r="G192" i="1"/>
  <c r="K191" i="1"/>
  <c r="L191" i="1" s="1"/>
  <c r="I191" i="1"/>
  <c r="G191" i="1"/>
  <c r="I188" i="1"/>
  <c r="I189" i="1" s="1"/>
  <c r="D187" i="1" s="1"/>
  <c r="G188" i="1"/>
  <c r="G175" i="1"/>
  <c r="G174" i="1"/>
  <c r="G173" i="1"/>
  <c r="G170" i="1"/>
  <c r="G169" i="1"/>
  <c r="G168" i="1"/>
  <c r="G166" i="1"/>
  <c r="G165" i="1"/>
  <c r="G164" i="1"/>
  <c r="G163" i="1"/>
  <c r="G162" i="1"/>
  <c r="G161" i="1"/>
  <c r="G160" i="1"/>
  <c r="G159" i="1"/>
  <c r="G156" i="1"/>
  <c r="G154" i="1"/>
  <c r="G152" i="1"/>
  <c r="G151" i="1"/>
  <c r="G150" i="1"/>
  <c r="G149" i="1"/>
  <c r="G148" i="1"/>
  <c r="G147" i="1"/>
  <c r="G146" i="1"/>
  <c r="G143" i="1"/>
  <c r="G142" i="1"/>
  <c r="G141" i="1"/>
  <c r="M135" i="1"/>
  <c r="J118" i="1"/>
  <c r="J119" i="1"/>
  <c r="J117" i="1"/>
  <c r="I111" i="1"/>
  <c r="J111" i="1" s="1"/>
  <c r="G111" i="1"/>
  <c r="G110" i="1"/>
  <c r="G109" i="1"/>
  <c r="G108" i="1"/>
  <c r="G437" i="1" l="1"/>
  <c r="J512" i="1"/>
  <c r="K512" i="1" s="1"/>
  <c r="L512" i="1" s="1"/>
  <c r="G301" i="1"/>
  <c r="L257" i="1"/>
  <c r="G265" i="1"/>
  <c r="K121" i="1"/>
  <c r="L121" i="1" s="1"/>
  <c r="I197" i="1"/>
  <c r="D194" i="1" s="1"/>
  <c r="G194" i="1" s="1"/>
  <c r="K460" i="1"/>
  <c r="I207" i="1"/>
  <c r="D204" i="1" s="1"/>
  <c r="G204" i="1" s="1"/>
  <c r="K452" i="1"/>
  <c r="G546" i="1"/>
  <c r="M466" i="1"/>
  <c r="N466" i="1" s="1"/>
  <c r="I211" i="1"/>
  <c r="D208" i="1" s="1"/>
  <c r="D211" i="1" s="1"/>
  <c r="G211" i="1" s="1"/>
  <c r="I235" i="1"/>
  <c r="D232" i="1" s="1"/>
  <c r="D235" i="1" s="1"/>
  <c r="G235" i="1" s="1"/>
  <c r="I193" i="1"/>
  <c r="D190" i="1" s="1"/>
  <c r="G190" i="1" s="1"/>
  <c r="I239" i="1"/>
  <c r="D236" i="1" s="1"/>
  <c r="D239" i="1" s="1"/>
  <c r="G239" i="1" s="1"/>
  <c r="D269" i="1"/>
  <c r="D272" i="1" s="1"/>
  <c r="G272" i="1" s="1"/>
  <c r="I278" i="1"/>
  <c r="D275" i="1" s="1"/>
  <c r="D278" i="1" s="1"/>
  <c r="G278" i="1" s="1"/>
  <c r="P385" i="1"/>
  <c r="I203" i="1"/>
  <c r="D200" i="1" s="1"/>
  <c r="D203" i="1" s="1"/>
  <c r="G203" i="1" s="1"/>
  <c r="I251" i="1"/>
  <c r="D248" i="1" s="1"/>
  <c r="G248" i="1" s="1"/>
  <c r="I282" i="1"/>
  <c r="D279" i="1" s="1"/>
  <c r="D282" i="1" s="1"/>
  <c r="G282" i="1" s="1"/>
  <c r="G878" i="1"/>
  <c r="C16" i="2" s="1"/>
  <c r="I222" i="1"/>
  <c r="D219" i="1" s="1"/>
  <c r="D222" i="1" s="1"/>
  <c r="G222" i="1" s="1"/>
  <c r="I247" i="1"/>
  <c r="D244" i="1" s="1"/>
  <c r="D247" i="1" s="1"/>
  <c r="G247" i="1" s="1"/>
  <c r="I286" i="1"/>
  <c r="D283" i="1" s="1"/>
  <c r="D286" i="1" s="1"/>
  <c r="G286" i="1" s="1"/>
  <c r="K505" i="1"/>
  <c r="I256" i="1"/>
  <c r="D252" i="1" s="1"/>
  <c r="G252" i="1" s="1"/>
  <c r="G367" i="1"/>
  <c r="G402" i="1" s="1"/>
  <c r="D214" i="1"/>
  <c r="G214" i="1" s="1"/>
  <c r="G532" i="1"/>
  <c r="I243" i="1"/>
  <c r="D240" i="1" s="1"/>
  <c r="D243" i="1" s="1"/>
  <c r="G243" i="1" s="1"/>
  <c r="G456" i="1"/>
  <c r="L508" i="1"/>
  <c r="D189" i="1"/>
  <c r="G189" i="1" s="1"/>
  <c r="G187" i="1"/>
  <c r="G223" i="1"/>
  <c r="D217" i="1"/>
  <c r="G217" i="1" s="1"/>
  <c r="G615" i="1"/>
  <c r="G833" i="1"/>
  <c r="C15" i="2" s="1"/>
  <c r="D259" i="1"/>
  <c r="G259" i="1" s="1"/>
  <c r="M452" i="1"/>
  <c r="D597" i="1"/>
  <c r="G597" i="1" s="1"/>
  <c r="G651" i="1"/>
  <c r="G738" i="1"/>
  <c r="I264" i="1"/>
  <c r="D261" i="1" s="1"/>
  <c r="G460" i="1"/>
  <c r="K469" i="1"/>
  <c r="G545" i="1"/>
  <c r="D596" i="1"/>
  <c r="G596" i="1" s="1"/>
  <c r="L416" i="1"/>
  <c r="D473" i="1"/>
  <c r="G474" i="1"/>
  <c r="M257" i="1" l="1"/>
  <c r="N257" i="1" s="1"/>
  <c r="O257" i="1" s="1"/>
  <c r="P257" i="1" s="1"/>
  <c r="L334" i="1"/>
  <c r="M334" i="1" s="1"/>
  <c r="G232" i="1"/>
  <c r="D251" i="1"/>
  <c r="G251" i="1" s="1"/>
  <c r="G269" i="1"/>
  <c r="D197" i="1"/>
  <c r="G197" i="1" s="1"/>
  <c r="G244" i="1"/>
  <c r="G240" i="1"/>
  <c r="G236" i="1"/>
  <c r="D207" i="1"/>
  <c r="G207" i="1" s="1"/>
  <c r="G578" i="1"/>
  <c r="G219" i="1"/>
  <c r="G275" i="1"/>
  <c r="D256" i="1"/>
  <c r="G256" i="1" s="1"/>
  <c r="G283" i="1"/>
  <c r="G279" i="1"/>
  <c r="G208" i="1"/>
  <c r="D193" i="1"/>
  <c r="G193" i="1" s="1"/>
  <c r="G200" i="1"/>
  <c r="G261" i="1"/>
  <c r="D264" i="1"/>
  <c r="G264" i="1" s="1"/>
  <c r="I473" i="1"/>
  <c r="J473" i="1" s="1"/>
  <c r="K473" i="1" s="1"/>
  <c r="G473" i="1"/>
  <c r="G492" i="1" s="1"/>
  <c r="C17" i="2" l="1"/>
  <c r="J97" i="1"/>
  <c r="K107" i="1" l="1"/>
  <c r="Q96" i="1"/>
  <c r="L107" i="1" l="1"/>
  <c r="K216" i="1"/>
  <c r="L216" i="1" s="1"/>
  <c r="M216" i="1" s="1"/>
  <c r="J128" i="1"/>
  <c r="J129" i="1" l="1"/>
  <c r="J116" i="1"/>
  <c r="J115" i="1"/>
  <c r="J114" i="1"/>
  <c r="G121" i="1"/>
  <c r="G120" i="1"/>
  <c r="G130" i="1"/>
  <c r="G129" i="1"/>
  <c r="G128" i="1"/>
  <c r="G119" i="1"/>
  <c r="G118" i="1"/>
  <c r="G117" i="1"/>
  <c r="G116" i="1"/>
  <c r="G115" i="1"/>
  <c r="G114" i="1"/>
  <c r="G107" i="1"/>
  <c r="G106" i="1"/>
  <c r="G125" i="1"/>
  <c r="G124" i="1"/>
  <c r="G123" i="1"/>
  <c r="J98" i="1"/>
  <c r="D71" i="1" l="1"/>
  <c r="G98" i="1" l="1"/>
  <c r="G97" i="1"/>
  <c r="I60" i="1" l="1"/>
  <c r="G35" i="1"/>
  <c r="G103" i="1" l="1"/>
  <c r="G102" i="1"/>
  <c r="G101" i="1"/>
  <c r="G23" i="1" l="1"/>
  <c r="C13" i="2" l="1"/>
  <c r="G105" i="1" l="1"/>
  <c r="G104" i="1"/>
  <c r="G96" i="1"/>
  <c r="G93" i="1"/>
  <c r="G75" i="1"/>
  <c r="G74" i="1"/>
  <c r="G73" i="1"/>
  <c r="G72" i="1"/>
  <c r="G71" i="1"/>
  <c r="G70" i="1"/>
  <c r="G66" i="1"/>
  <c r="G65" i="1"/>
  <c r="G64" i="1"/>
  <c r="G63" i="1"/>
  <c r="G62" i="1"/>
  <c r="G61" i="1"/>
  <c r="G60" i="1"/>
  <c r="G59" i="1"/>
  <c r="G58" i="1"/>
  <c r="G57" i="1"/>
  <c r="G56" i="1"/>
  <c r="G24" i="1"/>
  <c r="G25" i="1"/>
  <c r="G26" i="1"/>
  <c r="G30" i="1"/>
  <c r="G320" i="1" l="1"/>
  <c r="G22" i="1"/>
  <c r="G34" i="1" l="1"/>
  <c r="G33" i="1"/>
  <c r="G31" i="1"/>
  <c r="G49" i="1" l="1"/>
  <c r="C5" i="2" s="1"/>
  <c r="C14" i="2"/>
  <c r="C10" i="2"/>
  <c r="C11" i="2" l="1"/>
  <c r="G85" i="1" l="1"/>
  <c r="C6" i="2" l="1"/>
  <c r="C12" i="2" l="1"/>
  <c r="C9" i="2" l="1"/>
  <c r="C8" i="2" l="1"/>
  <c r="C7" i="2" l="1"/>
  <c r="C20" i="2" s="1"/>
  <c r="C21" i="2" s="1"/>
  <c r="C22" i="2" s="1"/>
  <c r="F20" i="2" l="1"/>
  <c r="F19" i="2"/>
</calcChain>
</file>

<file path=xl/sharedStrings.xml><?xml version="1.0" encoding="utf-8"?>
<sst xmlns="http://schemas.openxmlformats.org/spreadsheetml/2006/main" count="1344" uniqueCount="535">
  <si>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</si>
  <si>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</si>
  <si>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</si>
  <si>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</si>
  <si>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</si>
  <si>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</si>
  <si>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</si>
  <si>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</si>
  <si>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</si>
  <si>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</si>
  <si>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</si>
  <si>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</si>
  <si>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</si>
  <si>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</si>
  <si>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</si>
  <si>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</si>
  <si>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</si>
  <si>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</si>
  <si>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</si>
  <si>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</si>
  <si>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</si>
  <si>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</si>
  <si>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</si>
  <si>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</si>
  <si>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</si>
  <si>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</si>
  <si>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</si>
  <si>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</si>
  <si>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</si>
  <si>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</si>
  <si>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</si>
  <si>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</si>
  <si>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</si>
  <si>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</si>
  <si>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</si>
  <si>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</si>
  <si>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</si>
  <si>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</si>
  <si>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</si>
  <si>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</si>
  <si>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</si>
  <si>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</si>
  <si>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</si>
  <si>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</si>
  <si>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</si>
  <si>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</si>
  <si>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</si>
  <si>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</si>
  <si>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</si>
  <si>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</si>
  <si>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</si>
  <si>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</si>
  <si>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</si>
  <si>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</si>
  <si>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</si>
  <si>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</si>
  <si>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</si>
  <si>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</si>
  <si>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</si>
  <si>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</si>
  <si>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</si>
  <si>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</si>
  <si>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</si>
  <si>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</si>
  <si>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</si>
  <si>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</si>
  <si>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</si>
  <si>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</si>
  <si>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</si>
  <si>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</si>
  <si>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</si>
  <si>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</si>
  <si>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</si>
  <si>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</si>
  <si>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</si>
  <si>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</si>
  <si>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</si>
  <si>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</si>
  <si>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</si>
  <si>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</si>
  <si>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</si>
  <si>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</si>
  <si>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</si>
  <si>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</si>
  <si>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</si>
  <si>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</si>
  <si>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</si>
  <si>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</si>
  <si>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</si>
  <si>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</si>
  <si>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</si>
  <si>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</si>
  <si>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</si>
  <si>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</si>
  <si>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</si>
  <si>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</si>
  <si>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</si>
  <si>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</si>
  <si>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</si>
  <si>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</si>
  <si>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</si>
  <si>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</si>
  <si>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</si>
  <si>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</si>
  <si>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</si>
  <si>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</si>
  <si>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</si>
  <si>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</si>
  <si>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</si>
  <si>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</si>
  <si>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</si>
  <si>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</si>
  <si>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</si>
  <si>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</si>
  <si>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</si>
  <si>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</si>
  <si>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</si>
  <si>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</si>
  <si>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</si>
  <si>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</si>
  <si>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</si>
  <si>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</si>
  <si>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</si>
  <si>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</si>
  <si>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</si>
  <si>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</si>
  <si>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</si>
  <si>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</si>
  <si>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</si>
  <si>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</si>
  <si>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</si>
  <si>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 xml:space="preserve">Mirror set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</si>
  <si>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</si>
  <si>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</si>
  <si>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</si>
  <si>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</si>
  <si>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</si>
  <si>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</si>
  <si>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</si>
  <si>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</si>
  <si>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</si>
  <si>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</si>
  <si>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</si>
  <si>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</si>
  <si>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</si>
  <si>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</si>
  <si>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</si>
  <si>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</si>
  <si>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</si>
  <si>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</si>
  <si>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</si>
  <si>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</si>
  <si>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</si>
  <si>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</si>
  <si>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</si>
  <si>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</si>
  <si>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</si>
  <si>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</si>
  <si>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</si>
  <si>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</si>
  <si>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</si>
  <si>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1.4</t>
  </si>
  <si>
    <t>SAFETY</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</si>
  <si>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</si>
  <si>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</si>
  <si>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</si>
  <si>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</si>
  <si>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</si>
  <si>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</si>
  <si>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</si>
  <si>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</si>
  <si>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</si>
  <si>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</si>
  <si>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</si>
  <si>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</si>
  <si>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</si>
  <si>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</si>
  <si>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</si>
  <si>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</si>
  <si>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</si>
  <si>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</si>
  <si>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</si>
  <si>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</si>
  <si>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</si>
  <si>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</si>
  <si>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</si>
  <si>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</si>
  <si>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</si>
  <si>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</si>
  <si>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</si>
  <si>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</si>
  <si>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</si>
  <si>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</si>
  <si>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</si>
  <si>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</si>
  <si>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</si>
  <si>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</si>
  <si>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</si>
  <si>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</si>
  <si>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</si>
  <si>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</si>
  <si>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</si>
  <si>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</si>
  <si>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</si>
  <si>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</si>
  <si>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</si>
  <si>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</si>
  <si>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</si>
  <si>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</si>
  <si>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</si>
  <si>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Foundations</t>
  </si>
  <si>
    <t>(e) All doors and windows shall be  accordance with  door/window drawing details.</t>
  </si>
  <si>
    <t xml:space="preserve">50mm thick Floor Screeding </t>
  </si>
  <si>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</si>
  <si>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</si>
  <si>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</si>
  <si>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</si>
  <si>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</si>
  <si>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</si>
  <si>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</si>
  <si>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</si>
  <si>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</si>
  <si>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</si>
  <si>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</si>
  <si>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</si>
  <si>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</si>
  <si>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</si>
  <si>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</si>
  <si>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</si>
  <si>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</si>
  <si>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</si>
  <si>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</si>
  <si>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</si>
  <si>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</si>
  <si>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</si>
  <si>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(c) Rates shall include for 9mm thick Cement board fixed on 35 x 50mm Timber frame,trimming, nails, screws,hooks, hangers,  clips and similar.</t>
  </si>
  <si>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</si>
  <si>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</si>
  <si>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</si>
  <si>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</si>
  <si>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</si>
  <si>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</si>
  <si>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</si>
  <si>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</si>
  <si>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</si>
  <si>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</si>
  <si>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</si>
  <si>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300 x 600mm Polished Ceramic Wall Tiles.  (Rate shall include for 300 x 100mm Design border tiles @ 1200mm high on toilet walls)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</si>
  <si>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</si>
  <si>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</si>
  <si>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</si>
  <si>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</si>
  <si>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WATER PROOFING &amp; ADD MIXTURES</t>
  </si>
  <si>
    <t>(c) Ground water connection shall be made as 
specified in the drawings.</t>
  </si>
  <si>
    <t>(e) All pipes shall be High Pressure  uPVC 
"Mutha" or equivalent brand.</t>
  </si>
  <si>
    <t>S.S. Railing  - Staircase</t>
  </si>
  <si>
    <t>Stair case</t>
  </si>
  <si>
    <t>300 x 600mm Polished Ceramic Wall Tiles 2.7m height.   (Rate shall include for 300 x 100mm Design border tiles @ 1200mm high on toilet walls)</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</si>
  <si>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</si>
  <si>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</si>
  <si>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</si>
  <si>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</si>
  <si>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</si>
  <si>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</si>
  <si>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</si>
  <si>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</si>
  <si>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</si>
  <si>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</si>
  <si>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</si>
  <si>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</si>
  <si>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</si>
  <si>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</si>
  <si>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</si>
  <si>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600 x 600mm Non Slip Porcelain tiles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</si>
  <si>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</si>
  <si>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</si>
  <si>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</si>
  <si>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</si>
  <si>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</si>
  <si>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</si>
  <si>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</si>
  <si>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</si>
  <si>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</si>
  <si>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</si>
  <si>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</si>
  <si>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</si>
  <si>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</si>
  <si>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</si>
  <si>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</si>
  <si>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</si>
  <si>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</si>
  <si>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</si>
  <si>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</si>
  <si>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</si>
  <si>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</si>
  <si>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</si>
  <si>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</si>
  <si>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</si>
  <si>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</si>
  <si>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</si>
  <si>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</si>
  <si>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</si>
  <si>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</si>
  <si>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</si>
  <si>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</si>
  <si>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</si>
  <si>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</si>
  <si>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</si>
  <si>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</si>
  <si>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</si>
  <si>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</si>
  <si>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</si>
  <si>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</si>
  <si>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</si>
  <si>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</si>
  <si>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</si>
  <si>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</si>
  <si>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</si>
  <si>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</si>
  <si>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</si>
  <si>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</si>
  <si>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</si>
  <si>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</si>
  <si>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</si>
  <si>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</si>
  <si>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</si>
  <si>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(d) Toilet wall tiles shall be 300 x 600 mm size ceramic Polished tiles including designed border tiles and Toilet Floor Tiles shall  be 300 x 300mm Non- Slip ceramicTiles.</t>
  </si>
  <si>
    <t>SUSPENDED ACOUSTIC CEILING SYSTEM ON ALUMINIUM FRAME</t>
  </si>
  <si>
    <t>First floor - Class room and Store</t>
  </si>
  <si>
    <t>Roof level - Eave Ceiling</t>
  </si>
  <si>
    <t>S.S. Railing  - BALCONY</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</si>
  <si>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</si>
  <si>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</si>
  <si>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</si>
  <si>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</si>
  <si>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</si>
  <si>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</si>
  <si>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</si>
  <si>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</si>
  <si>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</si>
  <si>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</si>
  <si>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</si>
  <si>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</si>
  <si>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</si>
  <si>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</si>
  <si>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</si>
  <si>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</si>
  <si>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</si>
  <si>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</si>
  <si>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</si>
  <si>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</si>
  <si>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</si>
  <si>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</si>
  <si>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</si>
  <si>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</si>
  <si>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</si>
  <si>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</si>
  <si>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</si>
  <si>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</si>
  <si>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</si>
  <si>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</si>
  <si>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</si>
  <si>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</si>
  <si>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</si>
  <si>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</si>
  <si>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</si>
  <si>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</si>
  <si>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Ceiling Light - L 09</t>
  </si>
  <si>
    <t>1 x 13A Power Socket - P01 &amp; P05</t>
  </si>
  <si>
    <t xml:space="preserve">Supply, Fabrication and Fixing S.S.Railing - Fixed at Middle of the Staircase as per details </t>
  </si>
  <si>
    <t xml:space="preserve">Supply, Fabrication and Installation of  40mm dia. S.S.Pipe Fixed at both Sides of the Staircase as per details </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</si>
  <si>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</si>
  <si>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</si>
  <si>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</si>
  <si>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</si>
  <si>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</si>
  <si>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</si>
  <si>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</si>
  <si>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</si>
  <si>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</si>
  <si>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</si>
  <si>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</si>
  <si>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</si>
  <si>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</si>
  <si>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</si>
  <si>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</si>
  <si>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</si>
  <si>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</si>
  <si>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</si>
  <si>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</si>
  <si>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</si>
  <si>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</si>
  <si>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</si>
  <si>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</si>
  <si>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</si>
  <si>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</si>
  <si>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</si>
  <si>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</si>
  <si>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</si>
  <si>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</si>
  <si>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</si>
  <si>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</si>
  <si>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</si>
  <si>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</si>
  <si>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</si>
  <si>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</si>
  <si>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</si>
  <si>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</si>
  <si>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</si>
  <si>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</si>
  <si>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</si>
  <si>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</si>
  <si>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</si>
  <si>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</si>
  <si>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Footings F1 to F8</t>
  </si>
  <si>
    <t>FLOOR BEAMS (STORE)</t>
  </si>
  <si>
    <t>2.5</t>
  </si>
  <si>
    <t>FLOOR SLAB (STORE)</t>
  </si>
  <si>
    <t>100mm thick R.C. slab including Entrance Steps</t>
  </si>
  <si>
    <t>SC, 150 x 150 x 06nos:</t>
  </si>
  <si>
    <t>SLAB BEAM (STORE)</t>
  </si>
  <si>
    <t>Toilet walls @ 3M height</t>
  </si>
  <si>
    <t>Toilets</t>
  </si>
  <si>
    <t>Charges for supplying special tiles grout Conmix C800 / Conmix C500 for fixing tiles to all floors.</t>
  </si>
  <si>
    <t>D2 - Solid Timber framed door with Soild Timber door panel, 950 x 2150mm.</t>
  </si>
  <si>
    <t>D3 - Solid Timber framed door with Soild Timber door panel, 780 x 2000mm.</t>
  </si>
  <si>
    <t>W1 - Coated Aluminium framed Window with Openable glass panels and Fixed aluminium louvered panels &amp; glass panels at top, 2450 x 1690mm</t>
  </si>
  <si>
    <t>W4 - Coated Aluminium framed Window with Fixed aluminium louvered panels, 700 x 550mm</t>
  </si>
  <si>
    <t>TYPE 01 - Coated Aluminium frame with Louvered aluminium panels, 3000 x 650mm (Refer Elevation)</t>
  </si>
  <si>
    <t>TYPE 02 - Coated Aluminium frame with Louvered aluminium panels, 1800 x 650mm (Refer Elevation)</t>
  </si>
  <si>
    <t>Ground floor - Toilet / Wash room</t>
  </si>
  <si>
    <t>Painting exterior surfaces of External Wall, Columns &amp; beams.</t>
  </si>
  <si>
    <t xml:space="preserve">Painting interior surfaces Wall, Columns &amp; beams) </t>
  </si>
  <si>
    <t>Painting Soffit of slab (Ceiling)</t>
  </si>
  <si>
    <t>Eave Ceiling</t>
  </si>
  <si>
    <t>Supply, Fabrication and Installation of  S.S.Railing - Staircase as per details (Refer drawing - A12)</t>
  </si>
  <si>
    <t>Roof Truss - Supply, Fabrication and Fixing Roof Trusses complete with  Base plates, Bolts, nuts, Washers etc including  Paint Finishes. Refer drawing detail    S 10.</t>
  </si>
  <si>
    <t>WC with basin</t>
  </si>
  <si>
    <t>Wash basin with trap including counter slab</t>
  </si>
  <si>
    <t>Wash basin tap</t>
  </si>
  <si>
    <t xml:space="preserve">Muslim Shower </t>
  </si>
  <si>
    <t xml:space="preserve">S.S.Floor drain with trap </t>
  </si>
  <si>
    <t>Water taps</t>
  </si>
  <si>
    <t>10 )</t>
  </si>
  <si>
    <t xml:space="preserve">Supply and Installation of  STELCO approved brand Distribution board </t>
  </si>
  <si>
    <t>Mechanical Ventilator</t>
  </si>
  <si>
    <t>2 x 13A Power Socket - P02 &amp; P06</t>
  </si>
  <si>
    <t>1 x 13A Power Socket (WP) - P17</t>
  </si>
  <si>
    <t>Cabling - TV points</t>
  </si>
  <si>
    <t>Cabling - Telephone  points</t>
  </si>
  <si>
    <t>Cabling - Data Network points (Cat 06)</t>
  </si>
  <si>
    <t>Cabling - Speaker System</t>
  </si>
  <si>
    <t>Exhaust Fan (Mechanical Ventilator)</t>
  </si>
  <si>
    <t>Provision to remove the excess quantity given in the bill quantities if any as per the drawing details</t>
  </si>
  <si>
    <t>C2, 400 x 200mm x 05nos</t>
  </si>
  <si>
    <t>C1 , 200 x 200mm x 35nos:</t>
  </si>
  <si>
    <t>Charges for construction of 100mm thick R.c.c.Parapet wall at First floor and Second floor as per details. (Refer drawing no:A 18) Rate shall include for Shuttering and Reinforcement work complete.</t>
  </si>
  <si>
    <t xml:space="preserve">Toilet </t>
  </si>
  <si>
    <t>Corridor &amp; Wash</t>
  </si>
  <si>
    <t>Cleaner Closet</t>
  </si>
  <si>
    <t>Cleaner's closet</t>
  </si>
  <si>
    <t>Wash room walls @ 1.8m H</t>
  </si>
  <si>
    <t>Vanity Counter</t>
  </si>
  <si>
    <t>(c) All Timber door frames shall be treated timber. Rate shall include for Paint/Varnish finish.</t>
  </si>
  <si>
    <t>External surface of exeterior wall &amp; Parapet wall</t>
  </si>
  <si>
    <t>Angle valves</t>
  </si>
  <si>
    <t>225mm thick highly compacted hard core from Ground floor to below ground floor slab</t>
  </si>
  <si>
    <t>1 Gang 1 way Switch - P19</t>
  </si>
  <si>
    <t>a</t>
  </si>
  <si>
    <t>b</t>
  </si>
  <si>
    <t>b.1</t>
  </si>
  <si>
    <t>b.2</t>
  </si>
  <si>
    <t>Distribution board for Power Points</t>
  </si>
  <si>
    <t>Distribution board for Light Points</t>
  </si>
  <si>
    <t>a.1</t>
  </si>
  <si>
    <t>a.2</t>
  </si>
  <si>
    <t>VGA Cabling -  Multimedia Projector</t>
  </si>
  <si>
    <t xml:space="preserve"> TOTAL           Mvr</t>
  </si>
  <si>
    <t>6% GST           Mvr</t>
  </si>
  <si>
    <t>GRAND TOTAL          Mvr</t>
  </si>
  <si>
    <r>
      <t xml:space="preserve">(a) Excavation quantities are measured to the faces of concrete members. Rates shall include for all additional excavation required to place the </t>
    </r>
    <r>
      <rPr>
        <b/>
        <sz val="9"/>
        <rFont val="Arial"/>
        <family val="2"/>
      </rPr>
      <t>formwork, back fill, dewatering</t>
    </r>
    <r>
      <rPr>
        <sz val="9"/>
        <rFont val="Arial"/>
        <family val="2"/>
      </rPr>
      <t xml:space="preserve"> and others </t>
    </r>
  </si>
  <si>
    <r>
      <t>m</t>
    </r>
    <r>
      <rPr>
        <vertAlign val="superscript"/>
        <sz val="9"/>
        <color theme="1"/>
        <rFont val="Arial"/>
        <family val="2"/>
      </rPr>
      <t>3</t>
    </r>
  </si>
  <si>
    <r>
      <t>m</t>
    </r>
    <r>
      <rPr>
        <vertAlign val="superscript"/>
        <sz val="9"/>
        <rFont val="Arial"/>
        <family val="2"/>
      </rPr>
      <t>2</t>
    </r>
  </si>
  <si>
    <r>
      <t xml:space="preserve">Charges for construction of 200 x 100mm thick </t>
    </r>
    <r>
      <rPr>
        <b/>
        <sz val="9"/>
        <color theme="1"/>
        <rFont val="Arial"/>
        <family val="2"/>
      </rPr>
      <t>R.c.c.Fins</t>
    </r>
    <r>
      <rPr>
        <sz val="9"/>
        <color theme="1"/>
        <rFont val="Arial"/>
        <family val="2"/>
      </rPr>
      <t xml:space="preserve"> and 200 x 100mm LEDGE at Ground floor, First floor and Second floor as per details. (Refer drawing no:A 19) Rate shall include for Shuttering and Reinforcement work complete.</t>
    </r>
  </si>
  <si>
    <r>
      <t xml:space="preserve">Apply Rubberised bitumin water proofing paint, </t>
    </r>
    <r>
      <rPr>
        <b/>
        <sz val="9"/>
        <color theme="1"/>
        <rFont val="Arial"/>
        <family val="2"/>
      </rPr>
      <t>Moya Shield RBE,</t>
    </r>
    <r>
      <rPr>
        <sz val="9"/>
        <color theme="1"/>
        <rFont val="Arial"/>
        <family val="2"/>
      </rPr>
      <t xml:space="preserve"> 2 coats to all exposed concrete and masonry surface below ground level.</t>
    </r>
  </si>
  <si>
    <r>
      <t>m</t>
    </r>
    <r>
      <rPr>
        <vertAlign val="superscript"/>
        <sz val="9"/>
        <color theme="1"/>
        <rFont val="Arial"/>
        <family val="2"/>
      </rPr>
      <t>2</t>
    </r>
  </si>
  <si>
    <r>
      <t xml:space="preserve">Add approved water proofing admixture </t>
    </r>
    <r>
      <rPr>
        <b/>
        <sz val="9"/>
        <color theme="1"/>
        <rFont val="Arial"/>
        <family val="2"/>
      </rPr>
      <t>Mega Add WL1</t>
    </r>
    <r>
      <rPr>
        <sz val="9"/>
        <color theme="1"/>
        <rFont val="Arial"/>
        <family val="2"/>
      </rPr>
      <t xml:space="preserve"> as per specification to all concrete below ground level.</t>
    </r>
  </si>
  <si>
    <r>
      <t xml:space="preserve">Add Plasticiser admixture </t>
    </r>
    <r>
      <rPr>
        <b/>
        <sz val="9"/>
        <color theme="1"/>
        <rFont val="Arial"/>
        <family val="2"/>
      </rPr>
      <t>Mega Flow P</t>
    </r>
    <r>
      <rPr>
        <sz val="9"/>
        <color theme="1"/>
        <rFont val="Arial"/>
        <family val="2"/>
      </rPr>
      <t xml:space="preserve"> as per specification to all concrete Substreucture and Super structure.</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</si>
  <si>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Arial"/>
        <family val="2"/>
      </rPr>
      <t>Quantity is measured including concrete surfaces - Parapetwalls, Liftwalls, columns &amp; beams.</t>
    </r>
  </si>
  <si>
    <r>
      <t>m</t>
    </r>
    <r>
      <rPr>
        <vertAlign val="superscript"/>
        <sz val="10"/>
        <rFont val="Arial"/>
        <family val="2"/>
      </rPr>
      <t>2</t>
    </r>
  </si>
  <si>
    <r>
      <t xml:space="preserve">(c) Tiles for bed rooms, offices, Kitchen, Living, Dining, corridors, all general areas shall be </t>
    </r>
    <r>
      <rPr>
        <b/>
        <sz val="9"/>
        <rFont val="Arial"/>
        <family val="2"/>
      </rPr>
      <t>600 x 600mm Polished Porcelain/Homogeneous tiles.</t>
    </r>
  </si>
  <si>
    <r>
      <t xml:space="preserve">Apply 2 coats of Water proofing Compound, </t>
    </r>
    <r>
      <rPr>
        <b/>
        <sz val="9"/>
        <rFont val="Arial"/>
        <family val="2"/>
      </rPr>
      <t xml:space="preserve">Moya Proof HF, </t>
    </r>
    <r>
      <rPr>
        <sz val="9"/>
        <rFont val="Arial"/>
        <family val="2"/>
      </rPr>
      <t xml:space="preserve">on wet surfaces - Toilets, Balcony and Terrace Floors. </t>
    </r>
  </si>
  <si>
    <r>
      <t xml:space="preserve">D1 - Solid Timber framed door with Soild Timber door panel, 950 x 2830mm. </t>
    </r>
    <r>
      <rPr>
        <b/>
        <sz val="9"/>
        <rFont val="Arial"/>
        <family val="2"/>
      </rPr>
      <t>All glazed fix panels shall be double glazed panels.</t>
    </r>
  </si>
  <si>
    <r>
      <t xml:space="preserve">W2 - Coated Aluminium framed Window with Openable glass panels and Fixed </t>
    </r>
    <r>
      <rPr>
        <b/>
        <sz val="9"/>
        <rFont val="Arial"/>
        <family val="2"/>
      </rPr>
      <t xml:space="preserve">6mm thick blue tinted glazed </t>
    </r>
    <r>
      <rPr>
        <sz val="9"/>
        <rFont val="Arial"/>
        <family val="2"/>
      </rPr>
      <t>panels at top , 1575 x 2000mm</t>
    </r>
  </si>
  <si>
    <r>
      <t xml:space="preserve">W3 - Coated Aluminium framed Window with Openable glass panels and Fixed </t>
    </r>
    <r>
      <rPr>
        <b/>
        <sz val="9"/>
        <rFont val="Arial"/>
        <family val="2"/>
      </rPr>
      <t xml:space="preserve">Aluminium louvered </t>
    </r>
    <r>
      <rPr>
        <sz val="9"/>
        <rFont val="Arial"/>
        <family val="2"/>
      </rPr>
      <t>panels at top , 1240 x 1690mm</t>
    </r>
  </si>
  <si>
    <r>
      <t xml:space="preserve">(c)Rate shall include for weather proof  paint finish for </t>
    </r>
    <r>
      <rPr>
        <b/>
        <sz val="9"/>
        <rFont val="Arial"/>
        <family val="2"/>
      </rPr>
      <t>exterior surfaces of the wall</t>
    </r>
    <r>
      <rPr>
        <sz val="9"/>
        <rFont val="Arial"/>
        <family val="2"/>
      </rPr>
      <t xml:space="preserve"> complete including application of  two coats of oil based wall sealer and two coats of weather bond paint </t>
    </r>
  </si>
  <si>
    <r>
      <t xml:space="preserve">(d)Rate shall include for putty and paint finish for </t>
    </r>
    <r>
      <rPr>
        <b/>
        <sz val="9"/>
        <rFont val="Arial"/>
        <family val="2"/>
      </rPr>
      <t>interior surfaces of the wall and ceilings</t>
    </r>
    <r>
      <rPr>
        <sz val="9"/>
        <rFont val="Arial"/>
        <family val="2"/>
      </rPr>
      <t xml:space="preserve"> complete including application of  two coats of wall sealer, two coats of  putty finish and two coats of  emulsion paint finish on top for Interior painting.</t>
    </r>
  </si>
  <si>
    <r>
      <rPr>
        <b/>
        <u/>
        <sz val="9"/>
        <rFont val="Arial"/>
        <family val="2"/>
      </rPr>
      <t>SEWERAGE &amp; DRAINAGE</t>
    </r>
    <r>
      <rPr>
        <sz val="9"/>
        <rFont val="Arial"/>
        <family val="2"/>
      </rPr>
      <t>: Charges for piping for all discharge pipes, sewerage and drainage pipes including connection Main junctions from the Fixtures.</t>
    </r>
  </si>
  <si>
    <r>
      <rPr>
        <b/>
        <u/>
        <sz val="9"/>
        <rFont val="Arial"/>
        <family val="2"/>
      </rPr>
      <t xml:space="preserve">INSPECTION CHAMBERS: </t>
    </r>
    <r>
      <rPr>
        <sz val="9"/>
        <rFont val="Arial"/>
        <family val="2"/>
      </rPr>
      <t>Charges for construction and Pipe connection of Inspection chambers as per drawing</t>
    </r>
  </si>
  <si>
    <r>
      <rPr>
        <b/>
        <u/>
        <sz val="9"/>
        <rFont val="Arial"/>
        <family val="2"/>
      </rPr>
      <t xml:space="preserve">SOAK PIT : </t>
    </r>
    <r>
      <rPr>
        <sz val="9"/>
        <rFont val="Arial"/>
        <family val="2"/>
      </rPr>
      <t>Charges for Construction and  Installation of 1800mm dia. R.c.c. Soak Pit as per drawing details. Rate shall include for; Excavation, form work, reinforcement, Lifting hooks, gravel filling etc complete.</t>
    </r>
  </si>
  <si>
    <r>
      <rPr>
        <b/>
        <u/>
        <sz val="9"/>
        <rFont val="Arial"/>
        <family val="2"/>
      </rPr>
      <t>RAINWATER DOWN PIPES</t>
    </r>
    <r>
      <rPr>
        <sz val="9"/>
        <rFont val="Arial"/>
        <family val="2"/>
      </rPr>
      <t>: Charges for piping for all discharge pipes and Drainage pipes including fittings and fixtures from the Gutter to Ground floor.</t>
    </r>
  </si>
  <si>
    <r>
      <t>2.5mm</t>
    </r>
    <r>
      <rPr>
        <vertAlign val="superscript"/>
        <sz val="9"/>
        <rFont val="Arial"/>
        <family val="2"/>
      </rPr>
      <t>2</t>
    </r>
    <r>
      <rPr>
        <sz val="9"/>
        <rFont val="Arial"/>
        <family val="2"/>
      </rPr>
      <t xml:space="preserve">  Wiring to Light Points</t>
    </r>
  </si>
  <si>
    <r>
      <t>2.5mm</t>
    </r>
    <r>
      <rPr>
        <vertAlign val="superscript"/>
        <sz val="9"/>
        <rFont val="Arial"/>
        <family val="2"/>
      </rPr>
      <t xml:space="preserve">2  </t>
    </r>
    <r>
      <rPr>
        <sz val="9"/>
        <rFont val="Arial"/>
        <family val="2"/>
      </rPr>
      <t>Wiring to Power  Points</t>
    </r>
  </si>
  <si>
    <r>
      <t>16mm</t>
    </r>
    <r>
      <rPr>
        <vertAlign val="superscript"/>
        <sz val="9"/>
        <rFont val="Arial"/>
        <family val="2"/>
      </rPr>
      <t>2</t>
    </r>
    <r>
      <rPr>
        <sz val="9"/>
        <rFont val="Arial"/>
        <family val="2"/>
      </rPr>
      <t xml:space="preserve">  Cabling to DBs</t>
    </r>
  </si>
  <si>
    <t>C1 , 200 x 200mm x 41nos: (4275mm H)</t>
  </si>
  <si>
    <t>C2 , 400 x 200mm x 06nos: (4275mm H)</t>
  </si>
  <si>
    <t>SC, 150 x 150mm x 07nos: (3825mm H)</t>
  </si>
  <si>
    <t>C1 , 200 x 200mm x 41nos: (3500mm H)</t>
  </si>
  <si>
    <t>C2 , 400 x 200mm x 06nos: (3500mm H)</t>
  </si>
  <si>
    <t>SC, 150 x 150mm x 07nos: (3050mm H)</t>
  </si>
  <si>
    <t>f1</t>
  </si>
  <si>
    <t>f2</t>
  </si>
  <si>
    <t>f3</t>
  </si>
  <si>
    <t>f4</t>
  </si>
  <si>
    <t>f5</t>
  </si>
  <si>
    <t>f6</t>
  </si>
  <si>
    <t>f7</t>
  </si>
  <si>
    <t>f8</t>
  </si>
  <si>
    <t>C1 , 200 x 200mm x 41nos:</t>
  </si>
  <si>
    <t>C2, 400 x 200mm x 06nos</t>
  </si>
  <si>
    <t>Logistics</t>
  </si>
  <si>
    <t>Charges for supply of materials including shifting materials and other logistics expenses for the project.</t>
  </si>
  <si>
    <t>1.6</t>
  </si>
  <si>
    <t>Safety - Providing and fixing scaffolding with G.I. pipes and clamps and pvc netting all around building and for the safety of the workers during construction of the project.</t>
  </si>
  <si>
    <t>300 x150 x 200mm  solid block wall - 200mm thick above all foundation beams.</t>
  </si>
  <si>
    <t>200mm thick Block wall with  300x150x200mm solid blocks</t>
  </si>
  <si>
    <t xml:space="preserve">150mm thick block masonry with  300x150x150mm Solid blocks </t>
  </si>
  <si>
    <t>6MM THICK CEMENT BOARD CEILING ON 50 X 35MM THICK TIMBER FRAME</t>
  </si>
  <si>
    <t>First floor- Corridor/Toilet/Wash room/Cleaners</t>
  </si>
  <si>
    <t xml:space="preserve">Supply and Installation of STELCO approved Panel board (weather proof) with 2nos KWH meters. </t>
  </si>
  <si>
    <t>Clearing site - Demolition of Existing building, cutting trees and plants and dispatch all debris, clearing and dispose all unwanted materials away from site and prepare site ready for proposed construction.</t>
  </si>
  <si>
    <t>BILL OF QUANTITIES</t>
  </si>
  <si>
    <t xml:space="preserve">
10 CLASS ROOM BLOCK HDH.KAMUNUDHOO SCHOOL</t>
  </si>
  <si>
    <t>PROJECT: 10 CLASS ROOM BLOCK BUILDING AT HDH.MAKUNUDHOO</t>
  </si>
  <si>
    <t>PROJECT : HDH.MAKUNUDHOO 10 CLASS ROOM BLOCK BUILDING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</si>
</sst>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b/>
      <u/>
      <sz val="12"/>
      <color theme="1"/>
      <name val="Arial"/>
      <family val="2"/>
    </font>
    <font>
      <b/>
      <sz val="9"/>
      <color theme="1"/>
      <name val="Arial"/>
      <family val="2"/>
    </font>
    <font>
      <sz val="9"/>
      <color theme="1"/>
      <name val="Arial"/>
      <family val="2"/>
    </font>
    <font>
      <sz val="9"/>
      <name val="Arial"/>
      <family val="2"/>
    </font>
    <font>
      <b/>
      <u/>
      <sz val="9"/>
      <name val="Arial"/>
      <family val="2"/>
    </font>
    <font>
      <b/>
      <sz val="9"/>
      <name val="Arial"/>
      <family val="2"/>
    </font>
    <font>
      <b/>
      <sz val="9"/>
      <color rgb="FFFF0000"/>
      <name val="Arial"/>
      <family val="2"/>
    </font>
    <font>
      <u/>
      <sz val="9"/>
      <name val="Arial"/>
      <family val="2"/>
    </font>
    <font>
      <sz val="11"/>
      <color theme="1"/>
      <name val="Arial"/>
      <family val="2"/>
    </font>
    <font>
      <b/>
      <u/>
      <sz val="9"/>
      <color theme="1"/>
      <name val="Arial"/>
      <family val="2"/>
    </font>
    <font>
      <vertAlign val="superscript"/>
      <sz val="9"/>
      <color theme="1"/>
      <name val="Arial"/>
      <family val="2"/>
    </font>
    <font>
      <vertAlign val="superscript"/>
      <sz val="9"/>
      <name val="Arial"/>
      <family val="2"/>
    </font>
    <font>
      <u/>
      <sz val="9"/>
      <color theme="1"/>
      <name val="Arial"/>
      <family val="2"/>
    </font>
    <font>
      <b/>
      <u/>
      <sz val="10"/>
      <name val="Arial"/>
      <family val="2"/>
    </font>
    <font>
      <vertAlign val="superscript"/>
      <sz val="10"/>
      <name val="Arial"/>
      <family val="2"/>
    </font>
    <font>
      <u/>
      <sz val="10"/>
      <name val="Arial"/>
      <family val="2"/>
    </font>
    <font>
      <b/>
      <sz val="9"/>
      <color indexed="9"/>
      <name val="Arial"/>
      <family val="2"/>
    </font>
    <font>
      <b/>
      <sz val="10"/>
      <name val="Arial"/>
      <family val="2"/>
    </font>
    <font>
      <sz val="11"/>
      <name val="Calibri"/>
      <family val="2"/>
      <scheme val="minor"/>
    </font>
    <font>
      <b/>
      <sz val="22"/>
      <name val="Arial Black"/>
      <family val="2"/>
    </font>
    <font>
      <sz val="11"/>
      <name val="Arial Black"/>
      <family val="2"/>
    </font>
    <font>
      <b/>
      <u/>
      <sz val="11"/>
      <name val="Arial Black"/>
      <family val="2"/>
    </font>
    <font>
      <b/>
      <sz val="11"/>
      <name val="Arial Black"/>
      <family val="2"/>
    </font>
    <font>
      <b/>
      <sz val="22"/>
      <name val="Arial"/>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6">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right/>
      <top style="medium">
        <color auto="1"/>
      </top>
      <bottom/>
      <diagonal/>
    </border>
    <border>
      <left/>
      <right/>
      <top/>
      <bottom style="medium">
        <color auto="1"/>
      </bottom>
      <diagonal/>
    </border>
    <border>
      <left/>
      <right style="thin">
        <color auto="1"/>
      </right>
      <top style="medium">
        <color auto="1"/>
      </top>
      <bottom/>
      <diagonal/>
    </border>
    <border>
      <left/>
      <right style="thin">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medium">
        <color auto="1"/>
      </right>
      <top style="medium">
        <color auto="1"/>
      </top>
      <bottom style="hair">
        <color auto="1"/>
      </bottom>
      <diagonal/>
    </border>
    <border>
      <left style="medium">
        <color auto="1"/>
      </left>
      <right style="thin">
        <color auto="1"/>
      </right>
      <top/>
      <bottom style="medium">
        <color auto="1"/>
      </bottom>
      <diagonal/>
    </border>
    <border>
      <left style="thin">
        <color auto="1"/>
      </left>
      <right style="medium">
        <color auto="1"/>
      </right>
      <top style="hair">
        <color indexed="64"/>
      </top>
      <bottom style="medium">
        <color auto="1"/>
      </bottom>
      <diagonal/>
    </border>
    <border>
      <left style="thin">
        <color auto="1"/>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indexed="64"/>
      </top>
      <bottom/>
      <diagonal/>
    </border>
    <border>
      <left style="thin">
        <color auto="1"/>
      </left>
      <right style="thin">
        <color auto="1"/>
      </right>
      <top style="thin">
        <color indexed="64"/>
      </top>
      <bottom/>
      <diagonal/>
    </border>
    <border>
      <left style="thin">
        <color auto="1"/>
      </left>
      <right style="medium">
        <color auto="1"/>
      </right>
      <top style="thin">
        <color indexed="64"/>
      </top>
      <bottom/>
      <diagonal/>
    </border>
    <border>
      <left style="thin">
        <color auto="1"/>
      </left>
      <right/>
      <top style="medium">
        <color auto="1"/>
      </top>
      <bottom/>
      <diagonal/>
    </border>
    <border>
      <left style="thin">
        <color auto="1"/>
      </left>
      <right/>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right style="thin">
        <color auto="1"/>
      </right>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469">
    <xf numFmtId="0" fontId="0" fillId="0" borderId="0" xfId="0"/>
    <xf numFmtId="49" fontId="3" fillId="2" borderId="3" xfId="0" applyNumberFormat="1" applyFont="1" applyFill="1" applyBorder="1"/>
    <xf numFmtId="0" fontId="3" fillId="2" borderId="3" xfId="0" applyFont="1" applyFill="1" applyBorder="1"/>
    <xf numFmtId="43"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43"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8" fillId="2" borderId="13" xfId="0" applyNumberFormat="1" applyFont="1" applyFill="1" applyBorder="1"/>
    <xf numFmtId="0" fontId="8" fillId="2" borderId="14" xfId="0" applyFont="1" applyFill="1" applyBorder="1"/>
    <xf numFmtId="0" fontId="9" fillId="2" borderId="15" xfId="0" applyFont="1" applyFill="1" applyBorder="1" applyAlignment="1">
      <alignment horizontal="center"/>
    </xf>
    <xf numFmtId="164" fontId="0" fillId="0" borderId="0" xfId="0" applyNumberFormat="1"/>
    <xf numFmtId="49" fontId="3" fillId="2" borderId="20" xfId="0" applyNumberFormat="1" applyFont="1" applyFill="1" applyBorder="1"/>
    <xf numFmtId="0" fontId="9" fillId="2" borderId="21" xfId="0" applyFont="1" applyFill="1" applyBorder="1" applyAlignment="1">
      <alignment horizontal="center"/>
    </xf>
    <xf numFmtId="43" fontId="9" fillId="2" borderId="22" xfId="0" applyNumberFormat="1" applyFont="1" applyFill="1" applyBorder="1" applyAlignment="1">
      <alignment horizontal="center"/>
    </xf>
    <xf numFmtId="49" fontId="3" fillId="2" borderId="23" xfId="0" applyNumberFormat="1" applyFont="1" applyFill="1" applyBorder="1"/>
    <xf numFmtId="0" fontId="9" fillId="2" borderId="24" xfId="0" applyFont="1" applyFill="1" applyBorder="1" applyAlignment="1">
      <alignment horizontal="center"/>
    </xf>
    <xf numFmtId="43" fontId="9" fillId="2" borderId="25" xfId="0" applyNumberFormat="1" applyFont="1" applyFill="1" applyBorder="1" applyAlignment="1">
      <alignment horizontal="center"/>
    </xf>
    <xf numFmtId="49" fontId="3" fillId="2" borderId="26" xfId="0" applyNumberFormat="1" applyFont="1" applyFill="1" applyBorder="1"/>
    <xf numFmtId="0" fontId="9" fillId="2" borderId="27" xfId="0" applyFont="1" applyFill="1" applyBorder="1" applyAlignment="1">
      <alignment horizontal="center"/>
    </xf>
    <xf numFmtId="43" fontId="9" fillId="2" borderId="28" xfId="0" applyNumberFormat="1" applyFont="1" applyFill="1" applyBorder="1" applyAlignment="1">
      <alignment horizontal="center"/>
    </xf>
    <xf numFmtId="0" fontId="11" fillId="0" borderId="0" xfId="0" applyFont="1"/>
    <xf numFmtId="49" fontId="12" fillId="0" borderId="0" xfId="0" applyNumberFormat="1" applyFont="1"/>
    <xf numFmtId="0" fontId="12" fillId="0" borderId="0" xfId="0" applyFont="1"/>
    <xf numFmtId="0" fontId="12" fillId="0" borderId="0" xfId="0" applyFont="1" applyAlignment="1">
      <alignment horizontal="center"/>
    </xf>
    <xf numFmtId="43" fontId="12" fillId="0" borderId="0" xfId="1" applyNumberFormat="1" applyFont="1"/>
    <xf numFmtId="165" fontId="12" fillId="0" borderId="0" xfId="1" applyNumberFormat="1" applyFont="1"/>
    <xf numFmtId="43" fontId="12" fillId="0" borderId="0" xfId="1" applyFont="1"/>
    <xf numFmtId="0" fontId="12" fillId="0" borderId="0" xfId="0" applyFont="1" applyAlignment="1">
      <alignment horizontal="center" vertical="center"/>
    </xf>
    <xf numFmtId="0" fontId="16" fillId="0" borderId="0" xfId="0" applyFont="1" applyAlignment="1">
      <alignment horizontal="center" vertical="center"/>
    </xf>
    <xf numFmtId="0" fontId="11" fillId="0" borderId="0" xfId="0" applyFont="1" applyAlignment="1">
      <alignment horizontal="center" vertical="center"/>
    </xf>
    <xf numFmtId="0" fontId="18" fillId="0" borderId="2" xfId="0" applyFont="1" applyBorder="1" applyAlignment="1"/>
    <xf numFmtId="43" fontId="12" fillId="0" borderId="0" xfId="0" applyNumberFormat="1" applyFont="1" applyAlignment="1">
      <alignment horizontal="center" vertical="center"/>
    </xf>
    <xf numFmtId="0" fontId="12" fillId="0" borderId="0" xfId="0" applyFont="1" applyAlignment="1">
      <alignment horizontal="center" vertical="top"/>
    </xf>
    <xf numFmtId="43" fontId="12" fillId="0" borderId="0" xfId="0" applyNumberFormat="1" applyFont="1"/>
    <xf numFmtId="164" fontId="12" fillId="0" borderId="0" xfId="0" applyNumberFormat="1" applyFont="1" applyAlignment="1">
      <alignment horizontal="center" vertical="center"/>
    </xf>
    <xf numFmtId="0" fontId="12" fillId="0" borderId="0" xfId="0" applyFont="1" applyBorder="1"/>
    <xf numFmtId="164" fontId="12" fillId="0" borderId="0" xfId="0" applyNumberFormat="1" applyFont="1"/>
    <xf numFmtId="0" fontId="12" fillId="3" borderId="0" xfId="0" applyFont="1" applyFill="1"/>
    <xf numFmtId="166" fontId="12" fillId="0" borderId="0" xfId="0" applyNumberFormat="1" applyFont="1"/>
    <xf numFmtId="0" fontId="12" fillId="0" borderId="0" xfId="0" applyFont="1" applyAlignment="1"/>
    <xf numFmtId="0" fontId="13" fillId="2" borderId="1" xfId="2" applyNumberFormat="1" applyFont="1" applyFill="1" applyBorder="1" applyAlignment="1">
      <alignment horizontal="left" wrapText="1"/>
    </xf>
    <xf numFmtId="0" fontId="12" fillId="0" borderId="1" xfId="0" applyFont="1" applyBorder="1" applyAlignment="1">
      <alignment horizontal="center"/>
    </xf>
    <xf numFmtId="43" fontId="13" fillId="3" borderId="1" xfId="1" applyNumberFormat="1" applyFont="1" applyFill="1" applyBorder="1" applyAlignment="1">
      <alignment horizontal="center"/>
    </xf>
    <xf numFmtId="165" fontId="12" fillId="0" borderId="1" xfId="1" applyNumberFormat="1" applyFont="1" applyBorder="1"/>
    <xf numFmtId="43" fontId="12" fillId="0" borderId="1" xfId="1" applyFont="1" applyBorder="1"/>
    <xf numFmtId="43" fontId="12" fillId="0" borderId="2" xfId="1" applyFont="1" applyBorder="1"/>
    <xf numFmtId="0" fontId="13" fillId="2" borderId="0" xfId="2" applyNumberFormat="1" applyFont="1" applyFill="1" applyBorder="1" applyAlignment="1">
      <alignment horizontal="left" wrapText="1"/>
    </xf>
    <xf numFmtId="0" fontId="12" fillId="0" borderId="0" xfId="0" applyFont="1" applyBorder="1" applyAlignment="1">
      <alignment horizontal="center"/>
    </xf>
    <xf numFmtId="43" fontId="13" fillId="3" borderId="0" xfId="1" applyNumberFormat="1" applyFont="1" applyFill="1" applyBorder="1" applyAlignment="1">
      <alignment horizontal="center"/>
    </xf>
    <xf numFmtId="165" fontId="12" fillId="0" borderId="0" xfId="1" applyNumberFormat="1" applyFont="1" applyBorder="1"/>
    <xf numFmtId="43" fontId="12" fillId="0" borderId="0" xfId="1" applyFont="1" applyBorder="1"/>
    <xf numFmtId="164" fontId="12" fillId="0" borderId="0" xfId="0" applyNumberFormat="1" applyFont="1" applyAlignment="1"/>
    <xf numFmtId="43" fontId="12" fillId="0" borderId="0" xfId="0" applyNumberFormat="1" applyFont="1" applyAlignment="1"/>
    <xf numFmtId="0" fontId="12" fillId="0" borderId="1" xfId="0" applyFont="1" applyBorder="1"/>
    <xf numFmtId="43" fontId="12" fillId="0" borderId="1" xfId="1" applyNumberFormat="1" applyFont="1" applyBorder="1"/>
    <xf numFmtId="0" fontId="12" fillId="0" borderId="0" xfId="0" applyFont="1" applyAlignment="1">
      <alignment vertical="top"/>
    </xf>
    <xf numFmtId="43" fontId="11" fillId="0" borderId="1" xfId="1" applyNumberFormat="1" applyFont="1" applyBorder="1"/>
    <xf numFmtId="0" fontId="19" fillId="6" borderId="1" xfId="0" applyFont="1" applyFill="1" applyBorder="1"/>
    <xf numFmtId="43" fontId="11" fillId="6" borderId="1" xfId="1" applyNumberFormat="1" applyFont="1" applyFill="1" applyBorder="1"/>
    <xf numFmtId="43" fontId="12" fillId="0" borderId="0" xfId="1" applyNumberFormat="1" applyFont="1" applyBorder="1"/>
    <xf numFmtId="0" fontId="12" fillId="0" borderId="0" xfId="0" applyFont="1" applyAlignment="1">
      <alignment horizontal="left"/>
    </xf>
    <xf numFmtId="0" fontId="28" fillId="0" borderId="29" xfId="0" applyFont="1" applyBorder="1"/>
    <xf numFmtId="0" fontId="28" fillId="0" borderId="0" xfId="0" applyFont="1"/>
    <xf numFmtId="0" fontId="28" fillId="0" borderId="30" xfId="0" applyFont="1" applyBorder="1"/>
    <xf numFmtId="0" fontId="30" fillId="0" borderId="30" xfId="0" applyFont="1" applyBorder="1"/>
    <xf numFmtId="0" fontId="29" fillId="0" borderId="30" xfId="0" applyFont="1" applyBorder="1" applyAlignment="1">
      <alignment horizontal="center" vertical="center" wrapText="1"/>
    </xf>
    <xf numFmtId="0" fontId="28" fillId="0" borderId="0" xfId="0" applyFont="1" applyAlignment="1">
      <alignment vertical="center"/>
    </xf>
    <xf numFmtId="0" fontId="31" fillId="0" borderId="30" xfId="0" applyFont="1" applyBorder="1" applyAlignment="1">
      <alignment horizontal="center"/>
    </xf>
    <xf numFmtId="0" fontId="30" fillId="0" borderId="30" xfId="0" applyFont="1" applyBorder="1" applyAlignment="1">
      <alignment horizontal="center"/>
    </xf>
    <xf numFmtId="0" fontId="32" fillId="0" borderId="0" xfId="0" applyFont="1" applyAlignment="1">
      <alignment horizontal="center"/>
    </xf>
    <xf numFmtId="0" fontId="30" fillId="0" borderId="0" xfId="0" applyFont="1"/>
    <xf numFmtId="0" fontId="33" fillId="0" borderId="30" xfId="0" applyFont="1" applyBorder="1" applyAlignment="1">
      <alignment horizontal="center"/>
    </xf>
    <xf numFmtId="49" fontId="13" fillId="2" borderId="35" xfId="2" applyNumberFormat="1" applyFont="1" applyFill="1" applyBorder="1" applyAlignment="1">
      <alignment horizontal="center" vertical="justify"/>
    </xf>
    <xf numFmtId="0" fontId="14" fillId="2" borderId="32" xfId="2" quotePrefix="1" applyNumberFormat="1" applyFont="1" applyFill="1" applyBorder="1" applyAlignment="1">
      <alignment horizontal="center"/>
    </xf>
    <xf numFmtId="43" fontId="15" fillId="2" borderId="32" xfId="2" applyFont="1" applyFill="1" applyBorder="1" applyAlignment="1">
      <alignment horizontal="center"/>
    </xf>
    <xf numFmtId="43" fontId="15" fillId="3" borderId="32" xfId="1" applyNumberFormat="1" applyFont="1" applyFill="1" applyBorder="1" applyAlignment="1">
      <alignment horizontal="center"/>
    </xf>
    <xf numFmtId="165" fontId="13" fillId="2" borderId="32" xfId="1" applyNumberFormat="1" applyFont="1" applyFill="1" applyBorder="1" applyAlignment="1">
      <alignment horizontal="center"/>
    </xf>
    <xf numFmtId="43" fontId="12" fillId="0" borderId="32" xfId="1" applyFont="1" applyBorder="1" applyAlignment="1">
      <alignment horizontal="center" vertical="center" wrapText="1"/>
    </xf>
    <xf numFmtId="43" fontId="12" fillId="0" borderId="36" xfId="1" applyFont="1" applyBorder="1" applyAlignment="1">
      <alignment horizontal="center" vertical="center" wrapText="1"/>
    </xf>
    <xf numFmtId="49" fontId="13" fillId="2" borderId="37" xfId="2" applyNumberFormat="1" applyFont="1" applyFill="1" applyBorder="1" applyAlignment="1">
      <alignment horizontal="center" vertical="justify"/>
    </xf>
    <xf numFmtId="0" fontId="14" fillId="2" borderId="38" xfId="2" applyNumberFormat="1" applyFont="1" applyFill="1" applyBorder="1" applyAlignment="1">
      <alignment horizontal="center"/>
    </xf>
    <xf numFmtId="43" fontId="15" fillId="2" borderId="38" xfId="2" applyFont="1" applyFill="1" applyBorder="1" applyAlignment="1">
      <alignment horizontal="center"/>
    </xf>
    <xf numFmtId="43" fontId="15" fillId="3" borderId="38" xfId="1" applyNumberFormat="1" applyFont="1" applyFill="1" applyBorder="1" applyAlignment="1">
      <alignment horizontal="center"/>
    </xf>
    <xf numFmtId="165" fontId="13" fillId="2" borderId="38" xfId="1" applyNumberFormat="1" applyFont="1" applyFill="1" applyBorder="1" applyAlignment="1">
      <alignment horizontal="center"/>
    </xf>
    <xf numFmtId="43" fontId="12" fillId="0" borderId="38" xfId="1" applyFont="1" applyBorder="1" applyAlignment="1">
      <alignment horizontal="center" vertical="center" wrapText="1"/>
    </xf>
    <xf numFmtId="43" fontId="12" fillId="0" borderId="39" xfId="1" applyFont="1" applyBorder="1" applyAlignment="1">
      <alignment horizontal="center" vertical="center" wrapText="1"/>
    </xf>
    <xf numFmtId="0" fontId="15" fillId="2" borderId="38" xfId="2" applyNumberFormat="1" applyFont="1" applyFill="1" applyBorder="1" applyAlignment="1">
      <alignment horizontal="left"/>
    </xf>
    <xf numFmtId="0" fontId="14" fillId="2" borderId="38" xfId="2" applyNumberFormat="1" applyFont="1" applyFill="1" applyBorder="1" applyAlignment="1">
      <alignment horizontal="left"/>
    </xf>
    <xf numFmtId="49" fontId="13" fillId="2" borderId="37" xfId="2" quotePrefix="1" applyNumberFormat="1" applyFont="1" applyFill="1" applyBorder="1" applyAlignment="1">
      <alignment horizontal="center" vertical="justify"/>
    </xf>
    <xf numFmtId="0" fontId="17" fillId="2" borderId="38" xfId="2" applyNumberFormat="1" applyFont="1" applyFill="1" applyBorder="1" applyAlignment="1">
      <alignment horizontal="left"/>
    </xf>
    <xf numFmtId="0" fontId="13" fillId="2" borderId="38" xfId="2" applyNumberFormat="1" applyFont="1" applyFill="1" applyBorder="1" applyAlignment="1">
      <alignment horizontal="left"/>
    </xf>
    <xf numFmtId="0" fontId="14" fillId="2" borderId="38" xfId="2" applyNumberFormat="1" applyFont="1" applyFill="1" applyBorder="1"/>
    <xf numFmtId="43" fontId="13" fillId="2" borderId="38" xfId="2" applyFont="1" applyFill="1" applyBorder="1" applyAlignment="1">
      <alignment horizontal="center"/>
    </xf>
    <xf numFmtId="43" fontId="13" fillId="3" borderId="38" xfId="1" applyNumberFormat="1" applyFont="1" applyFill="1" applyBorder="1" applyAlignment="1">
      <alignment horizontal="center"/>
    </xf>
    <xf numFmtId="0" fontId="13" fillId="2" borderId="38" xfId="2" applyNumberFormat="1" applyFont="1" applyFill="1" applyBorder="1" applyAlignment="1">
      <alignment horizontal="justify"/>
    </xf>
    <xf numFmtId="43" fontId="12" fillId="0" borderId="38" xfId="1" applyFont="1" applyBorder="1"/>
    <xf numFmtId="43" fontId="12" fillId="0" borderId="39" xfId="1" applyFont="1" applyBorder="1"/>
    <xf numFmtId="0" fontId="13" fillId="2" borderId="38" xfId="2" applyNumberFormat="1" applyFont="1" applyFill="1" applyBorder="1"/>
    <xf numFmtId="0" fontId="17" fillId="2" borderId="38" xfId="2" applyNumberFormat="1" applyFont="1" applyFill="1" applyBorder="1"/>
    <xf numFmtId="0" fontId="13" fillId="2" borderId="38" xfId="2" applyNumberFormat="1" applyFont="1" applyFill="1" applyBorder="1" applyAlignment="1">
      <alignment wrapText="1"/>
    </xf>
    <xf numFmtId="49" fontId="13" fillId="2" borderId="37" xfId="2" applyNumberFormat="1" applyFont="1" applyFill="1" applyBorder="1" applyAlignment="1">
      <alignment horizontal="center" vertical="top"/>
    </xf>
    <xf numFmtId="0" fontId="14" fillId="2" borderId="38" xfId="2" applyNumberFormat="1" applyFont="1" applyFill="1" applyBorder="1" applyAlignment="1">
      <alignment vertical="top"/>
    </xf>
    <xf numFmtId="43" fontId="13" fillId="2" borderId="38" xfId="2" applyFont="1" applyFill="1" applyBorder="1" applyAlignment="1">
      <alignment horizontal="center" vertical="top"/>
    </xf>
    <xf numFmtId="43" fontId="13" fillId="3" borderId="38" xfId="1" applyNumberFormat="1" applyFont="1" applyFill="1" applyBorder="1" applyAlignment="1">
      <alignment horizontal="center" vertical="top"/>
    </xf>
    <xf numFmtId="0" fontId="13" fillId="2" borderId="38" xfId="2" applyNumberFormat="1" applyFont="1" applyFill="1" applyBorder="1" applyAlignment="1">
      <alignment vertical="top" wrapText="1"/>
    </xf>
    <xf numFmtId="0" fontId="15" fillId="2" borderId="32" xfId="2" quotePrefix="1" applyNumberFormat="1" applyFont="1" applyFill="1" applyBorder="1" applyAlignment="1">
      <alignment horizontal="left"/>
    </xf>
    <xf numFmtId="0" fontId="13" fillId="3" borderId="32" xfId="3" applyFont="1" applyFill="1" applyBorder="1" applyAlignment="1">
      <alignment horizontal="center"/>
    </xf>
    <xf numFmtId="43" fontId="13" fillId="3" borderId="32" xfId="1" applyNumberFormat="1" applyFont="1" applyFill="1" applyBorder="1" applyAlignment="1">
      <alignment horizontal="center"/>
    </xf>
    <xf numFmtId="43" fontId="12" fillId="0" borderId="40" xfId="1" applyFont="1" applyBorder="1" applyAlignment="1">
      <alignment horizontal="center" vertical="center" wrapText="1"/>
    </xf>
    <xf numFmtId="49" fontId="13" fillId="2" borderId="41" xfId="2" applyNumberFormat="1" applyFont="1" applyFill="1" applyBorder="1" applyAlignment="1">
      <alignment horizontal="center" vertical="justify"/>
    </xf>
    <xf numFmtId="0" fontId="15" fillId="2" borderId="33" xfId="2" quotePrefix="1" applyNumberFormat="1" applyFont="1" applyFill="1" applyBorder="1" applyAlignment="1">
      <alignment horizontal="left"/>
    </xf>
    <xf numFmtId="0" fontId="13" fillId="4" borderId="33" xfId="3" applyFont="1" applyFill="1" applyBorder="1" applyAlignment="1">
      <alignment horizontal="center"/>
    </xf>
    <xf numFmtId="43" fontId="13" fillId="3" borderId="33" xfId="1" applyNumberFormat="1" applyFont="1" applyFill="1" applyBorder="1" applyAlignment="1">
      <alignment horizontal="center"/>
    </xf>
    <xf numFmtId="165" fontId="13" fillId="2" borderId="33" xfId="1" applyNumberFormat="1" applyFont="1" applyFill="1" applyBorder="1" applyAlignment="1">
      <alignment horizontal="center"/>
    </xf>
    <xf numFmtId="43" fontId="12" fillId="0" borderId="33" xfId="1" applyFont="1" applyBorder="1" applyAlignment="1">
      <alignment horizontal="center" vertical="center" wrapText="1"/>
    </xf>
    <xf numFmtId="43" fontId="11" fillId="0" borderId="42" xfId="1" applyFont="1" applyBorder="1" applyAlignment="1">
      <alignment horizontal="center" vertical="center" wrapText="1"/>
    </xf>
    <xf numFmtId="0" fontId="15" fillId="2" borderId="38" xfId="2" quotePrefix="1" applyNumberFormat="1" applyFont="1" applyFill="1" applyBorder="1" applyAlignment="1">
      <alignment horizontal="left"/>
    </xf>
    <xf numFmtId="0" fontId="13" fillId="3" borderId="38" xfId="3" applyFont="1" applyFill="1" applyBorder="1" applyAlignment="1">
      <alignment horizontal="center"/>
    </xf>
    <xf numFmtId="0" fontId="13" fillId="2" borderId="38" xfId="2" quotePrefix="1" applyNumberFormat="1" applyFont="1" applyFill="1" applyBorder="1" applyAlignment="1">
      <alignment wrapText="1"/>
    </xf>
    <xf numFmtId="0" fontId="13" fillId="2" borderId="38" xfId="2" quotePrefix="1" applyNumberFormat="1" applyFont="1" applyFill="1" applyBorder="1" applyAlignment="1"/>
    <xf numFmtId="0" fontId="13" fillId="2" borderId="39" xfId="2" quotePrefix="1" applyNumberFormat="1" applyFont="1" applyFill="1" applyBorder="1" applyAlignment="1"/>
    <xf numFmtId="49" fontId="12" fillId="0" borderId="37" xfId="0" applyNumberFormat="1" applyFont="1" applyBorder="1" applyAlignment="1">
      <alignment horizontal="center" vertical="center"/>
    </xf>
    <xf numFmtId="0" fontId="12" fillId="0" borderId="38" xfId="0" applyFont="1" applyBorder="1" applyAlignment="1">
      <alignment horizontal="center" vertical="center"/>
    </xf>
    <xf numFmtId="43" fontId="12" fillId="0" borderId="38" xfId="0" applyNumberFormat="1" applyFont="1" applyBorder="1" applyAlignment="1">
      <alignment horizontal="center" vertical="center"/>
    </xf>
    <xf numFmtId="165" fontId="12" fillId="0" borderId="38" xfId="0" applyNumberFormat="1" applyFont="1" applyBorder="1" applyAlignment="1">
      <alignment horizontal="center" vertical="center"/>
    </xf>
    <xf numFmtId="0" fontId="12" fillId="0" borderId="39" xfId="0" applyFont="1" applyBorder="1" applyAlignment="1">
      <alignment horizontal="center" vertical="center"/>
    </xf>
    <xf numFmtId="0" fontId="14" fillId="2" borderId="38" xfId="2" applyNumberFormat="1" applyFont="1" applyFill="1" applyBorder="1" applyAlignment="1">
      <alignment horizontal="justify"/>
    </xf>
    <xf numFmtId="43" fontId="12" fillId="0" borderId="38" xfId="1" applyNumberFormat="1" applyFont="1" applyBorder="1"/>
    <xf numFmtId="165" fontId="12" fillId="0" borderId="38" xfId="1" applyNumberFormat="1" applyFont="1" applyBorder="1"/>
    <xf numFmtId="43" fontId="13" fillId="3" borderId="38" xfId="2" applyNumberFormat="1" applyFont="1" applyFill="1" applyBorder="1" applyAlignment="1">
      <alignment horizontal="center"/>
    </xf>
    <xf numFmtId="43" fontId="14" fillId="2" borderId="38" xfId="2" applyFont="1" applyFill="1" applyBorder="1" applyAlignment="1">
      <alignment horizontal="justify" vertical="top"/>
    </xf>
    <xf numFmtId="43" fontId="13" fillId="3" borderId="38" xfId="1" applyNumberFormat="1" applyFont="1" applyFill="1" applyBorder="1" applyAlignment="1">
      <alignment horizontal="right"/>
    </xf>
    <xf numFmtId="43" fontId="13" fillId="2" borderId="38" xfId="2" applyFont="1" applyFill="1" applyBorder="1" applyAlignment="1">
      <alignment horizontal="justify" vertical="top"/>
    </xf>
    <xf numFmtId="0" fontId="13" fillId="2" borderId="38" xfId="2" applyNumberFormat="1" applyFont="1" applyFill="1" applyBorder="1" applyAlignment="1">
      <alignment horizontal="justify" vertical="top" wrapText="1"/>
    </xf>
    <xf numFmtId="0" fontId="14" fillId="2" borderId="38" xfId="2" applyNumberFormat="1" applyFont="1" applyFill="1" applyBorder="1" applyAlignment="1">
      <alignment horizontal="justify" vertical="top"/>
    </xf>
    <xf numFmtId="0" fontId="13" fillId="2" borderId="38" xfId="2" quotePrefix="1" applyNumberFormat="1" applyFont="1" applyFill="1" applyBorder="1" applyAlignment="1">
      <alignment vertical="justify"/>
    </xf>
    <xf numFmtId="0" fontId="17" fillId="2" borderId="38" xfId="2" quotePrefix="1" applyNumberFormat="1" applyFont="1" applyFill="1" applyBorder="1" applyAlignment="1">
      <alignment horizontal="left" vertical="top"/>
    </xf>
    <xf numFmtId="49" fontId="13" fillId="2" borderId="37" xfId="2" applyNumberFormat="1" applyFont="1" applyFill="1" applyBorder="1" applyAlignment="1">
      <alignment horizontal="center"/>
    </xf>
    <xf numFmtId="0" fontId="13" fillId="2" borderId="38" xfId="2" applyNumberFormat="1" applyFont="1" applyFill="1" applyBorder="1" applyAlignment="1">
      <alignment horizontal="left" wrapText="1"/>
    </xf>
    <xf numFmtId="43" fontId="12" fillId="0" borderId="38" xfId="1" applyFont="1" applyBorder="1" applyAlignment="1"/>
    <xf numFmtId="43" fontId="12" fillId="0" borderId="39" xfId="1" applyFont="1" applyBorder="1" applyAlignment="1"/>
    <xf numFmtId="0" fontId="13" fillId="2" borderId="38" xfId="2" applyNumberFormat="1" applyFont="1" applyFill="1" applyBorder="1" applyAlignment="1">
      <alignment horizontal="left" vertical="top" wrapText="1"/>
    </xf>
    <xf numFmtId="0" fontId="14" fillId="2" borderId="38" xfId="2" applyNumberFormat="1" applyFont="1" applyFill="1" applyBorder="1" applyAlignment="1">
      <alignment horizontal="left" vertical="top" wrapText="1"/>
    </xf>
    <xf numFmtId="0" fontId="13" fillId="2" borderId="38" xfId="2" quotePrefix="1" applyNumberFormat="1" applyFont="1" applyFill="1" applyBorder="1" applyAlignment="1">
      <alignment vertical="top" wrapText="1"/>
    </xf>
    <xf numFmtId="0" fontId="13" fillId="2" borderId="38" xfId="2" quotePrefix="1" applyNumberFormat="1" applyFont="1" applyFill="1" applyBorder="1" applyAlignment="1">
      <alignment vertical="top"/>
    </xf>
    <xf numFmtId="0" fontId="13" fillId="2" borderId="38" xfId="2" applyNumberFormat="1" applyFont="1" applyFill="1" applyBorder="1" applyAlignment="1">
      <alignment vertical="top"/>
    </xf>
    <xf numFmtId="0" fontId="13" fillId="2" borderId="38" xfId="2" applyNumberFormat="1" applyFont="1" applyFill="1" applyBorder="1" applyAlignment="1">
      <alignment horizontal="justify" vertical="top"/>
    </xf>
    <xf numFmtId="0" fontId="13" fillId="2" borderId="38" xfId="2" quotePrefix="1" applyNumberFormat="1" applyFont="1" applyFill="1" applyBorder="1" applyAlignment="1">
      <alignment horizontal="justify" vertical="top"/>
    </xf>
    <xf numFmtId="43" fontId="13" fillId="2" borderId="32" xfId="2" applyFont="1" applyFill="1" applyBorder="1" applyAlignment="1">
      <alignment horizontal="center"/>
    </xf>
    <xf numFmtId="43" fontId="13" fillId="2" borderId="33" xfId="2" applyFont="1" applyFill="1" applyBorder="1" applyAlignment="1">
      <alignment horizontal="center"/>
    </xf>
    <xf numFmtId="0" fontId="14" fillId="2" borderId="38" xfId="2" applyNumberFormat="1" applyFont="1" applyFill="1" applyBorder="1" applyAlignment="1">
      <alignment horizontal="center" vertical="top"/>
    </xf>
    <xf numFmtId="0" fontId="13" fillId="2" borderId="39" xfId="2" quotePrefix="1" applyNumberFormat="1" applyFont="1" applyFill="1" applyBorder="1" applyAlignment="1">
      <alignment vertical="top"/>
    </xf>
    <xf numFmtId="49" fontId="15" fillId="5" borderId="37" xfId="2" applyNumberFormat="1" applyFont="1" applyFill="1" applyBorder="1" applyAlignment="1">
      <alignment horizontal="center" vertical="justify"/>
    </xf>
    <xf numFmtId="0" fontId="14" fillId="5" borderId="38" xfId="2" applyNumberFormat="1" applyFont="1" applyFill="1" applyBorder="1" applyAlignment="1">
      <alignment horizontal="justify" vertical="top"/>
    </xf>
    <xf numFmtId="43" fontId="13" fillId="5" borderId="38" xfId="2" applyNumberFormat="1" applyFont="1" applyFill="1" applyBorder="1" applyAlignment="1">
      <alignment horizontal="center"/>
    </xf>
    <xf numFmtId="43" fontId="13" fillId="5" borderId="38" xfId="1" applyNumberFormat="1" applyFont="1" applyFill="1" applyBorder="1" applyAlignment="1">
      <alignment horizontal="center"/>
    </xf>
    <xf numFmtId="165" fontId="13" fillId="5" borderId="38" xfId="1" applyNumberFormat="1" applyFont="1" applyFill="1" applyBorder="1" applyAlignment="1">
      <alignment horizontal="center"/>
    </xf>
    <xf numFmtId="43" fontId="12" fillId="5" borderId="38" xfId="1" applyFont="1" applyFill="1" applyBorder="1" applyAlignment="1">
      <alignment horizontal="center" vertical="center" wrapText="1"/>
    </xf>
    <xf numFmtId="43" fontId="12" fillId="5" borderId="39" xfId="1" applyFont="1" applyFill="1" applyBorder="1" applyAlignment="1">
      <alignment horizontal="center" vertical="center" wrapText="1"/>
    </xf>
    <xf numFmtId="165" fontId="13" fillId="2" borderId="38" xfId="1" applyNumberFormat="1" applyFont="1" applyFill="1" applyBorder="1" applyAlignment="1">
      <alignment horizontal="center" vertical="top"/>
    </xf>
    <xf numFmtId="43" fontId="12" fillId="0" borderId="38" xfId="1" applyFont="1" applyBorder="1" applyAlignment="1">
      <alignment horizontal="center" vertical="top" wrapText="1"/>
    </xf>
    <xf numFmtId="43" fontId="12" fillId="0" borderId="39" xfId="1" applyFont="1" applyBorder="1" applyAlignment="1">
      <alignment horizontal="center" vertical="top" wrapText="1"/>
    </xf>
    <xf numFmtId="49" fontId="13" fillId="5" borderId="37" xfId="2" applyNumberFormat="1" applyFont="1" applyFill="1" applyBorder="1" applyAlignment="1">
      <alignment horizontal="center"/>
    </xf>
    <xf numFmtId="0" fontId="14" fillId="5" borderId="38" xfId="2" applyNumberFormat="1" applyFont="1" applyFill="1" applyBorder="1" applyAlignment="1">
      <alignment horizontal="left" vertical="top"/>
    </xf>
    <xf numFmtId="43" fontId="13" fillId="5" borderId="38" xfId="2" applyFont="1" applyFill="1" applyBorder="1" applyAlignment="1">
      <alignment horizontal="center"/>
    </xf>
    <xf numFmtId="49" fontId="11" fillId="6" borderId="37" xfId="0" applyNumberFormat="1" applyFont="1" applyFill="1" applyBorder="1"/>
    <xf numFmtId="0" fontId="19" fillId="6" borderId="38" xfId="0" applyFont="1" applyFill="1" applyBorder="1" applyAlignment="1">
      <alignment wrapText="1"/>
    </xf>
    <xf numFmtId="0" fontId="11" fillId="6" borderId="38" xfId="0" applyFont="1" applyFill="1" applyBorder="1" applyAlignment="1">
      <alignment horizontal="center"/>
    </xf>
    <xf numFmtId="43" fontId="11" fillId="6" borderId="38" xfId="1" applyNumberFormat="1" applyFont="1" applyFill="1" applyBorder="1"/>
    <xf numFmtId="165" fontId="11" fillId="6" borderId="38" xfId="1" applyNumberFormat="1" applyFont="1" applyFill="1" applyBorder="1"/>
    <xf numFmtId="43" fontId="11" fillId="6" borderId="38" xfId="1" applyFont="1" applyFill="1" applyBorder="1"/>
    <xf numFmtId="43" fontId="11" fillId="6" borderId="39" xfId="1" applyFont="1" applyFill="1" applyBorder="1"/>
    <xf numFmtId="49" fontId="11" fillId="0" borderId="37" xfId="0" applyNumberFormat="1" applyFont="1" applyBorder="1"/>
    <xf numFmtId="0" fontId="19" fillId="0" borderId="38" xfId="0" applyFont="1" applyBorder="1" applyAlignment="1">
      <alignment wrapText="1"/>
    </xf>
    <xf numFmtId="0" fontId="11" fillId="0" borderId="38" xfId="0" applyFont="1" applyBorder="1" applyAlignment="1">
      <alignment horizontal="center"/>
    </xf>
    <xf numFmtId="43" fontId="11" fillId="0" borderId="38" xfId="1" applyNumberFormat="1" applyFont="1" applyBorder="1"/>
    <xf numFmtId="165" fontId="11" fillId="0" borderId="38" xfId="1" applyNumberFormat="1" applyFont="1" applyBorder="1"/>
    <xf numFmtId="43" fontId="11" fillId="0" borderId="38" xfId="1" applyFont="1" applyBorder="1"/>
    <xf numFmtId="43" fontId="11" fillId="0" borderId="39" xfId="1" applyFont="1" applyBorder="1"/>
    <xf numFmtId="49" fontId="12" fillId="0" borderId="37" xfId="0" applyNumberFormat="1" applyFont="1" applyBorder="1"/>
    <xf numFmtId="0" fontId="12" fillId="0" borderId="38" xfId="0" applyFont="1" applyBorder="1" applyAlignment="1">
      <alignment wrapText="1"/>
    </xf>
    <xf numFmtId="0" fontId="12" fillId="0" borderId="38" xfId="0" applyFont="1" applyBorder="1" applyAlignment="1">
      <alignment horizontal="center"/>
    </xf>
    <xf numFmtId="49" fontId="12" fillId="0" borderId="41" xfId="0" applyNumberFormat="1" applyFont="1" applyBorder="1"/>
    <xf numFmtId="0" fontId="12" fillId="0" borderId="33" xfId="0" applyFont="1" applyBorder="1" applyAlignment="1">
      <alignment wrapText="1"/>
    </xf>
    <xf numFmtId="0" fontId="12" fillId="0" borderId="33" xfId="0" applyFont="1" applyBorder="1" applyAlignment="1">
      <alignment horizontal="center"/>
    </xf>
    <xf numFmtId="43" fontId="12" fillId="0" borderId="33" xfId="1" applyNumberFormat="1" applyFont="1" applyBorder="1"/>
    <xf numFmtId="43" fontId="12" fillId="0" borderId="33" xfId="1" applyFont="1" applyBorder="1"/>
    <xf numFmtId="43" fontId="12" fillId="0" borderId="43" xfId="1" applyFont="1" applyBorder="1"/>
    <xf numFmtId="0" fontId="14" fillId="5" borderId="38" xfId="2" applyNumberFormat="1" applyFont="1" applyFill="1" applyBorder="1" applyAlignment="1">
      <alignment horizontal="center" vertical="top"/>
    </xf>
    <xf numFmtId="43" fontId="15" fillId="5" borderId="39" xfId="1" applyNumberFormat="1" applyFont="1" applyFill="1" applyBorder="1"/>
    <xf numFmtId="0" fontId="13" fillId="2" borderId="39" xfId="2" applyNumberFormat="1" applyFont="1" applyFill="1" applyBorder="1" applyAlignment="1">
      <alignment vertical="top" wrapText="1"/>
    </xf>
    <xf numFmtId="0" fontId="13" fillId="2" borderId="39" xfId="2" applyNumberFormat="1" applyFont="1" applyFill="1" applyBorder="1" applyAlignment="1">
      <alignment wrapText="1"/>
    </xf>
    <xf numFmtId="49" fontId="13" fillId="2" borderId="38" xfId="2" applyNumberFormat="1" applyFont="1" applyFill="1" applyBorder="1" applyAlignment="1">
      <alignment horizontal="center"/>
    </xf>
    <xf numFmtId="49" fontId="13" fillId="2" borderId="33" xfId="2" applyNumberFormat="1" applyFont="1" applyFill="1" applyBorder="1" applyAlignment="1">
      <alignment horizontal="center"/>
    </xf>
    <xf numFmtId="49" fontId="12" fillId="0" borderId="44" xfId="0" applyNumberFormat="1" applyFont="1" applyBorder="1"/>
    <xf numFmtId="0" fontId="12" fillId="0" borderId="45" xfId="0" applyFont="1" applyBorder="1" applyAlignment="1">
      <alignment wrapText="1"/>
    </xf>
    <xf numFmtId="49" fontId="13" fillId="2" borderId="45" xfId="2" applyNumberFormat="1" applyFont="1" applyFill="1" applyBorder="1" applyAlignment="1">
      <alignment horizontal="center"/>
    </xf>
    <xf numFmtId="43" fontId="12" fillId="0" borderId="45" xfId="1" applyNumberFormat="1" applyFont="1" applyBorder="1"/>
    <xf numFmtId="165" fontId="13" fillId="2" borderId="45" xfId="1" applyNumberFormat="1" applyFont="1" applyFill="1" applyBorder="1" applyAlignment="1">
      <alignment horizontal="center"/>
    </xf>
    <xf numFmtId="43" fontId="12" fillId="0" borderId="45" xfId="1" applyFont="1" applyBorder="1"/>
    <xf numFmtId="43" fontId="12" fillId="0" borderId="46" xfId="1" applyFont="1" applyBorder="1"/>
    <xf numFmtId="0" fontId="12" fillId="6" borderId="38" xfId="0" applyFont="1" applyFill="1" applyBorder="1" applyAlignment="1">
      <alignment horizontal="center"/>
    </xf>
    <xf numFmtId="43" fontId="12" fillId="6" borderId="38" xfId="1" applyNumberFormat="1" applyFont="1" applyFill="1" applyBorder="1"/>
    <xf numFmtId="165" fontId="12" fillId="6" borderId="38" xfId="1" applyNumberFormat="1" applyFont="1" applyFill="1" applyBorder="1"/>
    <xf numFmtId="43" fontId="12" fillId="6" borderId="38" xfId="1" applyFont="1" applyFill="1" applyBorder="1"/>
    <xf numFmtId="43" fontId="12" fillId="6" borderId="39" xfId="1" applyFont="1" applyFill="1" applyBorder="1"/>
    <xf numFmtId="0" fontId="22" fillId="0" borderId="38" xfId="0" applyFont="1" applyBorder="1" applyAlignment="1">
      <alignment wrapText="1"/>
    </xf>
    <xf numFmtId="49" fontId="11" fillId="3" borderId="37" xfId="0" applyNumberFormat="1" applyFont="1" applyFill="1" applyBorder="1"/>
    <xf numFmtId="0" fontId="19" fillId="3" borderId="38" xfId="0" applyFont="1" applyFill="1" applyBorder="1" applyAlignment="1">
      <alignment wrapText="1"/>
    </xf>
    <xf numFmtId="0" fontId="11" fillId="3" borderId="38" xfId="0" applyFont="1" applyFill="1" applyBorder="1" applyAlignment="1">
      <alignment horizontal="center"/>
    </xf>
    <xf numFmtId="43" fontId="11" fillId="3" borderId="38" xfId="1" applyNumberFormat="1" applyFont="1" applyFill="1" applyBorder="1"/>
    <xf numFmtId="165" fontId="11" fillId="3" borderId="38" xfId="1" applyNumberFormat="1" applyFont="1" applyFill="1" applyBorder="1"/>
    <xf numFmtId="49" fontId="12" fillId="3" borderId="37" xfId="0" applyNumberFormat="1" applyFont="1" applyFill="1" applyBorder="1"/>
    <xf numFmtId="0" fontId="12" fillId="3" borderId="38" xfId="0" applyFont="1" applyFill="1" applyBorder="1" applyAlignment="1">
      <alignment wrapText="1"/>
    </xf>
    <xf numFmtId="0" fontId="12" fillId="3" borderId="38" xfId="0" applyFont="1" applyFill="1" applyBorder="1" applyAlignment="1">
      <alignment horizontal="center"/>
    </xf>
    <xf numFmtId="43" fontId="12" fillId="3" borderId="38" xfId="1" applyNumberFormat="1" applyFont="1" applyFill="1" applyBorder="1"/>
    <xf numFmtId="165" fontId="12" fillId="3" borderId="38" xfId="1" applyNumberFormat="1" applyFont="1" applyFill="1" applyBorder="1"/>
    <xf numFmtId="43" fontId="12" fillId="3" borderId="38" xfId="1" applyFont="1" applyFill="1" applyBorder="1"/>
    <xf numFmtId="43" fontId="12" fillId="3" borderId="39" xfId="1" applyFont="1" applyFill="1" applyBorder="1"/>
    <xf numFmtId="49" fontId="12" fillId="3" borderId="35" xfId="0" applyNumberFormat="1" applyFont="1" applyFill="1" applyBorder="1"/>
    <xf numFmtId="0" fontId="12" fillId="3" borderId="32" xfId="0" applyFont="1" applyFill="1" applyBorder="1" applyAlignment="1">
      <alignment wrapText="1"/>
    </xf>
    <xf numFmtId="0" fontId="12" fillId="3" borderId="32" xfId="0" applyFont="1" applyFill="1" applyBorder="1" applyAlignment="1">
      <alignment horizontal="center"/>
    </xf>
    <xf numFmtId="43" fontId="12" fillId="3" borderId="32" xfId="1" applyNumberFormat="1" applyFont="1" applyFill="1" applyBorder="1"/>
    <xf numFmtId="165" fontId="12" fillId="3" borderId="32" xfId="1" applyNumberFormat="1" applyFont="1" applyFill="1" applyBorder="1"/>
    <xf numFmtId="43" fontId="12" fillId="3" borderId="32" xfId="1" applyFont="1" applyFill="1" applyBorder="1"/>
    <xf numFmtId="43" fontId="12" fillId="0" borderId="36" xfId="1" applyFont="1" applyBorder="1"/>
    <xf numFmtId="165" fontId="12" fillId="0" borderId="33" xfId="1" applyNumberFormat="1" applyFont="1" applyBorder="1"/>
    <xf numFmtId="0" fontId="12" fillId="0" borderId="45" xfId="0" applyFont="1" applyBorder="1" applyAlignment="1">
      <alignment horizontal="center"/>
    </xf>
    <xf numFmtId="165" fontId="12" fillId="0" borderId="45" xfId="1" applyNumberFormat="1" applyFont="1" applyBorder="1"/>
    <xf numFmtId="49" fontId="11" fillId="0" borderId="37" xfId="0" applyNumberFormat="1" applyFont="1" applyBorder="1" applyAlignment="1">
      <alignment vertical="top"/>
    </xf>
    <xf numFmtId="49" fontId="12" fillId="0" borderId="37" xfId="0" applyNumberFormat="1" applyFont="1" applyBorder="1" applyAlignment="1">
      <alignment vertical="top"/>
    </xf>
    <xf numFmtId="0" fontId="13" fillId="3" borderId="38" xfId="3" applyFont="1" applyFill="1" applyBorder="1" applyAlignment="1">
      <alignment horizontal="left" wrapText="1"/>
    </xf>
    <xf numFmtId="43" fontId="13" fillId="3" borderId="38" xfId="1" applyFont="1" applyFill="1" applyBorder="1" applyAlignment="1">
      <alignment horizontal="center"/>
    </xf>
    <xf numFmtId="0" fontId="11" fillId="0" borderId="38" xfId="0" applyFont="1" applyBorder="1" applyAlignment="1">
      <alignment wrapText="1"/>
    </xf>
    <xf numFmtId="43" fontId="12" fillId="0" borderId="32" xfId="1" applyFont="1" applyBorder="1"/>
    <xf numFmtId="43" fontId="11" fillId="0" borderId="43" xfId="1" applyFont="1" applyBorder="1"/>
    <xf numFmtId="0" fontId="14" fillId="2" borderId="38" xfId="2" quotePrefix="1" applyNumberFormat="1" applyFont="1" applyFill="1" applyBorder="1" applyAlignment="1">
      <alignment horizontal="center"/>
    </xf>
    <xf numFmtId="49" fontId="15" fillId="2" borderId="37" xfId="2" applyNumberFormat="1" applyFont="1" applyFill="1" applyBorder="1" applyAlignment="1">
      <alignment horizontal="center" vertical="justify"/>
    </xf>
    <xf numFmtId="0" fontId="13" fillId="2" borderId="38" xfId="2" applyNumberFormat="1" applyFont="1" applyFill="1" applyBorder="1" applyAlignment="1"/>
    <xf numFmtId="0" fontId="13" fillId="2" borderId="39" xfId="2" applyNumberFormat="1" applyFont="1" applyFill="1" applyBorder="1" applyAlignment="1"/>
    <xf numFmtId="0" fontId="19" fillId="0" borderId="38" xfId="0" applyFont="1" applyBorder="1"/>
    <xf numFmtId="0" fontId="19" fillId="6" borderId="38" xfId="0" applyFont="1" applyFill="1" applyBorder="1"/>
    <xf numFmtId="0" fontId="11" fillId="0" borderId="38" xfId="0" applyFont="1" applyBorder="1"/>
    <xf numFmtId="0" fontId="12" fillId="0" borderId="38" xfId="0" applyFont="1" applyBorder="1"/>
    <xf numFmtId="0" fontId="12" fillId="0" borderId="33" xfId="0" applyFont="1" applyBorder="1"/>
    <xf numFmtId="0" fontId="14" fillId="5" borderId="38" xfId="2" applyNumberFormat="1" applyFont="1" applyFill="1" applyBorder="1" applyAlignment="1">
      <alignment horizontal="center"/>
    </xf>
    <xf numFmtId="43" fontId="15" fillId="5" borderId="39" xfId="2" applyFont="1" applyFill="1" applyBorder="1"/>
    <xf numFmtId="43" fontId="11" fillId="0" borderId="38" xfId="1" applyFont="1" applyBorder="1" applyAlignment="1"/>
    <xf numFmtId="49" fontId="15" fillId="3" borderId="37" xfId="2" applyNumberFormat="1" applyFont="1" applyFill="1" applyBorder="1" applyAlignment="1">
      <alignment horizontal="center" vertical="justify"/>
    </xf>
    <xf numFmtId="0" fontId="14" fillId="3" borderId="38" xfId="2" quotePrefix="1" applyNumberFormat="1" applyFont="1" applyFill="1" applyBorder="1" applyAlignment="1">
      <alignment horizontal="center"/>
    </xf>
    <xf numFmtId="43" fontId="15" fillId="3" borderId="38" xfId="2" applyFont="1" applyFill="1" applyBorder="1" applyAlignment="1">
      <alignment horizontal="center"/>
    </xf>
    <xf numFmtId="165" fontId="13" fillId="3" borderId="38" xfId="1" applyNumberFormat="1" applyFont="1" applyFill="1" applyBorder="1" applyAlignment="1">
      <alignment horizontal="center"/>
    </xf>
    <xf numFmtId="0" fontId="14" fillId="3" borderId="38" xfId="2" applyNumberFormat="1" applyFont="1" applyFill="1" applyBorder="1" applyAlignment="1">
      <alignment horizontal="center"/>
    </xf>
    <xf numFmtId="49" fontId="15" fillId="10" borderId="37" xfId="2" applyNumberFormat="1" applyFont="1" applyFill="1" applyBorder="1" applyAlignment="1">
      <alignment horizontal="center"/>
    </xf>
    <xf numFmtId="0" fontId="14" fillId="10" borderId="38" xfId="2" applyNumberFormat="1" applyFont="1" applyFill="1" applyBorder="1" applyAlignment="1">
      <alignment horizontal="left" wrapText="1"/>
    </xf>
    <xf numFmtId="43" fontId="15" fillId="10" borderId="38" xfId="2" applyFont="1" applyFill="1" applyBorder="1" applyAlignment="1">
      <alignment horizontal="center"/>
    </xf>
    <xf numFmtId="43" fontId="15" fillId="10" borderId="38" xfId="1" applyNumberFormat="1" applyFont="1" applyFill="1" applyBorder="1" applyAlignment="1">
      <alignment horizontal="center"/>
    </xf>
    <xf numFmtId="165" fontId="13" fillId="10" borderId="38" xfId="1" applyNumberFormat="1" applyFont="1" applyFill="1" applyBorder="1" applyAlignment="1">
      <alignment horizontal="center"/>
    </xf>
    <xf numFmtId="43" fontId="12" fillId="10" borderId="38" xfId="1" applyFont="1" applyFill="1" applyBorder="1"/>
    <xf numFmtId="43" fontId="12" fillId="10" borderId="39" xfId="1" applyFont="1" applyFill="1" applyBorder="1"/>
    <xf numFmtId="49" fontId="2" fillId="3" borderId="37" xfId="0" applyNumberFormat="1" applyFont="1" applyFill="1" applyBorder="1" applyAlignment="1">
      <alignment horizontal="center" vertical="center"/>
    </xf>
    <xf numFmtId="0" fontId="23" fillId="3" borderId="38" xfId="0" applyFont="1" applyFill="1" applyBorder="1" applyAlignment="1">
      <alignment vertical="center" wrapText="1"/>
    </xf>
    <xf numFmtId="0" fontId="2" fillId="3" borderId="38" xfId="0" applyFont="1" applyFill="1" applyBorder="1" applyAlignment="1">
      <alignment horizontal="center" vertical="center"/>
    </xf>
    <xf numFmtId="43" fontId="2" fillId="3" borderId="38" xfId="0" applyNumberFormat="1" applyFont="1" applyFill="1" applyBorder="1" applyAlignment="1">
      <alignment horizontal="center" vertical="center"/>
    </xf>
    <xf numFmtId="49" fontId="2" fillId="6" borderId="37" xfId="0" applyNumberFormat="1" applyFont="1" applyFill="1" applyBorder="1" applyAlignment="1">
      <alignment horizontal="center" vertical="center"/>
    </xf>
    <xf numFmtId="0" fontId="23" fillId="6" borderId="38" xfId="0" applyFont="1" applyFill="1" applyBorder="1" applyAlignment="1">
      <alignment vertical="center" wrapText="1"/>
    </xf>
    <xf numFmtId="0" fontId="2" fillId="6" borderId="38" xfId="0" applyFont="1" applyFill="1" applyBorder="1" applyAlignment="1">
      <alignment horizontal="center" vertical="center"/>
    </xf>
    <xf numFmtId="43" fontId="2" fillId="6" borderId="38" xfId="0" applyNumberFormat="1" applyFont="1" applyFill="1" applyBorder="1" applyAlignment="1">
      <alignment horizontal="center" vertical="center"/>
    </xf>
    <xf numFmtId="0" fontId="2" fillId="3" borderId="38" xfId="0" applyFont="1" applyFill="1" applyBorder="1" applyAlignment="1">
      <alignment vertical="center" wrapText="1"/>
    </xf>
    <xf numFmtId="43" fontId="13" fillId="10" borderId="38" xfId="2" applyFont="1" applyFill="1" applyBorder="1" applyAlignment="1">
      <alignment horizontal="center"/>
    </xf>
    <xf numFmtId="43" fontId="13" fillId="10" borderId="38" xfId="1" applyNumberFormat="1" applyFont="1" applyFill="1" applyBorder="1" applyAlignment="1">
      <alignment horizontal="center"/>
    </xf>
    <xf numFmtId="49" fontId="15" fillId="2" borderId="37" xfId="2" applyNumberFormat="1" applyFont="1" applyFill="1" applyBorder="1" applyAlignment="1">
      <alignment horizontal="center"/>
    </xf>
    <xf numFmtId="165" fontId="13" fillId="6" borderId="38" xfId="1" applyNumberFormat="1" applyFont="1" applyFill="1" applyBorder="1" applyAlignment="1">
      <alignment horizontal="center"/>
    </xf>
    <xf numFmtId="0" fontId="25" fillId="3" borderId="38" xfId="0" applyFont="1" applyFill="1" applyBorder="1" applyAlignment="1">
      <alignment vertical="center" wrapText="1"/>
    </xf>
    <xf numFmtId="49" fontId="2" fillId="3" borderId="41" xfId="0" applyNumberFormat="1" applyFont="1" applyFill="1" applyBorder="1" applyAlignment="1">
      <alignment horizontal="center" vertical="center"/>
    </xf>
    <xf numFmtId="0" fontId="2" fillId="3" borderId="33" xfId="0" applyFont="1" applyFill="1" applyBorder="1" applyAlignment="1">
      <alignment vertical="center" wrapText="1"/>
    </xf>
    <xf numFmtId="0" fontId="2" fillId="3" borderId="33" xfId="0" applyFont="1" applyFill="1" applyBorder="1" applyAlignment="1">
      <alignment horizontal="center" vertical="center"/>
    </xf>
    <xf numFmtId="43" fontId="2" fillId="3" borderId="33" xfId="0" applyNumberFormat="1" applyFont="1" applyFill="1" applyBorder="1" applyAlignment="1">
      <alignment horizontal="center" vertical="center"/>
    </xf>
    <xf numFmtId="165" fontId="12" fillId="3" borderId="33" xfId="1" applyNumberFormat="1" applyFont="1" applyFill="1" applyBorder="1"/>
    <xf numFmtId="43" fontId="12" fillId="3" borderId="33" xfId="1" applyFont="1" applyFill="1" applyBorder="1"/>
    <xf numFmtId="43" fontId="12" fillId="3" borderId="43" xfId="1" applyFont="1" applyFill="1" applyBorder="1"/>
    <xf numFmtId="49" fontId="15" fillId="5" borderId="37" xfId="2" applyNumberFormat="1" applyFont="1" applyFill="1" applyBorder="1" applyAlignment="1">
      <alignment horizontal="center"/>
    </xf>
    <xf numFmtId="0" fontId="14" fillId="5" borderId="38" xfId="2" applyNumberFormat="1" applyFont="1" applyFill="1" applyBorder="1" applyAlignment="1">
      <alignment horizontal="left" wrapText="1"/>
    </xf>
    <xf numFmtId="43" fontId="12" fillId="5" borderId="38" xfId="1" applyFont="1" applyFill="1" applyBorder="1"/>
    <xf numFmtId="43" fontId="12" fillId="5" borderId="39" xfId="1" applyFont="1" applyFill="1" applyBorder="1"/>
    <xf numFmtId="49" fontId="15" fillId="3" borderId="37" xfId="2" applyNumberFormat="1" applyFont="1" applyFill="1" applyBorder="1" applyAlignment="1">
      <alignment horizontal="center"/>
    </xf>
    <xf numFmtId="0" fontId="13" fillId="3" borderId="38" xfId="2" applyNumberFormat="1" applyFont="1" applyFill="1" applyBorder="1" applyAlignment="1">
      <alignment horizontal="left" wrapText="1"/>
    </xf>
    <xf numFmtId="43" fontId="13" fillId="3" borderId="38" xfId="2" applyFont="1" applyFill="1" applyBorder="1" applyAlignment="1">
      <alignment horizontal="center"/>
    </xf>
    <xf numFmtId="49" fontId="13" fillId="3" borderId="37" xfId="2" applyNumberFormat="1" applyFont="1" applyFill="1" applyBorder="1" applyAlignment="1">
      <alignment horizontal="center" vertical="top"/>
    </xf>
    <xf numFmtId="49" fontId="13" fillId="2" borderId="44" xfId="2" applyNumberFormat="1" applyFont="1" applyFill="1" applyBorder="1" applyAlignment="1">
      <alignment horizontal="center" vertical="justify"/>
    </xf>
    <xf numFmtId="0" fontId="15" fillId="2" borderId="45" xfId="2" applyNumberFormat="1" applyFont="1" applyFill="1" applyBorder="1" applyAlignment="1"/>
    <xf numFmtId="0" fontId="15" fillId="2" borderId="46" xfId="2" applyNumberFormat="1" applyFont="1" applyFill="1" applyBorder="1" applyAlignment="1"/>
    <xf numFmtId="0" fontId="15" fillId="2" borderId="38" xfId="2" applyNumberFormat="1" applyFont="1" applyFill="1" applyBorder="1" applyAlignment="1">
      <alignment horizontal="left" wrapText="1"/>
    </xf>
    <xf numFmtId="0" fontId="15" fillId="2" borderId="38" xfId="2" applyNumberFormat="1" applyFont="1" applyFill="1" applyBorder="1" applyAlignment="1"/>
    <xf numFmtId="0" fontId="15" fillId="2" borderId="39" xfId="2" applyNumberFormat="1" applyFont="1" applyFill="1" applyBorder="1" applyAlignment="1"/>
    <xf numFmtId="49" fontId="15" fillId="6" borderId="37" xfId="2" applyNumberFormat="1" applyFont="1" applyFill="1" applyBorder="1" applyAlignment="1">
      <alignment horizontal="center" vertical="justify"/>
    </xf>
    <xf numFmtId="0" fontId="14" fillId="6" borderId="38" xfId="2" applyNumberFormat="1" applyFont="1" applyFill="1" applyBorder="1" applyAlignment="1">
      <alignment horizontal="left" vertical="top"/>
    </xf>
    <xf numFmtId="43" fontId="13" fillId="6" borderId="38" xfId="2" applyFont="1" applyFill="1" applyBorder="1" applyAlignment="1">
      <alignment horizontal="center"/>
    </xf>
    <xf numFmtId="43" fontId="13" fillId="6" borderId="38" xfId="1" applyNumberFormat="1" applyFont="1" applyFill="1" applyBorder="1" applyAlignment="1">
      <alignment horizontal="center"/>
    </xf>
    <xf numFmtId="49" fontId="15" fillId="8" borderId="37" xfId="2" applyNumberFormat="1" applyFont="1" applyFill="1" applyBorder="1" applyAlignment="1">
      <alignment horizontal="center" vertical="justify"/>
    </xf>
    <xf numFmtId="0" fontId="14" fillId="8" borderId="38" xfId="2" applyNumberFormat="1" applyFont="1" applyFill="1" applyBorder="1" applyAlignment="1">
      <alignment horizontal="left" vertical="top"/>
    </xf>
    <xf numFmtId="43" fontId="13" fillId="8" borderId="38" xfId="2" applyFont="1" applyFill="1" applyBorder="1" applyAlignment="1">
      <alignment horizontal="center"/>
    </xf>
    <xf numFmtId="43" fontId="13" fillId="8" borderId="38" xfId="1" applyNumberFormat="1" applyFont="1" applyFill="1" applyBorder="1" applyAlignment="1">
      <alignment horizontal="center"/>
    </xf>
    <xf numFmtId="165" fontId="13" fillId="8" borderId="38" xfId="1" applyNumberFormat="1" applyFont="1" applyFill="1" applyBorder="1" applyAlignment="1">
      <alignment horizontal="center"/>
    </xf>
    <xf numFmtId="43" fontId="12" fillId="8" borderId="38" xfId="1" applyFont="1" applyFill="1" applyBorder="1"/>
    <xf numFmtId="43" fontId="12" fillId="8" borderId="39" xfId="1" applyFont="1" applyFill="1" applyBorder="1"/>
    <xf numFmtId="0" fontId="13" fillId="0" borderId="38" xfId="3" applyFont="1" applyBorder="1" applyAlignment="1">
      <alignment horizontal="left" wrapText="1"/>
    </xf>
    <xf numFmtId="0" fontId="13" fillId="0" borderId="38" xfId="3" applyFont="1" applyFill="1" applyBorder="1" applyAlignment="1">
      <alignment horizontal="center"/>
    </xf>
    <xf numFmtId="49" fontId="13" fillId="2" borderId="41" xfId="2" applyNumberFormat="1" applyFont="1" applyFill="1" applyBorder="1" applyAlignment="1">
      <alignment horizontal="center" vertical="top"/>
    </xf>
    <xf numFmtId="0" fontId="13" fillId="0" borderId="33" xfId="3" applyFont="1" applyBorder="1" applyAlignment="1">
      <alignment horizontal="left" wrapText="1"/>
    </xf>
    <xf numFmtId="0" fontId="13" fillId="0" borderId="33" xfId="3" applyFont="1" applyFill="1" applyBorder="1" applyAlignment="1">
      <alignment horizontal="center"/>
    </xf>
    <xf numFmtId="43" fontId="12" fillId="0" borderId="33" xfId="1" applyFont="1" applyBorder="1" applyAlignment="1"/>
    <xf numFmtId="43" fontId="12" fillId="0" borderId="43" xfId="1" applyFont="1" applyBorder="1" applyAlignment="1"/>
    <xf numFmtId="49" fontId="15" fillId="2" borderId="35" xfId="2" applyNumberFormat="1" applyFont="1" applyFill="1" applyBorder="1" applyAlignment="1">
      <alignment horizontal="center" vertical="justify"/>
    </xf>
    <xf numFmtId="49" fontId="15" fillId="2" borderId="41" xfId="2" applyNumberFormat="1" applyFont="1" applyFill="1" applyBorder="1" applyAlignment="1">
      <alignment horizontal="center" vertical="justify"/>
    </xf>
    <xf numFmtId="43" fontId="15" fillId="2" borderId="33" xfId="2" applyFont="1" applyFill="1" applyBorder="1" applyAlignment="1">
      <alignment horizontal="center"/>
    </xf>
    <xf numFmtId="43" fontId="15" fillId="3" borderId="33" xfId="1" applyNumberFormat="1" applyFont="1" applyFill="1" applyBorder="1" applyAlignment="1">
      <alignment horizontal="center"/>
    </xf>
    <xf numFmtId="0" fontId="13" fillId="7" borderId="38" xfId="1" applyNumberFormat="1" applyFont="1" applyFill="1" applyBorder="1" applyAlignment="1">
      <alignment vertical="center" wrapText="1"/>
    </xf>
    <xf numFmtId="0" fontId="13" fillId="7" borderId="38" xfId="1" applyNumberFormat="1" applyFont="1" applyFill="1" applyBorder="1" applyAlignment="1">
      <alignment vertical="center"/>
    </xf>
    <xf numFmtId="0" fontId="13" fillId="7" borderId="39" xfId="1" applyNumberFormat="1" applyFont="1" applyFill="1" applyBorder="1" applyAlignment="1">
      <alignment vertical="center"/>
    </xf>
    <xf numFmtId="0" fontId="13" fillId="0" borderId="38" xfId="0" applyFont="1" applyBorder="1" applyAlignment="1">
      <alignment vertical="center" wrapText="1"/>
    </xf>
    <xf numFmtId="0" fontId="13" fillId="0" borderId="39" xfId="0" applyFont="1" applyBorder="1" applyAlignment="1">
      <alignment vertical="center" wrapText="1"/>
    </xf>
    <xf numFmtId="0" fontId="13" fillId="2" borderId="45" xfId="3" applyNumberFormat="1" applyFont="1" applyFill="1" applyBorder="1" applyAlignment="1">
      <alignment wrapText="1"/>
    </xf>
    <xf numFmtId="0" fontId="13" fillId="2" borderId="46" xfId="3" applyNumberFormat="1" applyFont="1" applyFill="1" applyBorder="1" applyAlignment="1">
      <alignment wrapText="1"/>
    </xf>
    <xf numFmtId="49" fontId="15" fillId="5" borderId="47" xfId="2" applyNumberFormat="1" applyFont="1" applyFill="1" applyBorder="1" applyAlignment="1">
      <alignment horizontal="center" vertical="justify"/>
    </xf>
    <xf numFmtId="0" fontId="14" fillId="5" borderId="48" xfId="2" applyNumberFormat="1" applyFont="1" applyFill="1" applyBorder="1" applyAlignment="1">
      <alignment horizontal="left"/>
    </xf>
    <xf numFmtId="43" fontId="13" fillId="5" borderId="48" xfId="2" applyFont="1" applyFill="1" applyBorder="1" applyAlignment="1">
      <alignment horizontal="center"/>
    </xf>
    <xf numFmtId="43" fontId="13" fillId="5" borderId="48" xfId="1" applyNumberFormat="1" applyFont="1" applyFill="1" applyBorder="1" applyAlignment="1">
      <alignment horizontal="center"/>
    </xf>
    <xf numFmtId="165" fontId="13" fillId="5" borderId="48" xfId="1" applyNumberFormat="1" applyFont="1" applyFill="1" applyBorder="1" applyAlignment="1">
      <alignment horizontal="center"/>
    </xf>
    <xf numFmtId="43" fontId="15" fillId="5" borderId="49" xfId="2" applyFont="1" applyFill="1" applyBorder="1"/>
    <xf numFmtId="0" fontId="15" fillId="6" borderId="38" xfId="3" applyFont="1" applyFill="1" applyBorder="1" applyAlignment="1">
      <alignment horizontal="center"/>
    </xf>
    <xf numFmtId="43" fontId="15" fillId="6" borderId="38" xfId="1" applyNumberFormat="1" applyFont="1" applyFill="1" applyBorder="1" applyAlignment="1">
      <alignment horizontal="center"/>
    </xf>
    <xf numFmtId="165" fontId="15" fillId="6" borderId="38" xfId="1" applyNumberFormat="1" applyFont="1" applyFill="1" applyBorder="1" applyAlignment="1">
      <alignment horizontal="center"/>
    </xf>
    <xf numFmtId="0" fontId="13" fillId="3" borderId="38" xfId="2" applyNumberFormat="1" applyFont="1" applyFill="1" applyBorder="1" applyAlignment="1">
      <alignment horizontal="justify"/>
    </xf>
    <xf numFmtId="0" fontId="14" fillId="5" borderId="38" xfId="2" applyNumberFormat="1" applyFont="1" applyFill="1" applyBorder="1" applyAlignment="1">
      <alignment horizontal="left"/>
    </xf>
    <xf numFmtId="0" fontId="13" fillId="2" borderId="39" xfId="2" applyNumberFormat="1" applyFont="1" applyFill="1" applyBorder="1" applyAlignment="1">
      <alignment vertical="top"/>
    </xf>
    <xf numFmtId="0" fontId="13" fillId="2" borderId="38" xfId="3" applyFont="1" applyFill="1" applyBorder="1" applyAlignment="1">
      <alignment horizontal="left" wrapText="1"/>
    </xf>
    <xf numFmtId="0" fontId="13" fillId="0" borderId="38" xfId="3" applyFont="1" applyBorder="1" applyAlignment="1">
      <alignment horizontal="center"/>
    </xf>
    <xf numFmtId="0" fontId="14" fillId="6" borderId="38" xfId="2" applyNumberFormat="1" applyFont="1" applyFill="1" applyBorder="1" applyAlignment="1">
      <alignment horizontal="left"/>
    </xf>
    <xf numFmtId="0" fontId="13" fillId="6" borderId="38" xfId="2" applyNumberFormat="1" applyFont="1" applyFill="1" applyBorder="1" applyAlignment="1">
      <alignment horizontal="center"/>
    </xf>
    <xf numFmtId="43" fontId="13" fillId="6" borderId="39" xfId="2" applyFont="1" applyFill="1" applyBorder="1"/>
    <xf numFmtId="49" fontId="15" fillId="2" borderId="37" xfId="3" applyNumberFormat="1" applyFont="1" applyFill="1" applyBorder="1" applyAlignment="1">
      <alignment horizontal="center"/>
    </xf>
    <xf numFmtId="0" fontId="14" fillId="0" borderId="38" xfId="3" applyFont="1" applyFill="1" applyBorder="1" applyAlignment="1">
      <alignment horizontal="left" wrapText="1"/>
    </xf>
    <xf numFmtId="0" fontId="26" fillId="0" borderId="38" xfId="3" applyFont="1" applyFill="1" applyBorder="1" applyAlignment="1">
      <alignment horizontal="center"/>
    </xf>
    <xf numFmtId="43" fontId="26" fillId="3" borderId="38" xfId="1" applyNumberFormat="1" applyFont="1" applyFill="1" applyBorder="1" applyAlignment="1">
      <alignment horizontal="center"/>
    </xf>
    <xf numFmtId="165" fontId="15" fillId="2" borderId="38" xfId="1" applyNumberFormat="1" applyFont="1" applyFill="1" applyBorder="1" applyAlignment="1">
      <alignment horizontal="center"/>
    </xf>
    <xf numFmtId="49" fontId="15" fillId="6" borderId="37" xfId="1" applyNumberFormat="1" applyFont="1" applyFill="1" applyBorder="1" applyAlignment="1">
      <alignment horizontal="left" vertical="justify"/>
    </xf>
    <xf numFmtId="0" fontId="14" fillId="6" borderId="38" xfId="2" applyNumberFormat="1" applyFont="1" applyFill="1" applyBorder="1" applyAlignment="1">
      <alignment horizontal="justify"/>
    </xf>
    <xf numFmtId="43" fontId="15" fillId="6" borderId="38" xfId="2" applyFont="1" applyFill="1" applyBorder="1" applyAlignment="1">
      <alignment horizontal="center"/>
    </xf>
    <xf numFmtId="43" fontId="15" fillId="6" borderId="38" xfId="1" applyFont="1" applyFill="1" applyBorder="1" applyAlignment="1">
      <alignment horizontal="center"/>
    </xf>
    <xf numFmtId="49" fontId="15" fillId="10" borderId="37" xfId="1" applyNumberFormat="1" applyFont="1" applyFill="1" applyBorder="1" applyAlignment="1">
      <alignment horizontal="left" vertical="justify"/>
    </xf>
    <xf numFmtId="0" fontId="14" fillId="10" borderId="38" xfId="2" applyNumberFormat="1" applyFont="1" applyFill="1" applyBorder="1" applyAlignment="1">
      <alignment horizontal="justify"/>
    </xf>
    <xf numFmtId="43" fontId="13" fillId="10" borderId="38" xfId="1" applyFont="1" applyFill="1" applyBorder="1" applyAlignment="1">
      <alignment horizontal="center"/>
    </xf>
    <xf numFmtId="43" fontId="15" fillId="10" borderId="39" xfId="2" applyFont="1" applyFill="1" applyBorder="1"/>
    <xf numFmtId="49" fontId="13" fillId="3" borderId="37" xfId="1" applyNumberFormat="1" applyFont="1" applyFill="1" applyBorder="1" applyAlignment="1">
      <alignment horizontal="left" vertical="justify"/>
    </xf>
    <xf numFmtId="0" fontId="14" fillId="10" borderId="38" xfId="2" applyNumberFormat="1" applyFont="1" applyFill="1" applyBorder="1" applyAlignment="1">
      <alignment horizontal="left"/>
    </xf>
    <xf numFmtId="0" fontId="14" fillId="10" borderId="38" xfId="3" applyFont="1" applyFill="1" applyBorder="1" applyAlignment="1">
      <alignment horizontal="left" wrapText="1"/>
    </xf>
    <xf numFmtId="0" fontId="15" fillId="10" borderId="38" xfId="3" applyFont="1" applyFill="1" applyBorder="1" applyAlignment="1">
      <alignment horizontal="center"/>
    </xf>
    <xf numFmtId="49" fontId="13" fillId="3" borderId="41" xfId="1" applyNumberFormat="1" applyFont="1" applyFill="1" applyBorder="1" applyAlignment="1">
      <alignment horizontal="left" vertical="justify"/>
    </xf>
    <xf numFmtId="0" fontId="13" fillId="3" borderId="33" xfId="3" applyFont="1" applyFill="1" applyBorder="1" applyAlignment="1">
      <alignment horizontal="left" wrapText="1"/>
    </xf>
    <xf numFmtId="43" fontId="13" fillId="3" borderId="33" xfId="1" applyFont="1" applyFill="1" applyBorder="1" applyAlignment="1">
      <alignment horizontal="center"/>
    </xf>
    <xf numFmtId="49" fontId="15" fillId="2" borderId="37" xfId="2" applyNumberFormat="1" applyFont="1" applyFill="1" applyBorder="1" applyAlignment="1">
      <alignment horizontal="left" vertical="justify"/>
    </xf>
    <xf numFmtId="43" fontId="13" fillId="2" borderId="38" xfId="1" applyNumberFormat="1" applyFont="1" applyFill="1" applyBorder="1" applyAlignment="1">
      <alignment horizontal="center"/>
    </xf>
    <xf numFmtId="49" fontId="13" fillId="2" borderId="37" xfId="2" applyNumberFormat="1" applyFont="1" applyFill="1" applyBorder="1" applyAlignment="1">
      <alignment horizontal="left" vertical="justify"/>
    </xf>
    <xf numFmtId="49" fontId="13" fillId="2" borderId="37" xfId="2" applyNumberFormat="1" applyFont="1" applyFill="1" applyBorder="1" applyAlignment="1">
      <alignment horizontal="left"/>
    </xf>
    <xf numFmtId="0" fontId="15" fillId="2" borderId="38" xfId="2" applyNumberFormat="1" applyFont="1" applyFill="1" applyBorder="1" applyAlignment="1">
      <alignment wrapText="1"/>
    </xf>
    <xf numFmtId="49" fontId="15" fillId="9" borderId="37" xfId="1" applyNumberFormat="1" applyFont="1" applyFill="1" applyBorder="1" applyAlignment="1">
      <alignment horizontal="left" vertical="justify"/>
    </xf>
    <xf numFmtId="0" fontId="14" fillId="9" borderId="38" xfId="2" applyNumberFormat="1" applyFont="1" applyFill="1" applyBorder="1" applyAlignment="1">
      <alignment horizontal="justify"/>
    </xf>
    <xf numFmtId="43" fontId="15" fillId="9" borderId="38" xfId="2" applyFont="1" applyFill="1" applyBorder="1" applyAlignment="1">
      <alignment horizontal="center"/>
    </xf>
    <xf numFmtId="43" fontId="15" fillId="9" borderId="38" xfId="1" applyFont="1" applyFill="1" applyBorder="1" applyAlignment="1">
      <alignment horizontal="center"/>
    </xf>
    <xf numFmtId="165" fontId="15" fillId="9" borderId="38" xfId="1" applyNumberFormat="1" applyFont="1" applyFill="1" applyBorder="1" applyAlignment="1">
      <alignment horizontal="center"/>
    </xf>
    <xf numFmtId="43" fontId="12" fillId="9" borderId="38" xfId="1" applyFont="1" applyFill="1" applyBorder="1"/>
    <xf numFmtId="43" fontId="12" fillId="9" borderId="39" xfId="1" applyFont="1" applyFill="1" applyBorder="1"/>
    <xf numFmtId="49" fontId="27" fillId="3" borderId="37" xfId="0" applyNumberFormat="1" applyFont="1" applyFill="1" applyBorder="1" applyAlignment="1">
      <alignment horizontal="center" vertical="top"/>
    </xf>
    <xf numFmtId="0" fontId="23" fillId="3" borderId="38" xfId="0" applyFont="1" applyFill="1" applyBorder="1" applyAlignment="1">
      <alignment vertical="justify" wrapText="1"/>
    </xf>
    <xf numFmtId="49" fontId="2" fillId="3" borderId="37" xfId="0" applyNumberFormat="1" applyFont="1" applyFill="1" applyBorder="1" applyAlignment="1">
      <alignment horizontal="center" vertical="top"/>
    </xf>
    <xf numFmtId="0" fontId="2" fillId="3" borderId="38" xfId="0" applyFont="1" applyFill="1" applyBorder="1" applyAlignment="1">
      <alignment wrapText="1"/>
    </xf>
    <xf numFmtId="0" fontId="2" fillId="3" borderId="38" xfId="0" applyFont="1" applyFill="1" applyBorder="1" applyAlignment="1">
      <alignment horizontal="center"/>
    </xf>
    <xf numFmtId="43" fontId="2" fillId="3" borderId="38" xfId="0" applyNumberFormat="1" applyFont="1" applyFill="1" applyBorder="1" applyAlignment="1">
      <alignment horizontal="center"/>
    </xf>
    <xf numFmtId="43" fontId="13" fillId="3" borderId="38" xfId="1" applyNumberFormat="1" applyFont="1" applyFill="1" applyBorder="1" applyAlignment="1"/>
    <xf numFmtId="43" fontId="11" fillId="3" borderId="39" xfId="1" applyFont="1" applyFill="1" applyBorder="1" applyAlignment="1"/>
    <xf numFmtId="0" fontId="2" fillId="3" borderId="38" xfId="0" applyFont="1" applyFill="1" applyBorder="1" applyAlignment="1">
      <alignment vertical="justify" wrapText="1"/>
    </xf>
    <xf numFmtId="0" fontId="27" fillId="3" borderId="38" xfId="0" applyFont="1" applyFill="1" applyBorder="1" applyAlignment="1">
      <alignment horizontal="center" vertical="center"/>
    </xf>
    <xf numFmtId="43" fontId="27" fillId="3" borderId="38" xfId="0" applyNumberFormat="1" applyFont="1" applyFill="1" applyBorder="1" applyAlignment="1">
      <alignment horizontal="center" vertical="center"/>
    </xf>
    <xf numFmtId="43" fontId="11" fillId="3" borderId="39" xfId="1" applyFont="1" applyFill="1" applyBorder="1"/>
    <xf numFmtId="49" fontId="2" fillId="3" borderId="35" xfId="0" applyNumberFormat="1" applyFont="1" applyFill="1" applyBorder="1" applyAlignment="1">
      <alignment horizontal="center" vertical="top"/>
    </xf>
    <xf numFmtId="0" fontId="2" fillId="3" borderId="32" xfId="0" applyFont="1" applyFill="1" applyBorder="1" applyAlignment="1">
      <alignment vertical="justify" wrapText="1"/>
    </xf>
    <xf numFmtId="0" fontId="2" fillId="3" borderId="32" xfId="0" applyFont="1" applyFill="1" applyBorder="1" applyAlignment="1">
      <alignment horizontal="center" vertical="center"/>
    </xf>
    <xf numFmtId="43" fontId="2" fillId="3" borderId="32" xfId="0" applyNumberFormat="1" applyFont="1" applyFill="1" applyBorder="1" applyAlignment="1">
      <alignment horizontal="center" vertical="center"/>
    </xf>
    <xf numFmtId="165" fontId="13" fillId="3" borderId="32" xfId="1" applyNumberFormat="1" applyFont="1" applyFill="1" applyBorder="1" applyAlignment="1">
      <alignment horizontal="center"/>
    </xf>
    <xf numFmtId="43" fontId="13" fillId="3" borderId="32" xfId="1" applyNumberFormat="1" applyFont="1" applyFill="1" applyBorder="1" applyAlignment="1"/>
    <xf numFmtId="43" fontId="11" fillId="3" borderId="36" xfId="1" applyFont="1" applyFill="1" applyBorder="1"/>
    <xf numFmtId="0" fontId="12" fillId="0" borderId="32" xfId="0" applyFont="1" applyBorder="1" applyAlignment="1">
      <alignment horizontal="center"/>
    </xf>
    <xf numFmtId="165" fontId="12" fillId="0" borderId="32" xfId="1" applyNumberFormat="1" applyFont="1" applyBorder="1"/>
    <xf numFmtId="165" fontId="13" fillId="2" borderId="37" xfId="1" applyNumberFormat="1" applyFont="1" applyFill="1" applyBorder="1" applyAlignment="1">
      <alignment horizontal="left" vertical="justify"/>
    </xf>
    <xf numFmtId="165" fontId="15" fillId="5" borderId="37" xfId="1" applyNumberFormat="1" applyFont="1" applyFill="1" applyBorder="1" applyAlignment="1">
      <alignment horizontal="left" vertical="justify"/>
    </xf>
    <xf numFmtId="0" fontId="13" fillId="5" borderId="38" xfId="3" applyFont="1" applyFill="1" applyBorder="1" applyAlignment="1">
      <alignment horizontal="center"/>
    </xf>
    <xf numFmtId="43" fontId="13" fillId="5" borderId="38" xfId="1" applyFont="1" applyFill="1" applyBorder="1" applyAlignment="1">
      <alignment horizontal="center"/>
    </xf>
    <xf numFmtId="165" fontId="15" fillId="2" borderId="37" xfId="1" applyNumberFormat="1" applyFont="1" applyFill="1" applyBorder="1" applyAlignment="1">
      <alignment horizontal="left" vertical="justify"/>
    </xf>
    <xf numFmtId="0" fontId="15" fillId="0" borderId="38" xfId="3" applyFont="1" applyBorder="1" applyAlignment="1">
      <alignment horizontal="left" wrapText="1"/>
    </xf>
    <xf numFmtId="0" fontId="15" fillId="0" borderId="38" xfId="3" applyFont="1" applyBorder="1" applyAlignment="1">
      <alignment horizontal="center"/>
    </xf>
    <xf numFmtId="43" fontId="15" fillId="3" borderId="38" xfId="1" applyFont="1" applyFill="1" applyBorder="1" applyAlignment="1">
      <alignment horizontal="center"/>
    </xf>
    <xf numFmtId="165" fontId="15" fillId="11" borderId="37" xfId="1" applyNumberFormat="1" applyFont="1" applyFill="1" applyBorder="1" applyAlignment="1">
      <alignment horizontal="left" vertical="justify"/>
    </xf>
    <xf numFmtId="0" fontId="15" fillId="11" borderId="38" xfId="3" applyFont="1" applyFill="1" applyBorder="1" applyAlignment="1">
      <alignment horizontal="left" wrapText="1"/>
    </xf>
    <xf numFmtId="0" fontId="15" fillId="11" borderId="38" xfId="3" applyFont="1" applyFill="1" applyBorder="1" applyAlignment="1">
      <alignment horizontal="center"/>
    </xf>
    <xf numFmtId="43" fontId="15" fillId="11" borderId="38" xfId="1" applyFont="1" applyFill="1" applyBorder="1" applyAlignment="1">
      <alignment horizontal="center"/>
    </xf>
    <xf numFmtId="165" fontId="15" fillId="11" borderId="38" xfId="1" applyNumberFormat="1" applyFont="1" applyFill="1" applyBorder="1" applyAlignment="1">
      <alignment horizontal="center"/>
    </xf>
    <xf numFmtId="43" fontId="11" fillId="11" borderId="38" xfId="1" applyFont="1" applyFill="1" applyBorder="1"/>
    <xf numFmtId="43" fontId="11" fillId="11" borderId="39" xfId="1" applyFont="1" applyFill="1" applyBorder="1"/>
    <xf numFmtId="165" fontId="15" fillId="2" borderId="37" xfId="1" applyNumberFormat="1" applyFont="1" applyFill="1" applyBorder="1" applyAlignment="1">
      <alignment horizontal="left"/>
    </xf>
    <xf numFmtId="0" fontId="14" fillId="0" borderId="38" xfId="3" applyNumberFormat="1" applyFont="1" applyBorder="1" applyAlignment="1">
      <alignment horizontal="left"/>
    </xf>
    <xf numFmtId="165" fontId="15" fillId="3" borderId="37" xfId="1" applyNumberFormat="1" applyFont="1" applyFill="1" applyBorder="1" applyAlignment="1">
      <alignment horizontal="left" vertical="justify"/>
    </xf>
    <xf numFmtId="0" fontId="15" fillId="3" borderId="38" xfId="3" applyFont="1" applyFill="1" applyBorder="1" applyAlignment="1">
      <alignment horizontal="left" wrapText="1"/>
    </xf>
    <xf numFmtId="0" fontId="15" fillId="3" borderId="38" xfId="3" applyFont="1" applyFill="1" applyBorder="1" applyAlignment="1">
      <alignment horizontal="center"/>
    </xf>
    <xf numFmtId="165" fontId="15" fillId="3" borderId="38" xfId="1" applyNumberFormat="1" applyFont="1" applyFill="1" applyBorder="1" applyAlignment="1">
      <alignment horizontal="center"/>
    </xf>
    <xf numFmtId="43" fontId="11" fillId="3" borderId="38" xfId="1" applyFont="1" applyFill="1" applyBorder="1"/>
    <xf numFmtId="165" fontId="13" fillId="2" borderId="35" xfId="1" applyNumberFormat="1" applyFont="1" applyFill="1" applyBorder="1" applyAlignment="1">
      <alignment horizontal="left" vertical="justify"/>
    </xf>
    <xf numFmtId="165" fontId="13" fillId="2" borderId="41" xfId="1" applyNumberFormat="1" applyFont="1" applyFill="1" applyBorder="1" applyAlignment="1">
      <alignment horizontal="left" vertical="justify"/>
    </xf>
    <xf numFmtId="165" fontId="13" fillId="5" borderId="37" xfId="1" applyNumberFormat="1" applyFont="1" applyFill="1" applyBorder="1" applyAlignment="1">
      <alignment horizontal="left" vertical="justify"/>
    </xf>
    <xf numFmtId="165" fontId="13" fillId="3" borderId="37" xfId="1" applyNumberFormat="1" applyFont="1" applyFill="1" applyBorder="1" applyAlignment="1">
      <alignment horizontal="left" vertical="justify"/>
    </xf>
    <xf numFmtId="0" fontId="14" fillId="3" borderId="38" xfId="2" applyNumberFormat="1" applyFont="1" applyFill="1" applyBorder="1" applyAlignment="1">
      <alignment horizontal="left"/>
    </xf>
    <xf numFmtId="0" fontId="12" fillId="0" borderId="50" xfId="0" applyFont="1" applyBorder="1" applyAlignment="1"/>
    <xf numFmtId="0" fontId="12" fillId="0" borderId="16" xfId="0" applyFont="1" applyBorder="1" applyAlignment="1"/>
    <xf numFmtId="0" fontId="12" fillId="0" borderId="18" xfId="0" applyFont="1" applyBorder="1" applyAlignment="1"/>
    <xf numFmtId="49" fontId="12" fillId="0" borderId="52" xfId="0" applyNumberFormat="1" applyFont="1" applyBorder="1" applyAlignment="1">
      <alignment horizontal="center" vertical="center"/>
    </xf>
    <xf numFmtId="0" fontId="12" fillId="0" borderId="34" xfId="0" applyFont="1" applyBorder="1" applyAlignment="1">
      <alignment horizontal="center" vertical="center"/>
    </xf>
    <xf numFmtId="43" fontId="12" fillId="0" borderId="34" xfId="1" applyNumberFormat="1" applyFont="1" applyBorder="1" applyAlignment="1">
      <alignment horizontal="center" vertical="center"/>
    </xf>
    <xf numFmtId="165" fontId="12" fillId="0" borderId="34" xfId="1" applyNumberFormat="1" applyFont="1" applyBorder="1" applyAlignment="1">
      <alignment horizontal="center" vertical="center" wrapText="1"/>
    </xf>
    <xf numFmtId="43" fontId="12" fillId="0" borderId="34" xfId="1" applyFont="1" applyBorder="1" applyAlignment="1">
      <alignment horizontal="center" vertical="center" wrapText="1"/>
    </xf>
    <xf numFmtId="43" fontId="12" fillId="0" borderId="53" xfId="1" applyFont="1" applyBorder="1" applyAlignment="1">
      <alignment horizontal="center" vertical="center" wrapText="1"/>
    </xf>
    <xf numFmtId="0" fontId="15" fillId="2" borderId="50" xfId="2" quotePrefix="1" applyNumberFormat="1" applyFont="1" applyFill="1" applyBorder="1" applyAlignment="1">
      <alignment horizontal="left"/>
    </xf>
    <xf numFmtId="43" fontId="13" fillId="2" borderId="16" xfId="2" applyFont="1" applyFill="1" applyBorder="1" applyAlignment="1">
      <alignment horizontal="center"/>
    </xf>
    <xf numFmtId="43" fontId="13" fillId="3" borderId="16" xfId="1" applyNumberFormat="1" applyFont="1" applyFill="1" applyBorder="1" applyAlignment="1">
      <alignment horizontal="center"/>
    </xf>
    <xf numFmtId="165" fontId="13" fillId="2" borderId="18" xfId="1" applyNumberFormat="1" applyFont="1" applyFill="1" applyBorder="1" applyAlignment="1">
      <alignment horizontal="center"/>
    </xf>
    <xf numFmtId="0" fontId="14" fillId="2" borderId="54" xfId="2" quotePrefix="1" applyNumberFormat="1" applyFont="1" applyFill="1" applyBorder="1" applyAlignment="1">
      <alignment horizontal="center"/>
    </xf>
    <xf numFmtId="43" fontId="13" fillId="2" borderId="0" xfId="2" applyFont="1" applyFill="1" applyBorder="1" applyAlignment="1">
      <alignment horizontal="center"/>
    </xf>
    <xf numFmtId="165" fontId="13" fillId="2" borderId="55" xfId="1" applyNumberFormat="1" applyFont="1" applyFill="1" applyBorder="1" applyAlignment="1">
      <alignment horizontal="center"/>
    </xf>
    <xf numFmtId="0" fontId="14" fillId="2" borderId="54" xfId="2" applyNumberFormat="1" applyFont="1" applyFill="1" applyBorder="1" applyAlignment="1">
      <alignment horizontal="center"/>
    </xf>
    <xf numFmtId="0" fontId="14" fillId="2" borderId="54" xfId="2" applyNumberFormat="1" applyFont="1" applyFill="1" applyBorder="1" applyAlignment="1">
      <alignment horizontal="left"/>
    </xf>
    <xf numFmtId="49" fontId="13" fillId="2" borderId="35" xfId="2" applyNumberFormat="1" applyFont="1" applyFill="1" applyBorder="1" applyAlignment="1">
      <alignment horizontal="center" vertical="top"/>
    </xf>
    <xf numFmtId="0" fontId="13" fillId="0" borderId="32" xfId="3" applyFont="1" applyBorder="1" applyAlignment="1">
      <alignment horizontal="left" wrapText="1"/>
    </xf>
    <xf numFmtId="0" fontId="13" fillId="0" borderId="32" xfId="3" applyFont="1" applyFill="1" applyBorder="1" applyAlignment="1">
      <alignment horizontal="center"/>
    </xf>
    <xf numFmtId="43" fontId="12" fillId="0" borderId="32" xfId="1" applyFont="1" applyBorder="1" applyAlignment="1"/>
    <xf numFmtId="43" fontId="12" fillId="0" borderId="36" xfId="1" applyFont="1" applyBorder="1" applyAlignment="1"/>
    <xf numFmtId="49" fontId="12" fillId="3" borderId="41" xfId="0" applyNumberFormat="1" applyFont="1" applyFill="1" applyBorder="1"/>
    <xf numFmtId="0" fontId="12" fillId="3" borderId="33" xfId="0" applyFont="1" applyFill="1" applyBorder="1" applyAlignment="1">
      <alignment wrapText="1"/>
    </xf>
    <xf numFmtId="0" fontId="12" fillId="3" borderId="33" xfId="0" applyFont="1" applyFill="1" applyBorder="1" applyAlignment="1">
      <alignment horizontal="center"/>
    </xf>
    <xf numFmtId="43" fontId="12" fillId="3" borderId="33" xfId="1" applyNumberFormat="1" applyFont="1" applyFill="1" applyBorder="1"/>
    <xf numFmtId="49" fontId="2" fillId="3" borderId="41" xfId="0" applyNumberFormat="1" applyFont="1" applyFill="1" applyBorder="1" applyAlignment="1">
      <alignment horizontal="center" vertical="top"/>
    </xf>
    <xf numFmtId="0" fontId="2" fillId="3" borderId="33" xfId="0" applyFont="1" applyFill="1" applyBorder="1" applyAlignment="1">
      <alignment vertical="justify" wrapText="1"/>
    </xf>
    <xf numFmtId="165" fontId="13" fillId="3" borderId="33" xfId="1" applyNumberFormat="1" applyFont="1" applyFill="1" applyBorder="1" applyAlignment="1">
      <alignment horizontal="center"/>
    </xf>
    <xf numFmtId="43" fontId="13" fillId="3" borderId="33" xfId="1" applyNumberFormat="1" applyFont="1" applyFill="1" applyBorder="1" applyAlignment="1"/>
    <xf numFmtId="43" fontId="11" fillId="3" borderId="43" xfId="1" applyFont="1" applyFill="1" applyBorder="1"/>
    <xf numFmtId="0" fontId="30" fillId="0" borderId="30" xfId="0" applyFont="1" applyBorder="1" applyAlignment="1">
      <alignment horizontal="center"/>
    </xf>
    <xf numFmtId="0" fontId="30" fillId="0" borderId="31"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2" fillId="0" borderId="51" xfId="0" applyFont="1" applyBorder="1" applyAlignment="1">
      <alignment horizontal="center"/>
    </xf>
    <xf numFmtId="0" fontId="12" fillId="0" borderId="17" xfId="0" applyFont="1" applyBorder="1" applyAlignment="1">
      <alignment horizontal="center"/>
    </xf>
    <xf numFmtId="0" fontId="12" fillId="0" borderId="19" xfId="0" applyFont="1" applyBorder="1" applyAlignment="1">
      <alignment horizontal="center"/>
    </xf>
    <xf numFmtId="0" fontId="15" fillId="2" borderId="45" xfId="2" applyNumberFormat="1" applyFont="1" applyFill="1" applyBorder="1" applyAlignment="1">
      <alignment horizontal="left" wrapText="1"/>
    </xf>
    <xf numFmtId="49" fontId="10" fillId="0" borderId="0" xfId="0" applyNumberFormat="1" applyFont="1" applyAlignment="1">
      <alignment horizontal="center"/>
    </xf>
    <xf numFmtId="0" fontId="13" fillId="2" borderId="38" xfId="2" applyNumberFormat="1" applyFont="1" applyFill="1" applyBorder="1" applyAlignment="1">
      <alignment horizontal="lef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32</xdr:row>
      <xdr:rowOff>104775</xdr:rowOff>
    </xdr:from>
    <xdr:to>
      <xdr:col>0</xdr:col>
      <xdr:colOff>4238624</xdr:colOff>
      <xdr:row>33</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34325"/>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58</xdr:row>
      <xdr:rowOff>47625</xdr:rowOff>
    </xdr:from>
    <xdr:to>
      <xdr:col>6</xdr:col>
      <xdr:colOff>771525</xdr:colOff>
      <xdr:row>59</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workbookViewId="0">
      <selection activeCell="A13" sqref="A13"/>
    </sheetView>
  </sheetViews>
  <sheetFormatPr defaultRowHeight="15" x14ac:dyDescent="0.25"/>
  <cols>
    <col min="1" max="1" width="100.85546875" style="68" customWidth="1"/>
    <col min="2" max="16384" width="9.140625" style="68"/>
  </cols>
  <sheetData>
    <row r="1" spans="1:1" x14ac:dyDescent="0.25">
      <c r="A1" s="67"/>
    </row>
    <row r="2" spans="1:1" x14ac:dyDescent="0.25">
      <c r="A2" s="69"/>
    </row>
    <row r="3" spans="1:1" x14ac:dyDescent="0.25">
      <c r="A3" s="69"/>
    </row>
    <row r="4" spans="1:1" x14ac:dyDescent="0.25">
      <c r="A4" s="69"/>
    </row>
    <row r="5" spans="1:1" x14ac:dyDescent="0.25">
      <c r="A5" s="69"/>
    </row>
    <row r="6" spans="1:1" x14ac:dyDescent="0.25">
      <c r="A6" s="69"/>
    </row>
    <row r="7" spans="1:1" ht="27.75" x14ac:dyDescent="0.4">
      <c r="A7" s="77" t="s">
        <v>531</v>
      </c>
    </row>
    <row r="8" spans="1:1" ht="18.75" x14ac:dyDescent="0.4">
      <c r="A8" s="70"/>
    </row>
    <row r="9" spans="1:1" ht="18.75" x14ac:dyDescent="0.4">
      <c r="A9" s="70"/>
    </row>
    <row r="10" spans="1:1" ht="18.75" x14ac:dyDescent="0.4">
      <c r="A10" s="70"/>
    </row>
    <row r="11" spans="1:1" ht="18.75" x14ac:dyDescent="0.4">
      <c r="A11" s="70"/>
    </row>
    <row r="12" spans="1:1" ht="18.75" x14ac:dyDescent="0.4">
      <c r="A12" s="70"/>
    </row>
    <row r="13" spans="1:1" s="72" customFormat="1" ht="72" customHeight="1" x14ac:dyDescent="0.25">
      <c r="A13" s="71" t="s">
        <v>532</v>
      </c>
    </row>
    <row r="14" spans="1:1" x14ac:dyDescent="0.25">
      <c r="A14" s="69"/>
    </row>
    <row r="15" spans="1:1" ht="16.5" customHeight="1" x14ac:dyDescent="0.25">
      <c r="A15" s="69"/>
    </row>
    <row r="16" spans="1:1" ht="16.5" customHeight="1" x14ac:dyDescent="0.25">
      <c r="A16" s="69"/>
    </row>
    <row r="17" spans="1:1" ht="16.5" customHeight="1" x14ac:dyDescent="0.25">
      <c r="A17" s="69"/>
    </row>
    <row r="18" spans="1:1" ht="16.5" customHeight="1" x14ac:dyDescent="0.25">
      <c r="A18" s="69"/>
    </row>
    <row r="19" spans="1:1" ht="16.5" customHeight="1" x14ac:dyDescent="0.25">
      <c r="A19" s="69"/>
    </row>
    <row r="20" spans="1:1" ht="16.5" customHeight="1" x14ac:dyDescent="0.25">
      <c r="A20" s="69"/>
    </row>
    <row r="21" spans="1:1" x14ac:dyDescent="0.25">
      <c r="A21" s="69"/>
    </row>
    <row r="22" spans="1:1" x14ac:dyDescent="0.25">
      <c r="A22" s="69"/>
    </row>
    <row r="23" spans="1:1" x14ac:dyDescent="0.25">
      <c r="A23" s="69"/>
    </row>
    <row r="24" spans="1:1" ht="18.75" x14ac:dyDescent="0.4">
      <c r="A24" s="73" t="s">
        <v>413</v>
      </c>
    </row>
    <row r="25" spans="1:1" ht="18.75" x14ac:dyDescent="0.4">
      <c r="A25" s="74" t="s">
        <v>411</v>
      </c>
    </row>
    <row r="26" spans="1:1" ht="18.75" x14ac:dyDescent="0.4">
      <c r="A26" s="74" t="s">
        <v>412</v>
      </c>
    </row>
    <row r="27" spans="1:1" ht="18.75" x14ac:dyDescent="0.4">
      <c r="A27" s="70"/>
    </row>
    <row r="28" spans="1:1" ht="18.75" x14ac:dyDescent="0.4">
      <c r="A28" s="70"/>
    </row>
    <row r="29" spans="1:1" ht="18.75" x14ac:dyDescent="0.4">
      <c r="A29" s="70"/>
    </row>
    <row r="30" spans="1:1" ht="18.75" x14ac:dyDescent="0.4">
      <c r="A30" s="70"/>
    </row>
    <row r="31" spans="1:1" ht="18.75" x14ac:dyDescent="0.4">
      <c r="A31" s="70"/>
    </row>
    <row r="32" spans="1:1" ht="18.75" x14ac:dyDescent="0.4">
      <c r="A32" s="73" t="s">
        <v>166</v>
      </c>
    </row>
    <row r="33" spans="1:1" ht="18.75" customHeight="1" x14ac:dyDescent="0.25">
      <c r="A33" s="459"/>
    </row>
    <row r="34" spans="1:1" ht="65.25" customHeight="1" thickBot="1" x14ac:dyDescent="0.3">
      <c r="A34" s="460"/>
    </row>
    <row r="35" spans="1:1" ht="18.75" x14ac:dyDescent="0.4">
      <c r="A35" s="75"/>
    </row>
    <row r="36" spans="1:1" ht="18.75" x14ac:dyDescent="0.4">
      <c r="A36" s="76"/>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F13" sqref="F13"/>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61" t="s">
        <v>533</v>
      </c>
      <c r="B1" s="461"/>
      <c r="C1" s="461"/>
    </row>
    <row r="2" spans="1:6" ht="15.75" x14ac:dyDescent="0.25">
      <c r="A2" s="462" t="s">
        <v>73</v>
      </c>
      <c r="B2" s="462"/>
      <c r="C2" s="462"/>
    </row>
    <row r="3" spans="1:6" ht="15.75" thickBot="1" x14ac:dyDescent="0.3">
      <c r="A3" s="1"/>
      <c r="B3" s="2"/>
      <c r="C3" s="3"/>
    </row>
    <row r="4" spans="1:6" ht="20.100000000000001" customHeight="1" thickTop="1" thickBot="1" x14ac:dyDescent="0.35">
      <c r="A4" s="4" t="s">
        <v>74</v>
      </c>
      <c r="B4" s="5" t="s">
        <v>75</v>
      </c>
      <c r="C4" s="6" t="s">
        <v>76</v>
      </c>
    </row>
    <row r="5" spans="1:6" ht="24.95" customHeight="1" thickTop="1" x14ac:dyDescent="0.25">
      <c r="A5" s="7" t="s">
        <v>77</v>
      </c>
      <c r="B5" s="8" t="s">
        <v>18</v>
      </c>
      <c r="C5" s="9">
        <f>Boq!G49</f>
        <v>0</v>
      </c>
    </row>
    <row r="6" spans="1:6" ht="24.95" customHeight="1" x14ac:dyDescent="0.25">
      <c r="A6" s="10" t="s">
        <v>78</v>
      </c>
      <c r="B6" s="11" t="s">
        <v>79</v>
      </c>
      <c r="C6" s="12">
        <f>Boq!G85</f>
        <v>0</v>
      </c>
    </row>
    <row r="7" spans="1:6" ht="24.95" customHeight="1" x14ac:dyDescent="0.25">
      <c r="A7" s="10" t="s">
        <v>80</v>
      </c>
      <c r="B7" s="11" t="s">
        <v>81</v>
      </c>
      <c r="C7" s="12">
        <f>Boq!G379</f>
        <v>0</v>
      </c>
    </row>
    <row r="8" spans="1:6" ht="24.95" customHeight="1" x14ac:dyDescent="0.25">
      <c r="A8" s="10" t="s">
        <v>82</v>
      </c>
      <c r="B8" s="11" t="s">
        <v>83</v>
      </c>
      <c r="C8" s="12">
        <f>Boq!G460</f>
        <v>0</v>
      </c>
    </row>
    <row r="9" spans="1:6" ht="24.95" customHeight="1" x14ac:dyDescent="0.25">
      <c r="A9" s="10" t="s">
        <v>84</v>
      </c>
      <c r="B9" s="11" t="s">
        <v>85</v>
      </c>
      <c r="C9" s="12">
        <f>Boq!G612</f>
        <v>0</v>
      </c>
    </row>
    <row r="10" spans="1:6" ht="24.95" customHeight="1" x14ac:dyDescent="0.25">
      <c r="A10" s="10" t="s">
        <v>86</v>
      </c>
      <c r="B10" s="11" t="s">
        <v>88</v>
      </c>
      <c r="C10" s="12">
        <f>Boq!G674</f>
        <v>0</v>
      </c>
    </row>
    <row r="11" spans="1:6" ht="24.95" customHeight="1" x14ac:dyDescent="0.25">
      <c r="A11" s="10" t="s">
        <v>87</v>
      </c>
      <c r="B11" s="11" t="s">
        <v>90</v>
      </c>
      <c r="C11" s="12">
        <f>Boq!G727</f>
        <v>0</v>
      </c>
    </row>
    <row r="12" spans="1:6" ht="24.95" customHeight="1" x14ac:dyDescent="0.25">
      <c r="A12" s="10" t="s">
        <v>89</v>
      </c>
      <c r="B12" s="11" t="s">
        <v>92</v>
      </c>
      <c r="C12" s="12">
        <f>Boq!G745</f>
        <v>0</v>
      </c>
    </row>
    <row r="13" spans="1:6" ht="24.95" customHeight="1" x14ac:dyDescent="0.25">
      <c r="A13" s="10" t="s">
        <v>91</v>
      </c>
      <c r="B13" s="11" t="s">
        <v>94</v>
      </c>
      <c r="C13" s="12">
        <f>Boq!G787</f>
        <v>0</v>
      </c>
    </row>
    <row r="14" spans="1:6" ht="24.95" customHeight="1" x14ac:dyDescent="0.25">
      <c r="A14" s="10" t="s">
        <v>93</v>
      </c>
      <c r="B14" s="11" t="s">
        <v>96</v>
      </c>
      <c r="C14" s="12">
        <f>Boq!G859</f>
        <v>0</v>
      </c>
    </row>
    <row r="15" spans="1:6" ht="24.95" customHeight="1" x14ac:dyDescent="0.25">
      <c r="A15" s="10" t="s">
        <v>95</v>
      </c>
      <c r="B15" s="11" t="s">
        <v>97</v>
      </c>
      <c r="C15" s="12">
        <f>Boq!G833</f>
        <v>0</v>
      </c>
    </row>
    <row r="16" spans="1:6" ht="24.95" customHeight="1" x14ac:dyDescent="0.25">
      <c r="A16" s="10" t="s">
        <v>371</v>
      </c>
      <c r="B16" s="11" t="s">
        <v>372</v>
      </c>
      <c r="C16" s="12">
        <f>Boq!G878</f>
        <v>0</v>
      </c>
      <c r="F16" s="16"/>
    </row>
    <row r="17" spans="1:6" ht="24.95" customHeight="1" x14ac:dyDescent="0.25">
      <c r="A17" s="10" t="s">
        <v>400</v>
      </c>
      <c r="B17" s="11" t="s">
        <v>402</v>
      </c>
      <c r="C17" s="12">
        <f>Boq!G934</f>
        <v>0</v>
      </c>
      <c r="F17" s="16"/>
    </row>
    <row r="18" spans="1:6" ht="24.95" customHeight="1" x14ac:dyDescent="0.25">
      <c r="A18" s="10" t="s">
        <v>401</v>
      </c>
      <c r="B18" s="11" t="s">
        <v>403</v>
      </c>
      <c r="C18" s="12">
        <f>-Boq!G990</f>
        <v>0</v>
      </c>
    </row>
    <row r="19" spans="1:6" ht="24.95" customHeight="1" thickBot="1" x14ac:dyDescent="0.3">
      <c r="A19" s="13"/>
      <c r="B19" s="14"/>
      <c r="C19" s="15"/>
      <c r="F19" s="16">
        <f>C20*3%</f>
        <v>0</v>
      </c>
    </row>
    <row r="20" spans="1:6" ht="24.95" customHeight="1" thickTop="1" x14ac:dyDescent="0.25">
      <c r="A20" s="17"/>
      <c r="B20" s="18" t="s">
        <v>477</v>
      </c>
      <c r="C20" s="19">
        <f>SUM(C5:C18)</f>
        <v>0</v>
      </c>
      <c r="F20" s="16">
        <f>C20*0.05</f>
        <v>0</v>
      </c>
    </row>
    <row r="21" spans="1:6" ht="24.95" customHeight="1" x14ac:dyDescent="0.25">
      <c r="A21" s="20"/>
      <c r="B21" s="21" t="s">
        <v>478</v>
      </c>
      <c r="C21" s="22">
        <f>C20*6%</f>
        <v>0</v>
      </c>
    </row>
    <row r="22" spans="1:6" ht="31.5" customHeight="1" thickBot="1" x14ac:dyDescent="0.3">
      <c r="A22" s="23"/>
      <c r="B22" s="24" t="s">
        <v>479</v>
      </c>
      <c r="C22" s="2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0"/>
  <sheetViews>
    <sheetView tabSelected="1" view="pageLayout" zoomScaleNormal="100" zoomScaleSheetLayoutView="100" workbookViewId="0">
      <selection sqref="A1:G1"/>
    </sheetView>
  </sheetViews>
  <sheetFormatPr defaultRowHeight="12" x14ac:dyDescent="0.2"/>
  <cols>
    <col min="1" max="1" width="5.7109375" style="27" customWidth="1"/>
    <col min="2" max="2" width="41.5703125" style="28" customWidth="1"/>
    <col min="3" max="3" width="4.28515625" style="29" customWidth="1"/>
    <col min="4" max="4" width="8.85546875" style="30" customWidth="1"/>
    <col min="5" max="5" width="10.85546875" style="31" customWidth="1"/>
    <col min="6" max="6" width="10.5703125" style="32" customWidth="1"/>
    <col min="7" max="7" width="12" style="32" customWidth="1"/>
    <col min="8" max="8" width="4.5703125" style="28" customWidth="1"/>
    <col min="9" max="9" width="14.42578125" style="28" customWidth="1"/>
    <col min="10" max="10" width="9.140625" style="28" customWidth="1"/>
    <col min="11" max="11" width="9" style="28" customWidth="1"/>
    <col min="12" max="12" width="9.42578125" style="28" customWidth="1"/>
    <col min="13" max="13" width="11.28515625" style="28" customWidth="1"/>
    <col min="14" max="14" width="9.28515625" style="28" customWidth="1"/>
    <col min="15" max="15" width="7.7109375" style="28" customWidth="1"/>
    <col min="16" max="16384" width="9.140625" style="28"/>
  </cols>
  <sheetData>
    <row r="1" spans="1:10" s="26" customFormat="1" ht="18.75" customHeight="1" x14ac:dyDescent="0.25">
      <c r="A1" s="467" t="s">
        <v>534</v>
      </c>
      <c r="B1" s="467"/>
      <c r="C1" s="467"/>
      <c r="D1" s="467"/>
      <c r="E1" s="467"/>
      <c r="F1" s="467"/>
      <c r="G1" s="467"/>
    </row>
    <row r="2" spans="1:10" ht="12.75" thickBot="1" x14ac:dyDescent="0.25"/>
    <row r="3" spans="1:10" s="33" customFormat="1" ht="24.75" thickBot="1" x14ac:dyDescent="0.3">
      <c r="A3" s="430" t="s">
        <v>0</v>
      </c>
      <c r="B3" s="431" t="s">
        <v>1</v>
      </c>
      <c r="C3" s="431" t="s">
        <v>2</v>
      </c>
      <c r="D3" s="432" t="s">
        <v>3</v>
      </c>
      <c r="E3" s="433" t="s">
        <v>4</v>
      </c>
      <c r="F3" s="434" t="s">
        <v>5</v>
      </c>
      <c r="G3" s="435" t="s">
        <v>6</v>
      </c>
    </row>
    <row r="4" spans="1:10" s="33" customFormat="1" x14ac:dyDescent="0.2">
      <c r="A4" s="78"/>
      <c r="B4" s="79" t="s">
        <v>17</v>
      </c>
      <c r="C4" s="80"/>
      <c r="D4" s="81"/>
      <c r="E4" s="82"/>
      <c r="F4" s="83"/>
      <c r="G4" s="84"/>
      <c r="I4" s="34"/>
      <c r="J4" s="35"/>
    </row>
    <row r="5" spans="1:10" s="33" customFormat="1" x14ac:dyDescent="0.2">
      <c r="A5" s="85"/>
      <c r="B5" s="86" t="s">
        <v>18</v>
      </c>
      <c r="C5" s="87"/>
      <c r="D5" s="88"/>
      <c r="E5" s="89"/>
      <c r="F5" s="90"/>
      <c r="G5" s="91"/>
    </row>
    <row r="6" spans="1:10" s="33" customFormat="1" x14ac:dyDescent="0.2">
      <c r="A6" s="85"/>
      <c r="B6" s="92"/>
      <c r="C6" s="87"/>
      <c r="D6" s="88"/>
      <c r="E6" s="89"/>
      <c r="F6" s="90"/>
      <c r="G6" s="91"/>
    </row>
    <row r="7" spans="1:10" s="33" customFormat="1" x14ac:dyDescent="0.2">
      <c r="A7" s="85">
        <v>1.1000000000000001</v>
      </c>
      <c r="B7" s="93" t="s">
        <v>19</v>
      </c>
      <c r="C7" s="87"/>
      <c r="D7" s="88"/>
      <c r="E7" s="89"/>
      <c r="F7" s="90"/>
      <c r="G7" s="91"/>
    </row>
    <row r="8" spans="1:10" s="33" customFormat="1" x14ac:dyDescent="0.2">
      <c r="A8" s="94" t="s">
        <v>7</v>
      </c>
      <c r="B8" s="95" t="s">
        <v>20</v>
      </c>
      <c r="C8" s="87"/>
      <c r="D8" s="88"/>
      <c r="E8" s="89"/>
      <c r="F8" s="90"/>
      <c r="G8" s="91"/>
    </row>
    <row r="9" spans="1:10" s="33" customFormat="1" x14ac:dyDescent="0.2">
      <c r="A9" s="85"/>
      <c r="B9" s="96" t="s">
        <v>21</v>
      </c>
      <c r="C9" s="87"/>
      <c r="D9" s="88"/>
      <c r="E9" s="89"/>
      <c r="F9" s="90"/>
      <c r="G9" s="91"/>
    </row>
    <row r="10" spans="1:10" s="33" customFormat="1" x14ac:dyDescent="0.2">
      <c r="A10" s="85"/>
      <c r="B10" s="96" t="s">
        <v>22</v>
      </c>
      <c r="C10" s="87"/>
      <c r="D10" s="88"/>
      <c r="E10" s="89"/>
      <c r="F10" s="90"/>
      <c r="G10" s="91"/>
    </row>
    <row r="11" spans="1:10" s="33" customFormat="1" x14ac:dyDescent="0.2">
      <c r="A11" s="85"/>
      <c r="B11" s="96" t="s">
        <v>23</v>
      </c>
      <c r="C11" s="87"/>
      <c r="D11" s="88"/>
      <c r="E11" s="89"/>
      <c r="F11" s="90"/>
      <c r="G11" s="91"/>
    </row>
    <row r="12" spans="1:10" s="33" customFormat="1" x14ac:dyDescent="0.2">
      <c r="A12" s="85"/>
      <c r="B12" s="96" t="s">
        <v>24</v>
      </c>
      <c r="C12" s="87"/>
      <c r="D12" s="88"/>
      <c r="E12" s="89"/>
      <c r="F12" s="90"/>
      <c r="G12" s="91"/>
    </row>
    <row r="13" spans="1:10" s="33" customFormat="1" x14ac:dyDescent="0.2">
      <c r="A13" s="85"/>
      <c r="B13" s="96" t="s">
        <v>21</v>
      </c>
      <c r="C13" s="87"/>
      <c r="D13" s="88"/>
      <c r="E13" s="89"/>
      <c r="F13" s="90"/>
      <c r="G13" s="91"/>
    </row>
    <row r="14" spans="1:10" s="33" customFormat="1" x14ac:dyDescent="0.2">
      <c r="A14" s="85"/>
      <c r="B14" s="96" t="s">
        <v>25</v>
      </c>
      <c r="C14" s="87"/>
      <c r="D14" s="88"/>
      <c r="E14" s="89"/>
      <c r="F14" s="90"/>
      <c r="G14" s="91"/>
    </row>
    <row r="15" spans="1:10" s="33" customFormat="1" x14ac:dyDescent="0.2">
      <c r="A15" s="85"/>
      <c r="B15" s="96" t="s">
        <v>26</v>
      </c>
      <c r="C15" s="87"/>
      <c r="D15" s="88"/>
      <c r="E15" s="89"/>
      <c r="F15" s="90"/>
      <c r="G15" s="91"/>
    </row>
    <row r="16" spans="1:10" s="33" customFormat="1" x14ac:dyDescent="0.2">
      <c r="A16" s="85"/>
      <c r="B16" s="96" t="s">
        <v>27</v>
      </c>
      <c r="C16" s="87"/>
      <c r="D16" s="88"/>
      <c r="E16" s="89"/>
      <c r="F16" s="90"/>
      <c r="G16" s="91"/>
    </row>
    <row r="17" spans="1:7" s="33" customFormat="1" x14ac:dyDescent="0.2">
      <c r="A17" s="85"/>
      <c r="B17" s="96" t="s">
        <v>28</v>
      </c>
      <c r="C17" s="87"/>
      <c r="D17" s="88"/>
      <c r="E17" s="89"/>
      <c r="F17" s="90"/>
      <c r="G17" s="91"/>
    </row>
    <row r="18" spans="1:7" s="33" customFormat="1" x14ac:dyDescent="0.2">
      <c r="A18" s="85"/>
      <c r="B18" s="96" t="s">
        <v>29</v>
      </c>
      <c r="C18" s="87"/>
      <c r="D18" s="88"/>
      <c r="E18" s="89"/>
      <c r="F18" s="90"/>
      <c r="G18" s="91"/>
    </row>
    <row r="19" spans="1:7" s="33" customFormat="1" x14ac:dyDescent="0.2">
      <c r="A19" s="85"/>
      <c r="B19" s="96" t="s">
        <v>30</v>
      </c>
      <c r="C19" s="87"/>
      <c r="D19" s="88"/>
      <c r="E19" s="89"/>
      <c r="F19" s="90"/>
      <c r="G19" s="91"/>
    </row>
    <row r="20" spans="1:7" s="33" customFormat="1" x14ac:dyDescent="0.2">
      <c r="A20" s="85"/>
      <c r="B20" s="96"/>
      <c r="C20" s="87"/>
      <c r="D20" s="88"/>
      <c r="E20" s="89"/>
      <c r="F20" s="90"/>
      <c r="G20" s="91"/>
    </row>
    <row r="21" spans="1:7" s="33" customFormat="1" x14ac:dyDescent="0.2">
      <c r="A21" s="94">
        <v>1.2</v>
      </c>
      <c r="B21" s="97" t="s">
        <v>31</v>
      </c>
      <c r="C21" s="98"/>
      <c r="D21" s="99"/>
      <c r="E21" s="89"/>
      <c r="F21" s="90"/>
      <c r="G21" s="91"/>
    </row>
    <row r="22" spans="1:7" s="33" customFormat="1" ht="60.75" customHeight="1" x14ac:dyDescent="0.2">
      <c r="A22" s="85" t="s">
        <v>7</v>
      </c>
      <c r="B22" s="100" t="s">
        <v>218</v>
      </c>
      <c r="C22" s="98" t="s">
        <v>0</v>
      </c>
      <c r="D22" s="99">
        <v>1</v>
      </c>
      <c r="E22" s="89"/>
      <c r="F22" s="101"/>
      <c r="G22" s="102">
        <f t="shared" ref="G22:G35" si="0">(D22*E22)+(D22*F22)</f>
        <v>0</v>
      </c>
    </row>
    <row r="23" spans="1:7" s="33" customFormat="1" x14ac:dyDescent="0.2">
      <c r="A23" s="94"/>
      <c r="B23" s="100"/>
      <c r="C23" s="98"/>
      <c r="D23" s="99"/>
      <c r="E23" s="89"/>
      <c r="F23" s="101"/>
      <c r="G23" s="102">
        <f t="shared" si="0"/>
        <v>0</v>
      </c>
    </row>
    <row r="24" spans="1:7" s="33" customFormat="1" x14ac:dyDescent="0.2">
      <c r="A24" s="85">
        <v>1.3</v>
      </c>
      <c r="B24" s="97" t="s">
        <v>32</v>
      </c>
      <c r="C24" s="98"/>
      <c r="D24" s="99"/>
      <c r="E24" s="89"/>
      <c r="F24" s="101"/>
      <c r="G24" s="102">
        <f t="shared" si="0"/>
        <v>0</v>
      </c>
    </row>
    <row r="25" spans="1:7" s="33" customFormat="1" x14ac:dyDescent="0.2">
      <c r="A25" s="85" t="s">
        <v>7</v>
      </c>
      <c r="B25" s="103" t="s">
        <v>33</v>
      </c>
      <c r="C25" s="98" t="s">
        <v>34</v>
      </c>
      <c r="D25" s="99">
        <v>1</v>
      </c>
      <c r="E25" s="89"/>
      <c r="F25" s="101"/>
      <c r="G25" s="102">
        <f t="shared" si="0"/>
        <v>0</v>
      </c>
    </row>
    <row r="26" spans="1:7" s="33" customFormat="1" x14ac:dyDescent="0.2">
      <c r="A26" s="85"/>
      <c r="B26" s="103"/>
      <c r="C26" s="98"/>
      <c r="D26" s="99"/>
      <c r="E26" s="89"/>
      <c r="F26" s="101"/>
      <c r="G26" s="102">
        <f t="shared" si="0"/>
        <v>0</v>
      </c>
    </row>
    <row r="27" spans="1:7" s="33" customFormat="1" x14ac:dyDescent="0.2">
      <c r="A27" s="85" t="s">
        <v>161</v>
      </c>
      <c r="B27" s="104" t="s">
        <v>520</v>
      </c>
      <c r="C27" s="98"/>
      <c r="D27" s="99"/>
      <c r="E27" s="89"/>
      <c r="F27" s="101"/>
      <c r="G27" s="102">
        <f t="shared" ref="G27:G28" si="1">(D27*E27)+(D27*F27)</f>
        <v>0</v>
      </c>
    </row>
    <row r="28" spans="1:7" s="33" customFormat="1" ht="36" x14ac:dyDescent="0.2">
      <c r="A28" s="85"/>
      <c r="B28" s="105" t="s">
        <v>521</v>
      </c>
      <c r="C28" s="98" t="s">
        <v>0</v>
      </c>
      <c r="D28" s="99">
        <v>1</v>
      </c>
      <c r="E28" s="89"/>
      <c r="F28" s="101"/>
      <c r="G28" s="102">
        <f t="shared" si="1"/>
        <v>0</v>
      </c>
    </row>
    <row r="29" spans="1:7" s="33" customFormat="1" x14ac:dyDescent="0.2">
      <c r="A29" s="85"/>
      <c r="B29" s="103"/>
      <c r="C29" s="98"/>
      <c r="D29" s="99"/>
      <c r="E29" s="89"/>
      <c r="F29" s="101"/>
      <c r="G29" s="102"/>
    </row>
    <row r="30" spans="1:7" s="33" customFormat="1" x14ac:dyDescent="0.2">
      <c r="A30" s="85" t="s">
        <v>174</v>
      </c>
      <c r="B30" s="104" t="s">
        <v>162</v>
      </c>
      <c r="C30" s="98"/>
      <c r="D30" s="99"/>
      <c r="E30" s="89"/>
      <c r="F30" s="101"/>
      <c r="G30" s="102">
        <f t="shared" si="0"/>
        <v>0</v>
      </c>
    </row>
    <row r="31" spans="1:7" s="33" customFormat="1" ht="50.25" customHeight="1" x14ac:dyDescent="0.2">
      <c r="A31" s="85" t="s">
        <v>7</v>
      </c>
      <c r="B31" s="105" t="s">
        <v>523</v>
      </c>
      <c r="C31" s="98" t="s">
        <v>0</v>
      </c>
      <c r="D31" s="99">
        <v>1</v>
      </c>
      <c r="E31" s="89"/>
      <c r="F31" s="101"/>
      <c r="G31" s="102">
        <f t="shared" si="0"/>
        <v>0</v>
      </c>
    </row>
    <row r="32" spans="1:7" s="33" customFormat="1" x14ac:dyDescent="0.2">
      <c r="A32" s="85"/>
      <c r="B32" s="103"/>
      <c r="C32" s="98"/>
      <c r="D32" s="99"/>
      <c r="E32" s="89"/>
      <c r="F32" s="101"/>
      <c r="G32" s="102"/>
    </row>
    <row r="33" spans="1:7" s="33" customFormat="1" x14ac:dyDescent="0.2">
      <c r="A33" s="106" t="s">
        <v>522</v>
      </c>
      <c r="B33" s="107" t="s">
        <v>35</v>
      </c>
      <c r="C33" s="108"/>
      <c r="D33" s="109"/>
      <c r="E33" s="89"/>
      <c r="F33" s="101"/>
      <c r="G33" s="102">
        <f t="shared" si="0"/>
        <v>0</v>
      </c>
    </row>
    <row r="34" spans="1:7" s="33" customFormat="1" ht="27.75" customHeight="1" x14ac:dyDescent="0.2">
      <c r="A34" s="85" t="s">
        <v>7</v>
      </c>
      <c r="B34" s="110" t="s">
        <v>36</v>
      </c>
      <c r="C34" s="98" t="s">
        <v>0</v>
      </c>
      <c r="D34" s="99">
        <v>1</v>
      </c>
      <c r="E34" s="89"/>
      <c r="F34" s="101"/>
      <c r="G34" s="102">
        <f t="shared" si="0"/>
        <v>0</v>
      </c>
    </row>
    <row r="35" spans="1:7" s="33" customFormat="1" x14ac:dyDescent="0.2">
      <c r="A35" s="94"/>
      <c r="B35" s="110"/>
      <c r="C35" s="98"/>
      <c r="D35" s="99"/>
      <c r="E35" s="89"/>
      <c r="F35" s="90"/>
      <c r="G35" s="102">
        <f t="shared" si="0"/>
        <v>0</v>
      </c>
    </row>
    <row r="36" spans="1:7" s="33" customFormat="1" x14ac:dyDescent="0.2">
      <c r="A36" s="94"/>
      <c r="B36" s="110"/>
      <c r="C36" s="98"/>
      <c r="D36" s="99"/>
      <c r="E36" s="89"/>
      <c r="F36" s="90"/>
      <c r="G36" s="91"/>
    </row>
    <row r="37" spans="1:7" s="33" customFormat="1" x14ac:dyDescent="0.2">
      <c r="A37" s="94"/>
      <c r="B37" s="110"/>
      <c r="C37" s="98"/>
      <c r="D37" s="99"/>
      <c r="E37" s="89"/>
      <c r="F37" s="90"/>
      <c r="G37" s="91"/>
    </row>
    <row r="38" spans="1:7" s="33" customFormat="1" x14ac:dyDescent="0.2">
      <c r="A38" s="94"/>
      <c r="B38" s="110"/>
      <c r="C38" s="98"/>
      <c r="D38" s="99"/>
      <c r="E38" s="89"/>
      <c r="F38" s="90"/>
      <c r="G38" s="91"/>
    </row>
    <row r="39" spans="1:7" s="33" customFormat="1" x14ac:dyDescent="0.2">
      <c r="A39" s="94"/>
      <c r="B39" s="110"/>
      <c r="C39" s="98"/>
      <c r="D39" s="99"/>
      <c r="E39" s="89"/>
      <c r="F39" s="90"/>
      <c r="G39" s="91"/>
    </row>
    <row r="40" spans="1:7" s="33" customFormat="1" x14ac:dyDescent="0.2">
      <c r="A40" s="94"/>
      <c r="B40" s="110"/>
      <c r="C40" s="98"/>
      <c r="D40" s="99"/>
      <c r="E40" s="89"/>
      <c r="F40" s="90"/>
      <c r="G40" s="91"/>
    </row>
    <row r="41" spans="1:7" s="33" customFormat="1" x14ac:dyDescent="0.2">
      <c r="A41" s="94"/>
      <c r="B41" s="110"/>
      <c r="C41" s="98"/>
      <c r="D41" s="99"/>
      <c r="E41" s="89"/>
      <c r="F41" s="90"/>
      <c r="G41" s="91"/>
    </row>
    <row r="42" spans="1:7" s="33" customFormat="1" x14ac:dyDescent="0.2">
      <c r="A42" s="94"/>
      <c r="B42" s="110"/>
      <c r="C42" s="98"/>
      <c r="D42" s="99"/>
      <c r="E42" s="89"/>
      <c r="F42" s="90"/>
      <c r="G42" s="91"/>
    </row>
    <row r="43" spans="1:7" s="33" customFormat="1" x14ac:dyDescent="0.2">
      <c r="A43" s="94"/>
      <c r="B43" s="110"/>
      <c r="C43" s="98"/>
      <c r="D43" s="99"/>
      <c r="E43" s="89"/>
      <c r="F43" s="90"/>
      <c r="G43" s="91"/>
    </row>
    <row r="44" spans="1:7" s="33" customFormat="1" x14ac:dyDescent="0.2">
      <c r="A44" s="94"/>
      <c r="B44" s="110"/>
      <c r="C44" s="98"/>
      <c r="D44" s="99"/>
      <c r="E44" s="89"/>
      <c r="F44" s="90"/>
      <c r="G44" s="91"/>
    </row>
    <row r="45" spans="1:7" s="33" customFormat="1" x14ac:dyDescent="0.2">
      <c r="A45" s="94"/>
      <c r="B45" s="110"/>
      <c r="C45" s="98"/>
      <c r="D45" s="99"/>
      <c r="E45" s="89"/>
      <c r="F45" s="90"/>
      <c r="G45" s="91"/>
    </row>
    <row r="46" spans="1:7" s="33" customFormat="1" x14ac:dyDescent="0.2">
      <c r="A46" s="94"/>
      <c r="B46" s="110"/>
      <c r="C46" s="98"/>
      <c r="D46" s="99"/>
      <c r="E46" s="89"/>
      <c r="F46" s="90"/>
      <c r="G46" s="91"/>
    </row>
    <row r="47" spans="1:7" s="33" customFormat="1" ht="12.75" thickBot="1" x14ac:dyDescent="0.25">
      <c r="A47" s="94"/>
      <c r="B47" s="110"/>
      <c r="C47" s="98"/>
      <c r="D47" s="99"/>
      <c r="E47" s="89"/>
      <c r="F47" s="90"/>
      <c r="G47" s="91"/>
    </row>
    <row r="48" spans="1:7" s="33" customFormat="1" x14ac:dyDescent="0.2">
      <c r="A48" s="78"/>
      <c r="B48" s="111" t="s">
        <v>37</v>
      </c>
      <c r="C48" s="112"/>
      <c r="D48" s="113"/>
      <c r="E48" s="82"/>
      <c r="F48" s="83"/>
      <c r="G48" s="114"/>
    </row>
    <row r="49" spans="1:18" s="33" customFormat="1" ht="12.75" thickBot="1" x14ac:dyDescent="0.25">
      <c r="A49" s="115"/>
      <c r="B49" s="116" t="s">
        <v>38</v>
      </c>
      <c r="C49" s="117"/>
      <c r="D49" s="118"/>
      <c r="E49" s="119"/>
      <c r="F49" s="120"/>
      <c r="G49" s="121">
        <f>SUM(G22:G48)</f>
        <v>0</v>
      </c>
    </row>
    <row r="50" spans="1:18" s="33" customFormat="1" x14ac:dyDescent="0.2">
      <c r="A50" s="85"/>
      <c r="B50" s="122"/>
      <c r="C50" s="123"/>
      <c r="D50" s="99"/>
      <c r="E50" s="89"/>
      <c r="F50" s="90"/>
      <c r="G50" s="91"/>
    </row>
    <row r="51" spans="1:18" s="33" customFormat="1" x14ac:dyDescent="0.2">
      <c r="A51" s="85"/>
      <c r="B51" s="86" t="s">
        <v>39</v>
      </c>
      <c r="C51" s="87"/>
      <c r="D51" s="88"/>
      <c r="E51" s="89"/>
      <c r="F51" s="90"/>
      <c r="G51" s="91"/>
    </row>
    <row r="52" spans="1:18" s="33" customFormat="1" x14ac:dyDescent="0.2">
      <c r="A52" s="85"/>
      <c r="B52" s="86" t="s">
        <v>40</v>
      </c>
      <c r="C52" s="87"/>
      <c r="D52" s="88"/>
      <c r="E52" s="89"/>
      <c r="F52" s="90"/>
      <c r="G52" s="91"/>
    </row>
    <row r="53" spans="1:18" s="33" customFormat="1" x14ac:dyDescent="0.2">
      <c r="A53" s="85">
        <v>2.1</v>
      </c>
      <c r="B53" s="93" t="s">
        <v>41</v>
      </c>
      <c r="C53" s="87"/>
      <c r="D53" s="88"/>
      <c r="E53" s="89"/>
      <c r="F53" s="90"/>
      <c r="G53" s="91"/>
    </row>
    <row r="54" spans="1:18" s="33" customFormat="1" ht="65.25" customHeight="1" x14ac:dyDescent="0.2">
      <c r="A54" s="85"/>
      <c r="B54" s="124" t="s">
        <v>219</v>
      </c>
      <c r="C54" s="125"/>
      <c r="D54" s="125"/>
      <c r="E54" s="125"/>
      <c r="F54" s="125"/>
      <c r="G54" s="126"/>
    </row>
    <row r="55" spans="1:18" s="33" customFormat="1" x14ac:dyDescent="0.25">
      <c r="A55" s="127"/>
      <c r="B55" s="128"/>
      <c r="C55" s="128"/>
      <c r="D55" s="129"/>
      <c r="E55" s="130"/>
      <c r="F55" s="128"/>
      <c r="G55" s="131"/>
    </row>
    <row r="56" spans="1:18" s="33" customFormat="1" x14ac:dyDescent="0.2">
      <c r="A56" s="85" t="s">
        <v>10</v>
      </c>
      <c r="B56" s="132" t="s">
        <v>59</v>
      </c>
      <c r="C56" s="98"/>
      <c r="D56" s="133"/>
      <c r="E56" s="134"/>
      <c r="F56" s="101"/>
      <c r="G56" s="102">
        <f t="shared" ref="G56:G66" si="2">(D56*E56)+(D56*F56)</f>
        <v>0</v>
      </c>
    </row>
    <row r="57" spans="1:18" s="33" customFormat="1" ht="64.5" customHeight="1" x14ac:dyDescent="0.2">
      <c r="A57" s="85"/>
      <c r="B57" s="100" t="s">
        <v>530</v>
      </c>
      <c r="C57" s="98" t="s">
        <v>44</v>
      </c>
      <c r="D57" s="135">
        <v>630.48</v>
      </c>
      <c r="E57" s="89"/>
      <c r="F57" s="101"/>
      <c r="G57" s="102">
        <f t="shared" si="2"/>
        <v>0</v>
      </c>
      <c r="I57" s="33">
        <f>42.6*14.8</f>
        <v>630.48</v>
      </c>
    </row>
    <row r="58" spans="1:18" s="33" customFormat="1" x14ac:dyDescent="0.2">
      <c r="A58" s="85"/>
      <c r="B58" s="100"/>
      <c r="C58" s="98"/>
      <c r="D58" s="135"/>
      <c r="E58" s="89"/>
      <c r="F58" s="101"/>
      <c r="G58" s="102">
        <f t="shared" si="2"/>
        <v>0</v>
      </c>
    </row>
    <row r="59" spans="1:18" s="33" customFormat="1" x14ac:dyDescent="0.2">
      <c r="A59" s="85" t="s">
        <v>16</v>
      </c>
      <c r="B59" s="136" t="s">
        <v>42</v>
      </c>
      <c r="C59" s="98"/>
      <c r="D59" s="137"/>
      <c r="E59" s="89"/>
      <c r="F59" s="101"/>
      <c r="G59" s="102">
        <f t="shared" si="2"/>
        <v>0</v>
      </c>
    </row>
    <row r="60" spans="1:18" s="33" customFormat="1" ht="51" customHeight="1" x14ac:dyDescent="0.2">
      <c r="A60" s="85"/>
      <c r="B60" s="138" t="s">
        <v>43</v>
      </c>
      <c r="C60" s="98" t="s">
        <v>44</v>
      </c>
      <c r="D60" s="137"/>
      <c r="E60" s="89"/>
      <c r="F60" s="101"/>
      <c r="G60" s="102">
        <f t="shared" si="2"/>
        <v>0</v>
      </c>
      <c r="I60" s="33">
        <f>16.336*8.75</f>
        <v>142.94</v>
      </c>
    </row>
    <row r="61" spans="1:18" s="33" customFormat="1" x14ac:dyDescent="0.2">
      <c r="A61" s="85"/>
      <c r="B61" s="139"/>
      <c r="C61" s="98"/>
      <c r="D61" s="99"/>
      <c r="E61" s="89"/>
      <c r="F61" s="101"/>
      <c r="G61" s="102">
        <f t="shared" si="2"/>
        <v>0</v>
      </c>
    </row>
    <row r="62" spans="1:18" s="33" customFormat="1" x14ac:dyDescent="0.2">
      <c r="A62" s="85" t="s">
        <v>47</v>
      </c>
      <c r="B62" s="140" t="s">
        <v>45</v>
      </c>
      <c r="C62" s="98"/>
      <c r="D62" s="99"/>
      <c r="E62" s="89"/>
      <c r="F62" s="101"/>
      <c r="G62" s="102">
        <f t="shared" si="2"/>
        <v>0</v>
      </c>
    </row>
    <row r="63" spans="1:18" s="33" customFormat="1" ht="48.75" customHeight="1" x14ac:dyDescent="0.2">
      <c r="A63" s="127"/>
      <c r="B63" s="141" t="s">
        <v>480</v>
      </c>
      <c r="C63" s="141"/>
      <c r="D63" s="141"/>
      <c r="E63" s="141"/>
      <c r="F63" s="101"/>
      <c r="G63" s="102">
        <f t="shared" si="2"/>
        <v>0</v>
      </c>
      <c r="I63" s="33">
        <f>1.1*1.1*7</f>
        <v>8.4700000000000006</v>
      </c>
      <c r="J63" s="33">
        <f>1.45*1.45*13</f>
        <v>27.3325</v>
      </c>
      <c r="K63" s="33">
        <f>1.35*1.35*10</f>
        <v>18.225000000000001</v>
      </c>
      <c r="L63" s="33">
        <f>1.2*1.2*4</f>
        <v>5.76</v>
      </c>
      <c r="M63" s="33">
        <f>0.9*0.9*2</f>
        <v>1.62</v>
      </c>
      <c r="N63" s="33">
        <f>1.25*1.25*5</f>
        <v>7.8125</v>
      </c>
      <c r="O63" s="33">
        <f>1.95*1.95*3</f>
        <v>11.407499999999999</v>
      </c>
      <c r="P63" s="33">
        <f>2.05*2.05*3*3</f>
        <v>37.822499999999991</v>
      </c>
      <c r="Q63" s="33">
        <f>SUM(I62:P63)</f>
        <v>118.44999999999999</v>
      </c>
      <c r="R63" s="33">
        <f>Q63*1.25</f>
        <v>148.0625</v>
      </c>
    </row>
    <row r="64" spans="1:18" s="33" customFormat="1" ht="12.75" customHeight="1" x14ac:dyDescent="0.2">
      <c r="A64" s="85" t="s">
        <v>49</v>
      </c>
      <c r="B64" s="142" t="s">
        <v>45</v>
      </c>
      <c r="C64" s="98"/>
      <c r="D64" s="99"/>
      <c r="E64" s="89"/>
      <c r="F64" s="101"/>
      <c r="G64" s="102">
        <f t="shared" si="2"/>
        <v>0</v>
      </c>
      <c r="I64" s="33">
        <f>2.175+2.15+2.2*9+2.225+2.175+2.1*3+2.15*7+2.225+2.5+2.4*3+2.225*7+2.325+1.25*2+3.255*2+3.195*2</f>
        <v>95.100000000000009</v>
      </c>
      <c r="J64" s="36">
        <f>I64*0.55</f>
        <v>52.305000000000007</v>
      </c>
      <c r="K64" s="29"/>
      <c r="L64" s="29">
        <f>2.87+2.72*3+2.92*2+2.93*2+2.98*4+4.65*2+4.75*2+4.85+1.85*2</f>
        <v>62.000000000000007</v>
      </c>
      <c r="M64" s="29">
        <f>L64*0.55</f>
        <v>34.100000000000009</v>
      </c>
      <c r="N64" s="33">
        <f>J64+M64</f>
        <v>86.405000000000015</v>
      </c>
      <c r="O64" s="33">
        <f>N64*0.95</f>
        <v>82.084750000000014</v>
      </c>
      <c r="P64" s="33">
        <f>R63+O64</f>
        <v>230.14725000000001</v>
      </c>
    </row>
    <row r="65" spans="1:10" s="29" customFormat="1" ht="14.25" x14ac:dyDescent="0.2">
      <c r="A65" s="143" t="s">
        <v>7</v>
      </c>
      <c r="B65" s="144" t="s">
        <v>210</v>
      </c>
      <c r="C65" s="98" t="s">
        <v>46</v>
      </c>
      <c r="D65" s="99">
        <v>230.15</v>
      </c>
      <c r="E65" s="89"/>
      <c r="F65" s="145"/>
      <c r="G65" s="146">
        <f t="shared" si="2"/>
        <v>0</v>
      </c>
      <c r="J65" s="36"/>
    </row>
    <row r="66" spans="1:10" s="33" customFormat="1" x14ac:dyDescent="0.2">
      <c r="A66" s="85"/>
      <c r="B66" s="147"/>
      <c r="C66" s="98"/>
      <c r="D66" s="99"/>
      <c r="E66" s="89"/>
      <c r="F66" s="90"/>
      <c r="G66" s="102">
        <f t="shared" si="2"/>
        <v>0</v>
      </c>
    </row>
    <row r="67" spans="1:10" s="33" customFormat="1" x14ac:dyDescent="0.2">
      <c r="A67" s="85" t="s">
        <v>47</v>
      </c>
      <c r="B67" s="148" t="s">
        <v>48</v>
      </c>
      <c r="C67" s="98"/>
      <c r="D67" s="99"/>
      <c r="E67" s="89"/>
      <c r="F67" s="90"/>
      <c r="G67" s="91"/>
    </row>
    <row r="68" spans="1:10" s="33" customFormat="1" ht="25.5" customHeight="1" x14ac:dyDescent="0.25">
      <c r="A68" s="85"/>
      <c r="B68" s="149" t="s">
        <v>237</v>
      </c>
      <c r="C68" s="150"/>
      <c r="D68" s="150"/>
      <c r="E68" s="150"/>
      <c r="F68" s="90"/>
      <c r="G68" s="91"/>
    </row>
    <row r="69" spans="1:10" s="33" customFormat="1" ht="25.5" customHeight="1" x14ac:dyDescent="0.25">
      <c r="A69" s="85"/>
      <c r="B69" s="110" t="s">
        <v>238</v>
      </c>
      <c r="C69" s="151"/>
      <c r="D69" s="151"/>
      <c r="E69" s="151"/>
      <c r="F69" s="90"/>
      <c r="G69" s="91"/>
    </row>
    <row r="70" spans="1:10" s="33" customFormat="1" ht="24" x14ac:dyDescent="0.2">
      <c r="A70" s="85" t="s">
        <v>164</v>
      </c>
      <c r="B70" s="152" t="s">
        <v>466</v>
      </c>
      <c r="C70" s="98" t="s">
        <v>44</v>
      </c>
      <c r="D70" s="135">
        <v>414</v>
      </c>
      <c r="E70" s="89"/>
      <c r="F70" s="101"/>
      <c r="G70" s="102">
        <f t="shared" ref="G70:G75" si="3">(D70*E70)+(D70*F70)</f>
        <v>0</v>
      </c>
      <c r="I70" s="33">
        <f>38.6*10.725</f>
        <v>413.98500000000001</v>
      </c>
    </row>
    <row r="71" spans="1:10" s="33" customFormat="1" ht="38.25" customHeight="1" x14ac:dyDescent="0.2">
      <c r="A71" s="85" t="s">
        <v>165</v>
      </c>
      <c r="B71" s="152" t="s">
        <v>278</v>
      </c>
      <c r="C71" s="98" t="s">
        <v>44</v>
      </c>
      <c r="D71" s="135">
        <f>D70</f>
        <v>414</v>
      </c>
      <c r="E71" s="89"/>
      <c r="F71" s="101"/>
      <c r="G71" s="102">
        <f t="shared" si="3"/>
        <v>0</v>
      </c>
    </row>
    <row r="72" spans="1:10" s="33" customFormat="1" x14ac:dyDescent="0.2">
      <c r="A72" s="85">
        <v>2.5</v>
      </c>
      <c r="B72" s="140" t="s">
        <v>50</v>
      </c>
      <c r="C72" s="98"/>
      <c r="D72" s="99"/>
      <c r="E72" s="89"/>
      <c r="F72" s="101"/>
      <c r="G72" s="102">
        <f t="shared" si="3"/>
        <v>0</v>
      </c>
    </row>
    <row r="73" spans="1:10" s="33" customFormat="1" ht="27" customHeight="1" x14ac:dyDescent="0.2">
      <c r="A73" s="85"/>
      <c r="B73" s="153" t="s">
        <v>51</v>
      </c>
      <c r="C73" s="98"/>
      <c r="D73" s="99"/>
      <c r="E73" s="89"/>
      <c r="F73" s="101"/>
      <c r="G73" s="102">
        <f t="shared" si="3"/>
        <v>0</v>
      </c>
    </row>
    <row r="74" spans="1:10" s="33" customFormat="1" ht="24" x14ac:dyDescent="0.2">
      <c r="A74" s="85" t="s">
        <v>164</v>
      </c>
      <c r="B74" s="153" t="s">
        <v>52</v>
      </c>
      <c r="C74" s="98" t="s">
        <v>44</v>
      </c>
      <c r="D74" s="99">
        <f>D93+I107</f>
        <v>632.35500000000002</v>
      </c>
      <c r="E74" s="89"/>
      <c r="F74" s="101"/>
      <c r="G74" s="102">
        <f t="shared" si="3"/>
        <v>0</v>
      </c>
      <c r="I74" s="37"/>
      <c r="J74" s="37"/>
    </row>
    <row r="75" spans="1:10" s="33" customFormat="1" x14ac:dyDescent="0.2">
      <c r="A75" s="85"/>
      <c r="B75" s="153"/>
      <c r="C75" s="98"/>
      <c r="D75" s="99"/>
      <c r="E75" s="89"/>
      <c r="F75" s="90"/>
      <c r="G75" s="102">
        <f t="shared" si="3"/>
        <v>0</v>
      </c>
      <c r="I75" s="37"/>
    </row>
    <row r="76" spans="1:10" s="33" customFormat="1" x14ac:dyDescent="0.2">
      <c r="A76" s="85"/>
      <c r="B76" s="153"/>
      <c r="C76" s="98"/>
      <c r="D76" s="99"/>
      <c r="E76" s="89"/>
      <c r="F76" s="90"/>
      <c r="G76" s="91"/>
    </row>
    <row r="77" spans="1:10" s="33" customFormat="1" x14ac:dyDescent="0.2">
      <c r="A77" s="85"/>
      <c r="B77" s="153"/>
      <c r="C77" s="98"/>
      <c r="D77" s="99"/>
      <c r="E77" s="89"/>
      <c r="F77" s="90"/>
      <c r="G77" s="91"/>
    </row>
    <row r="78" spans="1:10" s="33" customFormat="1" x14ac:dyDescent="0.2">
      <c r="A78" s="85"/>
      <c r="B78" s="153"/>
      <c r="C78" s="98"/>
      <c r="D78" s="99"/>
      <c r="E78" s="89"/>
      <c r="F78" s="90"/>
      <c r="G78" s="91"/>
    </row>
    <row r="79" spans="1:10" s="33" customFormat="1" x14ac:dyDescent="0.2">
      <c r="A79" s="85"/>
      <c r="B79" s="153"/>
      <c r="C79" s="98"/>
      <c r="D79" s="99"/>
      <c r="E79" s="89"/>
      <c r="F79" s="90"/>
      <c r="G79" s="91"/>
    </row>
    <row r="80" spans="1:10" s="33" customFormat="1" x14ac:dyDescent="0.2">
      <c r="A80" s="85"/>
      <c r="B80" s="153"/>
      <c r="C80" s="98"/>
      <c r="D80" s="99"/>
      <c r="E80" s="89"/>
      <c r="F80" s="90"/>
      <c r="G80" s="91"/>
    </row>
    <row r="81" spans="1:18" s="33" customFormat="1" x14ac:dyDescent="0.2">
      <c r="A81" s="85"/>
      <c r="B81" s="153"/>
      <c r="C81" s="98"/>
      <c r="D81" s="99"/>
      <c r="E81" s="89"/>
      <c r="F81" s="90"/>
      <c r="G81" s="91"/>
    </row>
    <row r="82" spans="1:18" s="33" customFormat="1" x14ac:dyDescent="0.2">
      <c r="A82" s="85"/>
      <c r="B82" s="153"/>
      <c r="C82" s="98"/>
      <c r="D82" s="99"/>
      <c r="E82" s="89"/>
      <c r="F82" s="90"/>
      <c r="G82" s="91"/>
    </row>
    <row r="83" spans="1:18" s="33" customFormat="1" ht="12.75" thickBot="1" x14ac:dyDescent="0.25">
      <c r="A83" s="85"/>
      <c r="B83" s="153"/>
      <c r="C83" s="98"/>
      <c r="D83" s="99"/>
      <c r="E83" s="89"/>
      <c r="F83" s="90"/>
      <c r="G83" s="91"/>
    </row>
    <row r="84" spans="1:18" s="33" customFormat="1" x14ac:dyDescent="0.2">
      <c r="A84" s="78"/>
      <c r="B84" s="111" t="s">
        <v>53</v>
      </c>
      <c r="C84" s="154"/>
      <c r="D84" s="113"/>
      <c r="E84" s="82"/>
      <c r="F84" s="83"/>
      <c r="G84" s="114"/>
    </row>
    <row r="85" spans="1:18" s="33" customFormat="1" ht="12.75" thickBot="1" x14ac:dyDescent="0.25">
      <c r="A85" s="115"/>
      <c r="B85" s="116" t="s">
        <v>54</v>
      </c>
      <c r="C85" s="155"/>
      <c r="D85" s="118"/>
      <c r="E85" s="119"/>
      <c r="F85" s="120"/>
      <c r="G85" s="121">
        <f>SUM(G57:G84)</f>
        <v>0</v>
      </c>
    </row>
    <row r="86" spans="1:18" s="33" customFormat="1" x14ac:dyDescent="0.2">
      <c r="A86" s="85"/>
      <c r="B86" s="86" t="s">
        <v>55</v>
      </c>
      <c r="C86" s="98"/>
      <c r="D86" s="99"/>
      <c r="E86" s="89"/>
      <c r="F86" s="90"/>
      <c r="G86" s="91"/>
    </row>
    <row r="87" spans="1:18" s="33" customFormat="1" x14ac:dyDescent="0.2">
      <c r="A87" s="85" t="s">
        <v>56</v>
      </c>
      <c r="B87" s="156" t="s">
        <v>57</v>
      </c>
      <c r="C87" s="98"/>
      <c r="D87" s="99"/>
      <c r="E87" s="89"/>
      <c r="F87" s="90"/>
      <c r="G87" s="91"/>
    </row>
    <row r="88" spans="1:18" s="33" customFormat="1" ht="58.5" customHeight="1" x14ac:dyDescent="0.25">
      <c r="A88" s="85"/>
      <c r="B88" s="149" t="s">
        <v>221</v>
      </c>
      <c r="C88" s="150"/>
      <c r="D88" s="150"/>
      <c r="E88" s="150"/>
      <c r="F88" s="150"/>
      <c r="G88" s="157"/>
    </row>
    <row r="89" spans="1:18" s="33" customFormat="1" ht="35.25" customHeight="1" x14ac:dyDescent="0.25">
      <c r="A89" s="85"/>
      <c r="B89" s="149" t="s">
        <v>220</v>
      </c>
      <c r="C89" s="150"/>
      <c r="D89" s="150"/>
      <c r="E89" s="150"/>
      <c r="F89" s="150"/>
      <c r="G89" s="157"/>
    </row>
    <row r="90" spans="1:18" s="33" customFormat="1" ht="36" customHeight="1" x14ac:dyDescent="0.25">
      <c r="A90" s="85"/>
      <c r="B90" s="149" t="s">
        <v>156</v>
      </c>
      <c r="C90" s="150"/>
      <c r="D90" s="150"/>
      <c r="E90" s="150"/>
      <c r="F90" s="150"/>
      <c r="G90" s="157"/>
    </row>
    <row r="91" spans="1:18" s="33" customFormat="1" ht="15" customHeight="1" x14ac:dyDescent="0.2">
      <c r="A91" s="158" t="s">
        <v>60</v>
      </c>
      <c r="B91" s="159" t="s">
        <v>61</v>
      </c>
      <c r="C91" s="160"/>
      <c r="D91" s="161"/>
      <c r="E91" s="162"/>
      <c r="F91" s="163"/>
      <c r="G91" s="164"/>
    </row>
    <row r="92" spans="1:18" s="38" customFormat="1" ht="14.25" customHeight="1" x14ac:dyDescent="0.25">
      <c r="A92" s="106"/>
      <c r="B92" s="140" t="s">
        <v>259</v>
      </c>
      <c r="C92" s="108"/>
      <c r="D92" s="109"/>
      <c r="E92" s="165"/>
      <c r="F92" s="166"/>
      <c r="G92" s="167"/>
      <c r="I92" s="33">
        <f>1.1*1.1*7</f>
        <v>8.4700000000000006</v>
      </c>
      <c r="J92" s="33">
        <f>1.45*1.45*13</f>
        <v>27.3325</v>
      </c>
      <c r="K92" s="33">
        <f>1.35*1.35*10</f>
        <v>18.225000000000001</v>
      </c>
      <c r="L92" s="33">
        <f>1.2*1.2*4</f>
        <v>5.76</v>
      </c>
      <c r="M92" s="33">
        <f>0.9*0.9*2</f>
        <v>1.62</v>
      </c>
      <c r="N92" s="33">
        <f>1.25*1.25*5</f>
        <v>7.8125</v>
      </c>
      <c r="O92" s="33">
        <f>1.95*1.95*3</f>
        <v>11.407499999999999</v>
      </c>
      <c r="P92" s="33">
        <f>2.05*2.05*3*3</f>
        <v>37.822499999999991</v>
      </c>
      <c r="Q92" s="33">
        <f>SUM(I91:P92)</f>
        <v>118.44999999999999</v>
      </c>
      <c r="R92" s="33"/>
    </row>
    <row r="93" spans="1:18" s="33" customFormat="1" ht="12" customHeight="1" x14ac:dyDescent="0.2">
      <c r="A93" s="85"/>
      <c r="B93" s="147" t="s">
        <v>272</v>
      </c>
      <c r="C93" s="98" t="s">
        <v>44</v>
      </c>
      <c r="D93" s="99">
        <v>204.86</v>
      </c>
      <c r="E93" s="89"/>
      <c r="F93" s="101"/>
      <c r="G93" s="102">
        <f>(D93*E93)+(D93*F93)</f>
        <v>0</v>
      </c>
      <c r="I93" s="33">
        <f>2.175+2.15+2.2*9+2.225+2.175+2.1*3+2.15*7+2.225+2.5+2.4*3+2.225*7+2.325+1.25*2+3.255*2+3.195*2</f>
        <v>95.100000000000009</v>
      </c>
      <c r="J93" s="36">
        <f>I93*0.55</f>
        <v>52.305000000000007</v>
      </c>
      <c r="K93" s="29"/>
      <c r="L93" s="29">
        <f>2.87+2.72*3+2.92*2+2.93*2+2.98*4+4.65*2+4.75*2+4.85+1.85*2</f>
        <v>62.000000000000007</v>
      </c>
      <c r="M93" s="29">
        <f>L93*0.55</f>
        <v>34.100000000000009</v>
      </c>
      <c r="N93" s="33">
        <f>J93+M93</f>
        <v>86.405000000000015</v>
      </c>
      <c r="P93" s="33">
        <f>Q92+N93</f>
        <v>204.85500000000002</v>
      </c>
    </row>
    <row r="94" spans="1:18" s="33" customFormat="1" ht="15" customHeight="1" x14ac:dyDescent="0.2">
      <c r="A94" s="168" t="s">
        <v>66</v>
      </c>
      <c r="B94" s="169" t="s">
        <v>13</v>
      </c>
      <c r="C94" s="170"/>
      <c r="D94" s="161"/>
      <c r="E94" s="162"/>
      <c r="F94" s="163"/>
      <c r="G94" s="164"/>
    </row>
    <row r="95" spans="1:18" x14ac:dyDescent="0.2">
      <c r="A95" s="171" t="s">
        <v>149</v>
      </c>
      <c r="B95" s="172" t="s">
        <v>62</v>
      </c>
      <c r="C95" s="173"/>
      <c r="D95" s="174"/>
      <c r="E95" s="175"/>
      <c r="F95" s="176"/>
      <c r="G95" s="177"/>
    </row>
    <row r="96" spans="1:18" x14ac:dyDescent="0.2">
      <c r="A96" s="85"/>
      <c r="B96" s="147" t="s">
        <v>414</v>
      </c>
      <c r="C96" s="98" t="s">
        <v>46</v>
      </c>
      <c r="D96" s="99">
        <v>17.559999999999999</v>
      </c>
      <c r="E96" s="89"/>
      <c r="F96" s="101"/>
      <c r="G96" s="102">
        <f>(D96*E96)+(D96*F96)</f>
        <v>0</v>
      </c>
      <c r="I96" s="39">
        <f>0.8*0.8*0.3*7</f>
        <v>1.3440000000000003</v>
      </c>
      <c r="J96" s="37">
        <f>1.15*1.15*0.3*13</f>
        <v>5.1577499999999992</v>
      </c>
      <c r="K96" s="33">
        <f>1.05*1.05*0.3*10</f>
        <v>3.3075000000000001</v>
      </c>
      <c r="L96" s="40">
        <f>0.9*0.9*0.3*4</f>
        <v>0.97199999999999998</v>
      </c>
      <c r="M96" s="33">
        <f>0.6*0.6*0.3*2</f>
        <v>0.216</v>
      </c>
      <c r="N96" s="40">
        <f>0.95*0.95*0.3*5</f>
        <v>1.35375</v>
      </c>
      <c r="O96" s="28">
        <f>1.65*1.65*0.3*3</f>
        <v>2.4502499999999996</v>
      </c>
      <c r="P96" s="28">
        <f>1.75*1.75*0.3*3</f>
        <v>2.7562499999999996</v>
      </c>
      <c r="Q96" s="39">
        <f>SUM(I96:P96)</f>
        <v>17.557499999999997</v>
      </c>
    </row>
    <row r="97" spans="1:14" x14ac:dyDescent="0.2">
      <c r="A97" s="85"/>
      <c r="B97" s="147" t="s">
        <v>279</v>
      </c>
      <c r="C97" s="98" t="s">
        <v>46</v>
      </c>
      <c r="D97" s="99">
        <v>15.26</v>
      </c>
      <c r="E97" s="89"/>
      <c r="F97" s="101"/>
      <c r="G97" s="102">
        <f>(D97*E97)+(D97*F97)</f>
        <v>0</v>
      </c>
      <c r="J97" s="37">
        <f>I142*0.25*0.45</f>
        <v>15.254999999999999</v>
      </c>
      <c r="K97" s="37"/>
      <c r="L97" s="40"/>
      <c r="M97" s="33"/>
      <c r="N97" s="40"/>
    </row>
    <row r="98" spans="1:14" x14ac:dyDescent="0.2">
      <c r="A98" s="85"/>
      <c r="B98" s="147" t="s">
        <v>280</v>
      </c>
      <c r="C98" s="98" t="s">
        <v>46</v>
      </c>
      <c r="D98" s="99">
        <v>9.81</v>
      </c>
      <c r="E98" s="89"/>
      <c r="F98" s="101"/>
      <c r="G98" s="102">
        <f>(D98*E98)+(D98*F98)</f>
        <v>0</v>
      </c>
      <c r="J98" s="37">
        <f>I143*0.25*0.45</f>
        <v>9.8099999999999987</v>
      </c>
      <c r="K98" s="37"/>
      <c r="L98" s="40"/>
      <c r="M98" s="33"/>
      <c r="N98" s="40"/>
    </row>
    <row r="99" spans="1:14" x14ac:dyDescent="0.2">
      <c r="A99" s="171" t="s">
        <v>150</v>
      </c>
      <c r="B99" s="172" t="s">
        <v>65</v>
      </c>
      <c r="C99" s="173"/>
      <c r="D99" s="174"/>
      <c r="E99" s="175"/>
      <c r="F99" s="176"/>
      <c r="G99" s="177"/>
    </row>
    <row r="100" spans="1:14" x14ac:dyDescent="0.2">
      <c r="A100" s="178" t="s">
        <v>154</v>
      </c>
      <c r="B100" s="179" t="s">
        <v>172</v>
      </c>
      <c r="C100" s="180"/>
      <c r="D100" s="181"/>
      <c r="E100" s="182"/>
      <c r="F100" s="183"/>
      <c r="G100" s="184"/>
    </row>
    <row r="101" spans="1:14" ht="13.5" x14ac:dyDescent="0.2">
      <c r="A101" s="185"/>
      <c r="B101" s="186" t="s">
        <v>504</v>
      </c>
      <c r="C101" s="187" t="s">
        <v>481</v>
      </c>
      <c r="D101" s="133">
        <v>7.0110000000000001</v>
      </c>
      <c r="E101" s="89"/>
      <c r="F101" s="101"/>
      <c r="G101" s="102">
        <f t="shared" ref="G101:G111" si="4">(D101*E101)+(D101*F101)</f>
        <v>0</v>
      </c>
      <c r="I101" s="28">
        <f>0.2*0.2*4.275*41</f>
        <v>7.0110000000000019</v>
      </c>
    </row>
    <row r="102" spans="1:14" ht="13.5" x14ac:dyDescent="0.2">
      <c r="A102" s="185"/>
      <c r="B102" s="186" t="s">
        <v>505</v>
      </c>
      <c r="C102" s="187" t="s">
        <v>481</v>
      </c>
      <c r="D102" s="133">
        <v>2.052</v>
      </c>
      <c r="E102" s="89"/>
      <c r="F102" s="101"/>
      <c r="G102" s="102">
        <f t="shared" si="4"/>
        <v>0</v>
      </c>
      <c r="I102" s="28">
        <f>0.4*0.2*4.275*6</f>
        <v>2.0520000000000005</v>
      </c>
    </row>
    <row r="103" spans="1:14" ht="13.5" x14ac:dyDescent="0.2">
      <c r="A103" s="185"/>
      <c r="B103" s="186" t="s">
        <v>506</v>
      </c>
      <c r="C103" s="187" t="s">
        <v>481</v>
      </c>
      <c r="D103" s="133">
        <v>0.6</v>
      </c>
      <c r="E103" s="89"/>
      <c r="F103" s="101"/>
      <c r="G103" s="102">
        <f t="shared" si="4"/>
        <v>0</v>
      </c>
      <c r="I103" s="28">
        <f>0.15*0.15*3.825*7</f>
        <v>0.60243749999999996</v>
      </c>
    </row>
    <row r="104" spans="1:14" x14ac:dyDescent="0.2">
      <c r="A104" s="178" t="s">
        <v>10</v>
      </c>
      <c r="B104" s="179" t="s">
        <v>198</v>
      </c>
      <c r="C104" s="180"/>
      <c r="D104" s="181"/>
      <c r="E104" s="182"/>
      <c r="F104" s="101"/>
      <c r="G104" s="102">
        <f t="shared" si="4"/>
        <v>0</v>
      </c>
    </row>
    <row r="105" spans="1:14" ht="13.5" x14ac:dyDescent="0.2">
      <c r="A105" s="185"/>
      <c r="B105" s="186" t="s">
        <v>282</v>
      </c>
      <c r="C105" s="187" t="s">
        <v>481</v>
      </c>
      <c r="D105" s="133">
        <v>3.1</v>
      </c>
      <c r="E105" s="89"/>
      <c r="F105" s="101"/>
      <c r="G105" s="102">
        <f t="shared" si="4"/>
        <v>0</v>
      </c>
    </row>
    <row r="106" spans="1:14" x14ac:dyDescent="0.2">
      <c r="A106" s="178" t="s">
        <v>16</v>
      </c>
      <c r="B106" s="179" t="s">
        <v>200</v>
      </c>
      <c r="C106" s="180"/>
      <c r="D106" s="181"/>
      <c r="E106" s="182"/>
      <c r="F106" s="101"/>
      <c r="G106" s="102">
        <f t="shared" si="4"/>
        <v>0</v>
      </c>
    </row>
    <row r="107" spans="1:14" ht="13.5" x14ac:dyDescent="0.2">
      <c r="A107" s="185"/>
      <c r="B107" s="186" t="s">
        <v>281</v>
      </c>
      <c r="C107" s="187" t="s">
        <v>481</v>
      </c>
      <c r="D107" s="133">
        <v>43.91</v>
      </c>
      <c r="E107" s="89"/>
      <c r="F107" s="101"/>
      <c r="G107" s="102">
        <f t="shared" si="4"/>
        <v>0</v>
      </c>
      <c r="I107" s="28">
        <f>38.6*11.075</f>
        <v>427.495</v>
      </c>
      <c r="J107" s="28">
        <f>38.6*0.15*2</f>
        <v>11.58</v>
      </c>
      <c r="K107" s="28">
        <f>SUM(I107:J107)</f>
        <v>439.07499999999999</v>
      </c>
      <c r="L107" s="28">
        <f>K107*0.1</f>
        <v>43.907499999999999</v>
      </c>
    </row>
    <row r="108" spans="1:14" x14ac:dyDescent="0.2">
      <c r="A108" s="178" t="s">
        <v>47</v>
      </c>
      <c r="B108" s="179" t="s">
        <v>415</v>
      </c>
      <c r="C108" s="180"/>
      <c r="D108" s="181"/>
      <c r="E108" s="182"/>
      <c r="F108" s="101"/>
      <c r="G108" s="102">
        <f t="shared" si="4"/>
        <v>0</v>
      </c>
      <c r="H108" s="41"/>
      <c r="I108" s="41"/>
      <c r="J108" s="41"/>
    </row>
    <row r="109" spans="1:14" ht="13.5" x14ac:dyDescent="0.2">
      <c r="A109" s="185"/>
      <c r="B109" s="186" t="s">
        <v>285</v>
      </c>
      <c r="C109" s="187" t="s">
        <v>481</v>
      </c>
      <c r="D109" s="133">
        <v>1.26</v>
      </c>
      <c r="E109" s="89"/>
      <c r="F109" s="101"/>
      <c r="G109" s="102">
        <f t="shared" si="4"/>
        <v>0</v>
      </c>
      <c r="H109" s="41"/>
      <c r="I109" s="41">
        <f>4.02*2+3*2+4.08</f>
        <v>18.119999999999997</v>
      </c>
      <c r="J109" s="41">
        <f>I109*0.2*0.3</f>
        <v>1.0871999999999999</v>
      </c>
      <c r="K109" s="28">
        <f>2.575*0.45*0.15</f>
        <v>0.17381250000000001</v>
      </c>
      <c r="L109" s="28">
        <f>SUM(J109:K109)</f>
        <v>1.2610124999999999</v>
      </c>
    </row>
    <row r="110" spans="1:14" x14ac:dyDescent="0.2">
      <c r="A110" s="178" t="s">
        <v>416</v>
      </c>
      <c r="B110" s="179" t="s">
        <v>417</v>
      </c>
      <c r="C110" s="180"/>
      <c r="D110" s="181"/>
      <c r="E110" s="182"/>
      <c r="F110" s="101"/>
      <c r="G110" s="102">
        <f t="shared" si="4"/>
        <v>0</v>
      </c>
      <c r="H110" s="41"/>
      <c r="I110" s="41"/>
      <c r="J110" s="41"/>
    </row>
    <row r="111" spans="1:14" ht="13.5" x14ac:dyDescent="0.2">
      <c r="A111" s="185"/>
      <c r="B111" s="186" t="s">
        <v>292</v>
      </c>
      <c r="C111" s="187" t="s">
        <v>481</v>
      </c>
      <c r="D111" s="133">
        <v>3.05</v>
      </c>
      <c r="E111" s="89"/>
      <c r="F111" s="101"/>
      <c r="G111" s="102">
        <f t="shared" si="4"/>
        <v>0</v>
      </c>
      <c r="H111" s="41"/>
      <c r="I111" s="41">
        <f>5.925*3.4</f>
        <v>20.145</v>
      </c>
      <c r="J111" s="41">
        <f>I111*0.15</f>
        <v>3.0217499999999999</v>
      </c>
    </row>
    <row r="112" spans="1:14" x14ac:dyDescent="0.2">
      <c r="A112" s="171" t="s">
        <v>56</v>
      </c>
      <c r="B112" s="172" t="s">
        <v>67</v>
      </c>
      <c r="C112" s="173"/>
      <c r="D112" s="174"/>
      <c r="E112" s="175"/>
      <c r="F112" s="176"/>
      <c r="G112" s="177"/>
    </row>
    <row r="113" spans="1:12" x14ac:dyDescent="0.2">
      <c r="A113" s="178" t="s">
        <v>155</v>
      </c>
      <c r="B113" s="179" t="s">
        <v>283</v>
      </c>
      <c r="C113" s="180"/>
      <c r="D113" s="181"/>
      <c r="E113" s="182"/>
      <c r="F113" s="183"/>
      <c r="G113" s="184"/>
    </row>
    <row r="114" spans="1:12" ht="13.5" x14ac:dyDescent="0.2">
      <c r="A114" s="185"/>
      <c r="B114" s="186" t="s">
        <v>285</v>
      </c>
      <c r="C114" s="187" t="s">
        <v>481</v>
      </c>
      <c r="D114" s="133">
        <v>4.3600000000000003</v>
      </c>
      <c r="E114" s="89"/>
      <c r="F114" s="101"/>
      <c r="G114" s="102">
        <f t="shared" ref="G114:G121" si="5">(D114*E114)+(D114*F114)</f>
        <v>0</v>
      </c>
      <c r="I114" s="28">
        <f>3*11+3*12+1.8*2</f>
        <v>72.599999999999994</v>
      </c>
      <c r="J114" s="28">
        <f>I114*0.2*0.3</f>
        <v>4.3559999999999999</v>
      </c>
    </row>
    <row r="115" spans="1:12" ht="13.5" x14ac:dyDescent="0.2">
      <c r="A115" s="185"/>
      <c r="B115" s="186" t="s">
        <v>286</v>
      </c>
      <c r="C115" s="187" t="s">
        <v>481</v>
      </c>
      <c r="D115" s="133">
        <v>0.49</v>
      </c>
      <c r="E115" s="89"/>
      <c r="F115" s="101"/>
      <c r="G115" s="102">
        <f t="shared" si="5"/>
        <v>0</v>
      </c>
      <c r="I115" s="28">
        <f>4.02+4.08</f>
        <v>8.1</v>
      </c>
      <c r="J115" s="28">
        <f>I115*0.2*0.3</f>
        <v>0.48599999999999999</v>
      </c>
    </row>
    <row r="116" spans="1:12" ht="13.5" x14ac:dyDescent="0.2">
      <c r="A116" s="185"/>
      <c r="B116" s="186" t="s">
        <v>287</v>
      </c>
      <c r="C116" s="187" t="s">
        <v>481</v>
      </c>
      <c r="D116" s="133">
        <v>2.8439999999999999</v>
      </c>
      <c r="E116" s="89"/>
      <c r="F116" s="101"/>
      <c r="G116" s="102">
        <f t="shared" si="5"/>
        <v>0</v>
      </c>
      <c r="I116" s="28">
        <f>3.82*6+4.08*6</f>
        <v>47.4</v>
      </c>
      <c r="J116" s="28">
        <f>I116*0.2*0.3</f>
        <v>2.8439999999999999</v>
      </c>
    </row>
    <row r="117" spans="1:12" ht="13.5" x14ac:dyDescent="0.2">
      <c r="A117" s="185"/>
      <c r="B117" s="186" t="s">
        <v>288</v>
      </c>
      <c r="C117" s="187" t="s">
        <v>481</v>
      </c>
      <c r="D117" s="133">
        <v>2.16</v>
      </c>
      <c r="E117" s="89"/>
      <c r="F117" s="101"/>
      <c r="G117" s="102">
        <f t="shared" si="5"/>
        <v>0</v>
      </c>
      <c r="I117" s="28">
        <f>3*12</f>
        <v>36</v>
      </c>
      <c r="J117" s="28">
        <f>I117*0.2*0.3</f>
        <v>2.16</v>
      </c>
    </row>
    <row r="118" spans="1:12" ht="13.5" x14ac:dyDescent="0.2">
      <c r="A118" s="185"/>
      <c r="B118" s="186" t="s">
        <v>289</v>
      </c>
      <c r="C118" s="187" t="s">
        <v>481</v>
      </c>
      <c r="D118" s="133">
        <v>0.24</v>
      </c>
      <c r="E118" s="89"/>
      <c r="F118" s="101"/>
      <c r="G118" s="102">
        <f t="shared" si="5"/>
        <v>0</v>
      </c>
      <c r="I118" s="28">
        <v>3</v>
      </c>
      <c r="J118" s="28">
        <f>I118*0.2*0.4</f>
        <v>0.24000000000000005</v>
      </c>
    </row>
    <row r="119" spans="1:12" ht="13.5" x14ac:dyDescent="0.2">
      <c r="A119" s="185"/>
      <c r="B119" s="186" t="s">
        <v>290</v>
      </c>
      <c r="C119" s="187" t="s">
        <v>481</v>
      </c>
      <c r="D119" s="133">
        <v>2.98</v>
      </c>
      <c r="E119" s="89"/>
      <c r="F119" s="101"/>
      <c r="G119" s="102">
        <f t="shared" si="5"/>
        <v>0</v>
      </c>
      <c r="I119" s="28">
        <f>6.2*6</f>
        <v>37.200000000000003</v>
      </c>
      <c r="J119" s="28">
        <f>I119*0.2*0.4</f>
        <v>2.9760000000000009</v>
      </c>
    </row>
    <row r="120" spans="1:12" x14ac:dyDescent="0.2">
      <c r="A120" s="178" t="s">
        <v>66</v>
      </c>
      <c r="B120" s="179" t="s">
        <v>284</v>
      </c>
      <c r="C120" s="180"/>
      <c r="D120" s="181"/>
      <c r="E120" s="182"/>
      <c r="F120" s="101"/>
      <c r="G120" s="102">
        <f t="shared" si="5"/>
        <v>0</v>
      </c>
    </row>
    <row r="121" spans="1:12" ht="13.5" x14ac:dyDescent="0.2">
      <c r="A121" s="185"/>
      <c r="B121" s="186" t="s">
        <v>291</v>
      </c>
      <c r="C121" s="187" t="s">
        <v>481</v>
      </c>
      <c r="D121" s="133">
        <v>57.9</v>
      </c>
      <c r="E121" s="89"/>
      <c r="F121" s="101"/>
      <c r="G121" s="102">
        <f t="shared" si="5"/>
        <v>0</v>
      </c>
      <c r="I121" s="28">
        <f>35.4*8.5</f>
        <v>300.89999999999998</v>
      </c>
      <c r="J121" s="28">
        <f>38.6*2.2</f>
        <v>84.920000000000016</v>
      </c>
      <c r="K121" s="28">
        <f>SUM(I121:J121)</f>
        <v>385.82</v>
      </c>
      <c r="L121" s="28">
        <f>K121*0.15</f>
        <v>57.872999999999998</v>
      </c>
    </row>
    <row r="122" spans="1:12" x14ac:dyDescent="0.2">
      <c r="A122" s="178" t="s">
        <v>69</v>
      </c>
      <c r="B122" s="179" t="s">
        <v>172</v>
      </c>
      <c r="C122" s="180"/>
      <c r="D122" s="181"/>
      <c r="E122" s="182"/>
      <c r="F122" s="183"/>
      <c r="G122" s="184"/>
    </row>
    <row r="123" spans="1:12" ht="13.5" x14ac:dyDescent="0.2">
      <c r="A123" s="185"/>
      <c r="B123" s="186" t="s">
        <v>507</v>
      </c>
      <c r="C123" s="187" t="s">
        <v>481</v>
      </c>
      <c r="D123" s="133">
        <v>5.74</v>
      </c>
      <c r="E123" s="89"/>
      <c r="F123" s="101"/>
      <c r="G123" s="102">
        <f>(D123*E123)+(D123*F123)</f>
        <v>0</v>
      </c>
      <c r="I123" s="28">
        <f>0.2*0.2*3.5*41</f>
        <v>5.74</v>
      </c>
    </row>
    <row r="124" spans="1:12" ht="13.5" x14ac:dyDescent="0.2">
      <c r="A124" s="185"/>
      <c r="B124" s="186" t="s">
        <v>508</v>
      </c>
      <c r="C124" s="187" t="s">
        <v>481</v>
      </c>
      <c r="D124" s="133">
        <v>1.68</v>
      </c>
      <c r="E124" s="89"/>
      <c r="F124" s="101"/>
      <c r="G124" s="102">
        <f>(D124*E124)+(D124*F124)</f>
        <v>0</v>
      </c>
      <c r="I124" s="28">
        <f>0.4*0.2*3.5*6</f>
        <v>1.6800000000000002</v>
      </c>
    </row>
    <row r="125" spans="1:12" ht="13.5" x14ac:dyDescent="0.2">
      <c r="A125" s="185"/>
      <c r="B125" s="186" t="s">
        <v>509</v>
      </c>
      <c r="C125" s="187" t="s">
        <v>481</v>
      </c>
      <c r="D125" s="133">
        <v>0.48</v>
      </c>
      <c r="E125" s="89"/>
      <c r="F125" s="101"/>
      <c r="G125" s="102">
        <f>(D125*E125)+(D125*F125)</f>
        <v>0</v>
      </c>
      <c r="I125" s="28">
        <f>0.15*0.15*3.05*7</f>
        <v>0.48037499999999994</v>
      </c>
    </row>
    <row r="126" spans="1:12" x14ac:dyDescent="0.2">
      <c r="A126" s="171" t="s">
        <v>151</v>
      </c>
      <c r="B126" s="172" t="s">
        <v>262</v>
      </c>
      <c r="C126" s="173"/>
      <c r="D126" s="174"/>
      <c r="E126" s="175"/>
      <c r="F126" s="176"/>
      <c r="G126" s="177"/>
    </row>
    <row r="127" spans="1:12" x14ac:dyDescent="0.2">
      <c r="A127" s="178" t="s">
        <v>101</v>
      </c>
      <c r="B127" s="179" t="s">
        <v>276</v>
      </c>
      <c r="C127" s="180"/>
      <c r="D127" s="181"/>
      <c r="E127" s="182"/>
      <c r="F127" s="183"/>
      <c r="G127" s="184"/>
    </row>
    <row r="128" spans="1:12" ht="13.5" x14ac:dyDescent="0.2">
      <c r="A128" s="185"/>
      <c r="B128" s="186" t="s">
        <v>295</v>
      </c>
      <c r="C128" s="187" t="s">
        <v>481</v>
      </c>
      <c r="D128" s="133">
        <v>2.2320000000000002</v>
      </c>
      <c r="E128" s="89"/>
      <c r="F128" s="101"/>
      <c r="G128" s="102">
        <f>(D128*E128)+(D128*F128)</f>
        <v>0</v>
      </c>
      <c r="I128" s="28">
        <f>6.2*5</f>
        <v>31</v>
      </c>
      <c r="J128" s="28">
        <f>I128*0.2*0.45</f>
        <v>2.79</v>
      </c>
    </row>
    <row r="129" spans="1:17" ht="13.5" x14ac:dyDescent="0.2">
      <c r="A129" s="185"/>
      <c r="B129" s="186" t="s">
        <v>294</v>
      </c>
      <c r="C129" s="187" t="s">
        <v>481</v>
      </c>
      <c r="D129" s="133">
        <v>0.54</v>
      </c>
      <c r="E129" s="89"/>
      <c r="F129" s="101"/>
      <c r="G129" s="102">
        <f>(D129*E129)+(D129*F129)</f>
        <v>0</v>
      </c>
      <c r="I129" s="28">
        <f>3*2</f>
        <v>6</v>
      </c>
      <c r="J129" s="28">
        <f>I129*0.2*0.45</f>
        <v>0.54000000000000015</v>
      </c>
    </row>
    <row r="130" spans="1:17" ht="13.5" x14ac:dyDescent="0.2">
      <c r="A130" s="185"/>
      <c r="B130" s="186" t="s">
        <v>293</v>
      </c>
      <c r="C130" s="187" t="s">
        <v>481</v>
      </c>
      <c r="D130" s="133">
        <v>14.9</v>
      </c>
      <c r="E130" s="89"/>
      <c r="F130" s="101"/>
      <c r="G130" s="102">
        <f>(D130*E130)+(D130*F130)</f>
        <v>0</v>
      </c>
      <c r="I130" s="28">
        <f>3*12*3+4.02*2+4.08*8+3.82*6+1.8*8</f>
        <v>186</v>
      </c>
      <c r="J130" s="28">
        <f>I130*0.2*0.4</f>
        <v>14.880000000000003</v>
      </c>
    </row>
    <row r="131" spans="1:17" x14ac:dyDescent="0.2">
      <c r="A131" s="185"/>
      <c r="B131" s="186"/>
      <c r="C131" s="187"/>
      <c r="D131" s="133"/>
      <c r="E131" s="89"/>
      <c r="F131" s="101"/>
      <c r="G131" s="102"/>
    </row>
    <row r="132" spans="1:17" x14ac:dyDescent="0.2">
      <c r="A132" s="185"/>
      <c r="B132" s="186"/>
      <c r="C132" s="187"/>
      <c r="D132" s="133"/>
      <c r="E132" s="89"/>
      <c r="F132" s="101"/>
      <c r="G132" s="102"/>
    </row>
    <row r="133" spans="1:17" ht="12.75" thickBot="1" x14ac:dyDescent="0.25">
      <c r="A133" s="188"/>
      <c r="B133" s="189"/>
      <c r="C133" s="190"/>
      <c r="D133" s="191"/>
      <c r="E133" s="119"/>
      <c r="F133" s="192"/>
      <c r="G133" s="193"/>
    </row>
    <row r="134" spans="1:17" x14ac:dyDescent="0.2">
      <c r="A134" s="185"/>
      <c r="B134" s="186"/>
      <c r="C134" s="187"/>
      <c r="D134" s="133"/>
      <c r="E134" s="89"/>
      <c r="F134" s="101"/>
      <c r="G134" s="102"/>
    </row>
    <row r="135" spans="1:17" x14ac:dyDescent="0.2">
      <c r="A135" s="158" t="s">
        <v>69</v>
      </c>
      <c r="B135" s="194" t="s">
        <v>12</v>
      </c>
      <c r="C135" s="170"/>
      <c r="D135" s="161"/>
      <c r="E135" s="162"/>
      <c r="F135" s="161"/>
      <c r="G135" s="195"/>
      <c r="M135" s="28" t="e">
        <f>#REF!-#REF!</f>
        <v>#REF!</v>
      </c>
    </row>
    <row r="136" spans="1:17" ht="24" x14ac:dyDescent="0.2">
      <c r="A136" s="85"/>
      <c r="B136" s="110" t="s">
        <v>133</v>
      </c>
      <c r="C136" s="110"/>
      <c r="D136" s="110"/>
      <c r="E136" s="110"/>
      <c r="F136" s="110"/>
      <c r="G136" s="196"/>
    </row>
    <row r="137" spans="1:17" ht="25.5" customHeight="1" x14ac:dyDescent="0.2">
      <c r="A137" s="85"/>
      <c r="B137" s="110" t="s">
        <v>70</v>
      </c>
      <c r="C137" s="110"/>
      <c r="D137" s="110"/>
      <c r="E137" s="110"/>
      <c r="F137" s="110"/>
      <c r="G137" s="196"/>
    </row>
    <row r="138" spans="1:17" ht="48.75" customHeight="1" x14ac:dyDescent="0.2">
      <c r="A138" s="85"/>
      <c r="B138" s="110" t="s">
        <v>71</v>
      </c>
      <c r="C138" s="110"/>
      <c r="D138" s="110"/>
      <c r="E138" s="110"/>
      <c r="F138" s="110"/>
      <c r="G138" s="196"/>
    </row>
    <row r="139" spans="1:17" ht="63.75" customHeight="1" x14ac:dyDescent="0.2">
      <c r="A139" s="85"/>
      <c r="B139" s="105" t="s">
        <v>72</v>
      </c>
      <c r="C139" s="105"/>
      <c r="D139" s="105"/>
      <c r="E139" s="105"/>
      <c r="F139" s="105"/>
      <c r="G139" s="197"/>
    </row>
    <row r="140" spans="1:17" ht="13.5" customHeight="1" x14ac:dyDescent="0.2">
      <c r="A140" s="171" t="s">
        <v>149</v>
      </c>
      <c r="B140" s="172" t="s">
        <v>62</v>
      </c>
      <c r="C140" s="173"/>
      <c r="D140" s="174"/>
      <c r="E140" s="175"/>
      <c r="F140" s="176"/>
      <c r="G140" s="177"/>
    </row>
    <row r="141" spans="1:17" ht="13.5" x14ac:dyDescent="0.2">
      <c r="A141" s="85"/>
      <c r="B141" s="147" t="s">
        <v>414</v>
      </c>
      <c r="C141" s="198" t="s">
        <v>482</v>
      </c>
      <c r="D141" s="99">
        <v>58.8</v>
      </c>
      <c r="E141" s="89"/>
      <c r="F141" s="101"/>
      <c r="G141" s="102">
        <f>(D141*E141)+(D141*F141)</f>
        <v>0</v>
      </c>
      <c r="I141" s="39">
        <f>0.8*0.3*7*4</f>
        <v>6.72</v>
      </c>
      <c r="J141" s="37">
        <f>1.15*0.3*13*4</f>
        <v>17.939999999999998</v>
      </c>
      <c r="K141" s="33">
        <f>1.05*0.3*10*4</f>
        <v>12.6</v>
      </c>
      <c r="L141" s="40">
        <f>0.9*2*0.3*4</f>
        <v>2.16</v>
      </c>
      <c r="M141" s="33">
        <f>0.6*4*0.3*2</f>
        <v>1.44</v>
      </c>
      <c r="N141" s="40">
        <f>0.95*4*0.3*5</f>
        <v>5.6999999999999993</v>
      </c>
      <c r="O141" s="28">
        <f>1.65*4*0.3*3</f>
        <v>5.9399999999999995</v>
      </c>
      <c r="P141" s="28">
        <f>1.75*4*0.3*3</f>
        <v>6.3000000000000007</v>
      </c>
      <c r="Q141" s="39">
        <f>SUM(I141:P141)</f>
        <v>58.8</v>
      </c>
    </row>
    <row r="142" spans="1:17" ht="13.5" x14ac:dyDescent="0.2">
      <c r="A142" s="85"/>
      <c r="B142" s="147" t="s">
        <v>279</v>
      </c>
      <c r="C142" s="198" t="s">
        <v>482</v>
      </c>
      <c r="D142" s="99">
        <v>122.9</v>
      </c>
      <c r="E142" s="89"/>
      <c r="F142" s="101"/>
      <c r="G142" s="102">
        <f>(D142*E142)+(D142*F142)</f>
        <v>0</v>
      </c>
      <c r="I142" s="39">
        <f>38.6*3+4.02*2+4.08*2+1.8*2</f>
        <v>135.6</v>
      </c>
      <c r="J142" s="37"/>
      <c r="K142" s="37">
        <f>I142*0.45*2</f>
        <v>122.03999999999999</v>
      </c>
      <c r="L142" s="40"/>
      <c r="M142" s="33"/>
      <c r="N142" s="40"/>
    </row>
    <row r="143" spans="1:17" ht="13.5" x14ac:dyDescent="0.2">
      <c r="A143" s="85"/>
      <c r="B143" s="147" t="s">
        <v>280</v>
      </c>
      <c r="C143" s="198" t="s">
        <v>482</v>
      </c>
      <c r="D143" s="99">
        <v>78.5</v>
      </c>
      <c r="E143" s="89"/>
      <c r="F143" s="101"/>
      <c r="G143" s="102">
        <f>(D143*E143)+(D143*F143)</f>
        <v>0</v>
      </c>
      <c r="I143" s="39">
        <f>38.6+4.08*6+4.02*6</f>
        <v>87.199999999999989</v>
      </c>
      <c r="J143" s="37"/>
      <c r="K143" s="37">
        <f>I143*0.45*2</f>
        <v>78.47999999999999</v>
      </c>
      <c r="L143" s="40"/>
      <c r="M143" s="33"/>
      <c r="N143" s="40"/>
    </row>
    <row r="144" spans="1:17" x14ac:dyDescent="0.2">
      <c r="A144" s="171" t="s">
        <v>150</v>
      </c>
      <c r="B144" s="172" t="s">
        <v>65</v>
      </c>
      <c r="C144" s="173"/>
      <c r="D144" s="174"/>
      <c r="E144" s="175"/>
      <c r="F144" s="176"/>
      <c r="G144" s="177"/>
    </row>
    <row r="145" spans="1:12" x14ac:dyDescent="0.2">
      <c r="A145" s="178" t="s">
        <v>154</v>
      </c>
      <c r="B145" s="179" t="s">
        <v>172</v>
      </c>
      <c r="C145" s="180"/>
      <c r="D145" s="181"/>
      <c r="E145" s="182"/>
      <c r="F145" s="183"/>
      <c r="G145" s="184"/>
    </row>
    <row r="146" spans="1:12" ht="13.5" x14ac:dyDescent="0.2">
      <c r="A146" s="185"/>
      <c r="B146" s="186" t="s">
        <v>504</v>
      </c>
      <c r="C146" s="198" t="s">
        <v>482</v>
      </c>
      <c r="D146" s="133">
        <v>152.69999999999999</v>
      </c>
      <c r="E146" s="89"/>
      <c r="F146" s="101"/>
      <c r="G146" s="102">
        <f t="shared" ref="G146:G152" si="6">(D146*E146)+(D146*F146)</f>
        <v>0</v>
      </c>
      <c r="I146" s="28">
        <f>0.2*4*4.655*41</f>
        <v>152.684</v>
      </c>
    </row>
    <row r="147" spans="1:12" ht="13.5" x14ac:dyDescent="0.2">
      <c r="A147" s="185"/>
      <c r="B147" s="186" t="s">
        <v>505</v>
      </c>
      <c r="C147" s="198" t="s">
        <v>482</v>
      </c>
      <c r="D147" s="133">
        <v>30.78</v>
      </c>
      <c r="E147" s="89"/>
      <c r="F147" s="101"/>
      <c r="G147" s="102">
        <f t="shared" si="6"/>
        <v>0</v>
      </c>
      <c r="I147" s="28">
        <f>1.2*4.275*6</f>
        <v>30.78</v>
      </c>
    </row>
    <row r="148" spans="1:12" ht="13.5" x14ac:dyDescent="0.2">
      <c r="A148" s="185"/>
      <c r="B148" s="186" t="s">
        <v>506</v>
      </c>
      <c r="C148" s="198" t="s">
        <v>482</v>
      </c>
      <c r="D148" s="133">
        <v>16.07</v>
      </c>
      <c r="E148" s="89"/>
      <c r="F148" s="101"/>
      <c r="G148" s="102">
        <f t="shared" si="6"/>
        <v>0</v>
      </c>
      <c r="I148" s="28">
        <f>0.6*3.825*7</f>
        <v>16.064999999999998</v>
      </c>
    </row>
    <row r="149" spans="1:12" x14ac:dyDescent="0.2">
      <c r="A149" s="178" t="s">
        <v>10</v>
      </c>
      <c r="B149" s="179" t="s">
        <v>198</v>
      </c>
      <c r="C149" s="180"/>
      <c r="D149" s="181"/>
      <c r="E149" s="182"/>
      <c r="F149" s="101"/>
      <c r="G149" s="102">
        <f t="shared" si="6"/>
        <v>0</v>
      </c>
    </row>
    <row r="150" spans="1:12" ht="13.5" x14ac:dyDescent="0.2">
      <c r="A150" s="185"/>
      <c r="B150" s="186" t="s">
        <v>282</v>
      </c>
      <c r="C150" s="198" t="s">
        <v>482</v>
      </c>
      <c r="D150" s="133">
        <v>28.5</v>
      </c>
      <c r="E150" s="89"/>
      <c r="F150" s="101"/>
      <c r="G150" s="102">
        <f t="shared" si="6"/>
        <v>0</v>
      </c>
    </row>
    <row r="151" spans="1:12" x14ac:dyDescent="0.2">
      <c r="A151" s="178" t="s">
        <v>16</v>
      </c>
      <c r="B151" s="179" t="s">
        <v>200</v>
      </c>
      <c r="C151" s="180"/>
      <c r="D151" s="181"/>
      <c r="E151" s="182"/>
      <c r="F151" s="101"/>
      <c r="G151" s="102">
        <f t="shared" si="6"/>
        <v>0</v>
      </c>
    </row>
    <row r="152" spans="1:12" ht="13.5" x14ac:dyDescent="0.2">
      <c r="A152" s="185"/>
      <c r="B152" s="186" t="s">
        <v>418</v>
      </c>
      <c r="C152" s="198" t="s">
        <v>482</v>
      </c>
      <c r="D152" s="133">
        <v>21.52</v>
      </c>
      <c r="E152" s="89"/>
      <c r="F152" s="101"/>
      <c r="G152" s="102">
        <f t="shared" si="6"/>
        <v>0</v>
      </c>
      <c r="I152" s="28">
        <f>(38.6+11.075)*2*0.1</f>
        <v>9.9350000000000005</v>
      </c>
      <c r="J152" s="28">
        <f>38.6*0.15*2</f>
        <v>11.58</v>
      </c>
      <c r="K152" s="28">
        <f>SUM(I152:J152)</f>
        <v>21.515000000000001</v>
      </c>
    </row>
    <row r="153" spans="1:12" x14ac:dyDescent="0.2">
      <c r="A153" s="178" t="s">
        <v>47</v>
      </c>
      <c r="B153" s="179" t="s">
        <v>415</v>
      </c>
      <c r="C153" s="187"/>
      <c r="D153" s="133"/>
      <c r="E153" s="89"/>
      <c r="F153" s="101"/>
      <c r="G153" s="102"/>
    </row>
    <row r="154" spans="1:12" ht="13.5" x14ac:dyDescent="0.2">
      <c r="A154" s="185"/>
      <c r="B154" s="186" t="s">
        <v>285</v>
      </c>
      <c r="C154" s="198" t="s">
        <v>482</v>
      </c>
      <c r="D154" s="133">
        <v>20.16</v>
      </c>
      <c r="E154" s="89"/>
      <c r="F154" s="101"/>
      <c r="G154" s="102">
        <f>(D154*E154)+(D154*F154)</f>
        <v>0</v>
      </c>
      <c r="I154" s="41">
        <f>4.02*2+3*2+4.08</f>
        <v>18.119999999999997</v>
      </c>
      <c r="J154" s="28">
        <f>I154*1.1</f>
        <v>19.931999999999999</v>
      </c>
      <c r="K154" s="28">
        <f>1.505*0.15</f>
        <v>0.22574999999999998</v>
      </c>
      <c r="L154" s="28">
        <f>J154+K154</f>
        <v>20.15775</v>
      </c>
    </row>
    <row r="155" spans="1:12" x14ac:dyDescent="0.2">
      <c r="A155" s="178" t="s">
        <v>416</v>
      </c>
      <c r="B155" s="179" t="s">
        <v>417</v>
      </c>
      <c r="C155" s="187"/>
      <c r="D155" s="133"/>
      <c r="E155" s="89"/>
      <c r="F155" s="101"/>
      <c r="G155" s="102"/>
    </row>
    <row r="156" spans="1:12" ht="13.5" x14ac:dyDescent="0.2">
      <c r="A156" s="185"/>
      <c r="B156" s="186" t="s">
        <v>292</v>
      </c>
      <c r="C156" s="198" t="s">
        <v>482</v>
      </c>
      <c r="D156" s="133">
        <v>20.149999999999999</v>
      </c>
      <c r="E156" s="89"/>
      <c r="F156" s="101"/>
      <c r="G156" s="102">
        <f>(D156*E156)+(D156*F156)</f>
        <v>0</v>
      </c>
      <c r="I156" s="28">
        <f>5.925*3.4</f>
        <v>20.145</v>
      </c>
    </row>
    <row r="157" spans="1:12" x14ac:dyDescent="0.2">
      <c r="A157" s="171" t="s">
        <v>56</v>
      </c>
      <c r="B157" s="172" t="s">
        <v>67</v>
      </c>
      <c r="C157" s="173"/>
      <c r="D157" s="174"/>
      <c r="E157" s="175"/>
      <c r="F157" s="176"/>
      <c r="G157" s="177"/>
    </row>
    <row r="158" spans="1:12" x14ac:dyDescent="0.2">
      <c r="A158" s="178" t="s">
        <v>155</v>
      </c>
      <c r="B158" s="179" t="s">
        <v>283</v>
      </c>
      <c r="C158" s="180"/>
      <c r="D158" s="181"/>
      <c r="E158" s="182"/>
      <c r="F158" s="183"/>
      <c r="G158" s="184"/>
    </row>
    <row r="159" spans="1:12" ht="13.5" x14ac:dyDescent="0.2">
      <c r="A159" s="185"/>
      <c r="B159" s="186" t="s">
        <v>285</v>
      </c>
      <c r="C159" s="198" t="s">
        <v>482</v>
      </c>
      <c r="D159" s="133">
        <v>76.23</v>
      </c>
      <c r="E159" s="89"/>
      <c r="F159" s="101"/>
      <c r="G159" s="102">
        <f t="shared" ref="G159:G166" si="7">(D159*E159)+(D159*F159)</f>
        <v>0</v>
      </c>
      <c r="I159" s="28">
        <f>3*11+3*12+1.8*2</f>
        <v>72.599999999999994</v>
      </c>
      <c r="J159" s="28">
        <f>I159*1.05</f>
        <v>76.23</v>
      </c>
    </row>
    <row r="160" spans="1:12" ht="13.5" x14ac:dyDescent="0.2">
      <c r="A160" s="185"/>
      <c r="B160" s="186" t="s">
        <v>286</v>
      </c>
      <c r="C160" s="198" t="s">
        <v>482</v>
      </c>
      <c r="D160" s="133">
        <v>8.5050000000000008</v>
      </c>
      <c r="E160" s="89"/>
      <c r="F160" s="101"/>
      <c r="G160" s="102">
        <f t="shared" si="7"/>
        <v>0</v>
      </c>
      <c r="I160" s="28">
        <f>4.02+4.08</f>
        <v>8.1</v>
      </c>
      <c r="J160" s="28">
        <f>I160*1.05</f>
        <v>8.5050000000000008</v>
      </c>
    </row>
    <row r="161" spans="1:12" ht="13.5" x14ac:dyDescent="0.2">
      <c r="A161" s="185"/>
      <c r="B161" s="186" t="s">
        <v>287</v>
      </c>
      <c r="C161" s="198" t="s">
        <v>482</v>
      </c>
      <c r="D161" s="133">
        <v>43.91</v>
      </c>
      <c r="E161" s="89"/>
      <c r="F161" s="101"/>
      <c r="G161" s="102">
        <f t="shared" si="7"/>
        <v>0</v>
      </c>
      <c r="I161" s="28">
        <f>3.82*6+4.08*6</f>
        <v>47.4</v>
      </c>
      <c r="J161" s="28">
        <f>I161*0.9</f>
        <v>42.66</v>
      </c>
      <c r="K161" s="28">
        <f>8.3*0.15</f>
        <v>1.2450000000000001</v>
      </c>
      <c r="L161" s="28">
        <f>SUM(J161:K161)</f>
        <v>43.904999999999994</v>
      </c>
    </row>
    <row r="162" spans="1:12" ht="13.5" x14ac:dyDescent="0.2">
      <c r="A162" s="185"/>
      <c r="B162" s="186" t="s">
        <v>288</v>
      </c>
      <c r="C162" s="198" t="s">
        <v>482</v>
      </c>
      <c r="D162" s="133">
        <v>32.4</v>
      </c>
      <c r="E162" s="89"/>
      <c r="F162" s="101"/>
      <c r="G162" s="102">
        <f t="shared" si="7"/>
        <v>0</v>
      </c>
      <c r="I162" s="28">
        <f>3*12</f>
        <v>36</v>
      </c>
      <c r="J162" s="28">
        <f>I162*0.9</f>
        <v>32.4</v>
      </c>
    </row>
    <row r="163" spans="1:12" ht="13.5" x14ac:dyDescent="0.2">
      <c r="A163" s="185"/>
      <c r="B163" s="186" t="s">
        <v>289</v>
      </c>
      <c r="C163" s="198" t="s">
        <v>482</v>
      </c>
      <c r="D163" s="133">
        <v>3.3</v>
      </c>
      <c r="E163" s="89"/>
      <c r="F163" s="101"/>
      <c r="G163" s="102">
        <f t="shared" si="7"/>
        <v>0</v>
      </c>
      <c r="I163" s="28">
        <v>3</v>
      </c>
      <c r="J163" s="28">
        <f>I163*1.1</f>
        <v>3.3000000000000003</v>
      </c>
    </row>
    <row r="164" spans="1:12" ht="13.5" x14ac:dyDescent="0.2">
      <c r="A164" s="185"/>
      <c r="B164" s="186" t="s">
        <v>290</v>
      </c>
      <c r="C164" s="198" t="s">
        <v>482</v>
      </c>
      <c r="D164" s="133">
        <v>40.92</v>
      </c>
      <c r="E164" s="89"/>
      <c r="F164" s="101"/>
      <c r="G164" s="102">
        <f t="shared" si="7"/>
        <v>0</v>
      </c>
      <c r="I164" s="28">
        <f>6.2*6</f>
        <v>37.200000000000003</v>
      </c>
      <c r="J164" s="28">
        <f>I164*1.1</f>
        <v>40.920000000000009</v>
      </c>
    </row>
    <row r="165" spans="1:12" x14ac:dyDescent="0.2">
      <c r="A165" s="178" t="s">
        <v>66</v>
      </c>
      <c r="B165" s="179" t="s">
        <v>284</v>
      </c>
      <c r="C165" s="180"/>
      <c r="D165" s="181"/>
      <c r="E165" s="182"/>
      <c r="F165" s="101"/>
      <c r="G165" s="102">
        <f t="shared" si="7"/>
        <v>0</v>
      </c>
    </row>
    <row r="166" spans="1:12" ht="13.5" x14ac:dyDescent="0.2">
      <c r="A166" s="185"/>
      <c r="B166" s="186" t="s">
        <v>291</v>
      </c>
      <c r="C166" s="198" t="s">
        <v>482</v>
      </c>
      <c r="D166" s="133">
        <v>385.82</v>
      </c>
      <c r="E166" s="89"/>
      <c r="F166" s="101"/>
      <c r="G166" s="102">
        <f t="shared" si="7"/>
        <v>0</v>
      </c>
      <c r="I166" s="28">
        <f>35.4*8.5</f>
        <v>300.89999999999998</v>
      </c>
      <c r="J166" s="28">
        <f>38.6*2.2</f>
        <v>84.920000000000016</v>
      </c>
      <c r="K166" s="28">
        <f>SUM(I166:J166)</f>
        <v>385.82</v>
      </c>
    </row>
    <row r="167" spans="1:12" x14ac:dyDescent="0.2">
      <c r="A167" s="178" t="s">
        <v>69</v>
      </c>
      <c r="B167" s="179" t="s">
        <v>172</v>
      </c>
      <c r="C167" s="180"/>
      <c r="D167" s="181"/>
      <c r="E167" s="182"/>
      <c r="F167" s="183"/>
      <c r="G167" s="184"/>
    </row>
    <row r="168" spans="1:12" ht="13.5" x14ac:dyDescent="0.2">
      <c r="A168" s="185"/>
      <c r="B168" s="186" t="s">
        <v>507</v>
      </c>
      <c r="C168" s="198" t="s">
        <v>482</v>
      </c>
      <c r="D168" s="133">
        <v>144.80000000000001</v>
      </c>
      <c r="E168" s="89"/>
      <c r="F168" s="101"/>
      <c r="G168" s="102">
        <f>(D168*E168)+(D168*F168)</f>
        <v>0</v>
      </c>
      <c r="I168" s="28">
        <f>0.2*4*3.5*41</f>
        <v>114.80000000000001</v>
      </c>
    </row>
    <row r="169" spans="1:12" ht="13.5" x14ac:dyDescent="0.2">
      <c r="A169" s="185"/>
      <c r="B169" s="186" t="s">
        <v>508</v>
      </c>
      <c r="C169" s="198" t="s">
        <v>482</v>
      </c>
      <c r="D169" s="133">
        <v>25.2</v>
      </c>
      <c r="E169" s="89"/>
      <c r="F169" s="101"/>
      <c r="G169" s="102">
        <f>(D169*E169)+(D169*F169)</f>
        <v>0</v>
      </c>
      <c r="I169" s="28">
        <f>0.6*2*3.5*6</f>
        <v>25.200000000000003</v>
      </c>
    </row>
    <row r="170" spans="1:12" ht="13.5" x14ac:dyDescent="0.2">
      <c r="A170" s="185"/>
      <c r="B170" s="186" t="s">
        <v>509</v>
      </c>
      <c r="C170" s="198" t="s">
        <v>482</v>
      </c>
      <c r="D170" s="133">
        <v>12.81</v>
      </c>
      <c r="E170" s="89"/>
      <c r="F170" s="101"/>
      <c r="G170" s="102">
        <f>(D170*E170)+(D170*F170)</f>
        <v>0</v>
      </c>
      <c r="I170" s="28">
        <f>0.15*4*3.05*7</f>
        <v>12.809999999999999</v>
      </c>
    </row>
    <row r="171" spans="1:12" x14ac:dyDescent="0.2">
      <c r="A171" s="171" t="s">
        <v>151</v>
      </c>
      <c r="B171" s="172" t="s">
        <v>262</v>
      </c>
      <c r="C171" s="173"/>
      <c r="D171" s="174"/>
      <c r="E171" s="175"/>
      <c r="F171" s="176"/>
      <c r="G171" s="177"/>
    </row>
    <row r="172" spans="1:12" x14ac:dyDescent="0.2">
      <c r="A172" s="178" t="s">
        <v>101</v>
      </c>
      <c r="B172" s="179" t="s">
        <v>276</v>
      </c>
      <c r="C172" s="180"/>
      <c r="D172" s="181"/>
      <c r="E172" s="182"/>
      <c r="F172" s="183"/>
      <c r="G172" s="184"/>
    </row>
    <row r="173" spans="1:12" ht="13.5" x14ac:dyDescent="0.2">
      <c r="A173" s="185"/>
      <c r="B173" s="186" t="s">
        <v>295</v>
      </c>
      <c r="C173" s="198" t="s">
        <v>482</v>
      </c>
      <c r="D173" s="133">
        <v>29.76</v>
      </c>
      <c r="E173" s="89"/>
      <c r="F173" s="101"/>
      <c r="G173" s="102">
        <f>(D173*E173)+(D173*F173)</f>
        <v>0</v>
      </c>
      <c r="I173" s="28">
        <f>6.2*4</f>
        <v>24.8</v>
      </c>
      <c r="J173" s="28">
        <f>I173*1.2</f>
        <v>29.759999999999998</v>
      </c>
    </row>
    <row r="174" spans="1:12" ht="13.5" x14ac:dyDescent="0.2">
      <c r="A174" s="185"/>
      <c r="B174" s="186" t="s">
        <v>294</v>
      </c>
      <c r="C174" s="198" t="s">
        <v>482</v>
      </c>
      <c r="D174" s="133">
        <v>7.2</v>
      </c>
      <c r="E174" s="89"/>
      <c r="F174" s="101"/>
      <c r="G174" s="102">
        <f>(D174*E174)+(D174*F174)</f>
        <v>0</v>
      </c>
      <c r="I174" s="28">
        <f>3*2</f>
        <v>6</v>
      </c>
      <c r="J174" s="28">
        <f>I174*1.2</f>
        <v>7.1999999999999993</v>
      </c>
    </row>
    <row r="175" spans="1:12" ht="13.5" x14ac:dyDescent="0.2">
      <c r="A175" s="185"/>
      <c r="B175" s="186" t="s">
        <v>293</v>
      </c>
      <c r="C175" s="198" t="s">
        <v>482</v>
      </c>
      <c r="D175" s="133">
        <v>160.27000000000001</v>
      </c>
      <c r="E175" s="89"/>
      <c r="F175" s="101"/>
      <c r="G175" s="102">
        <f>(D175*E175)+(D175*F175)</f>
        <v>0</v>
      </c>
      <c r="I175" s="28">
        <f>3*10*3+4.02*2+4.08*7+3.82*5</f>
        <v>145.69999999999999</v>
      </c>
      <c r="J175" s="28">
        <f>I175*1.1</f>
        <v>160.27000000000001</v>
      </c>
    </row>
    <row r="176" spans="1:12" x14ac:dyDescent="0.2">
      <c r="A176" s="185"/>
      <c r="B176" s="186"/>
      <c r="C176" s="198"/>
      <c r="D176" s="133"/>
      <c r="E176" s="89"/>
      <c r="F176" s="101"/>
      <c r="G176" s="102"/>
    </row>
    <row r="177" spans="1:19" x14ac:dyDescent="0.2">
      <c r="A177" s="185"/>
      <c r="B177" s="186"/>
      <c r="C177" s="198"/>
      <c r="D177" s="133"/>
      <c r="E177" s="89"/>
      <c r="F177" s="101"/>
      <c r="G177" s="102"/>
    </row>
    <row r="178" spans="1:19" x14ac:dyDescent="0.2">
      <c r="A178" s="185"/>
      <c r="B178" s="186"/>
      <c r="C178" s="198"/>
      <c r="D178" s="133"/>
      <c r="E178" s="89"/>
      <c r="F178" s="101"/>
      <c r="G178" s="102"/>
    </row>
    <row r="179" spans="1:19" ht="12.75" thickBot="1" x14ac:dyDescent="0.25">
      <c r="A179" s="188"/>
      <c r="B179" s="189"/>
      <c r="C179" s="199"/>
      <c r="D179" s="191"/>
      <c r="E179" s="119"/>
      <c r="F179" s="192"/>
      <c r="G179" s="193"/>
    </row>
    <row r="180" spans="1:19" x14ac:dyDescent="0.2">
      <c r="A180" s="200"/>
      <c r="B180" s="201"/>
      <c r="C180" s="202"/>
      <c r="D180" s="203"/>
      <c r="E180" s="204"/>
      <c r="F180" s="205"/>
      <c r="G180" s="206"/>
    </row>
    <row r="181" spans="1:19" x14ac:dyDescent="0.2">
      <c r="A181" s="158" t="s">
        <v>98</v>
      </c>
      <c r="B181" s="194" t="s">
        <v>11</v>
      </c>
      <c r="C181" s="170"/>
      <c r="D181" s="161"/>
      <c r="E181" s="162"/>
      <c r="F181" s="161"/>
      <c r="G181" s="195"/>
    </row>
    <row r="182" spans="1:19" ht="51" customHeight="1" x14ac:dyDescent="0.2">
      <c r="A182" s="143"/>
      <c r="B182" s="105" t="s">
        <v>99</v>
      </c>
      <c r="C182" s="105"/>
      <c r="D182" s="105"/>
      <c r="E182" s="105"/>
      <c r="F182" s="105"/>
      <c r="G182" s="197"/>
    </row>
    <row r="183" spans="1:19" ht="39.75" customHeight="1" x14ac:dyDescent="0.2">
      <c r="A183" s="106"/>
      <c r="B183" s="105" t="s">
        <v>100</v>
      </c>
      <c r="C183" s="105"/>
      <c r="D183" s="105"/>
      <c r="E183" s="105"/>
      <c r="F183" s="105"/>
      <c r="G183" s="197"/>
    </row>
    <row r="184" spans="1:19" ht="62.25" customHeight="1" x14ac:dyDescent="0.2">
      <c r="A184" s="143"/>
      <c r="B184" s="105" t="s">
        <v>277</v>
      </c>
      <c r="C184" s="105"/>
      <c r="D184" s="105"/>
      <c r="E184" s="105"/>
      <c r="F184" s="105"/>
      <c r="G184" s="197"/>
    </row>
    <row r="185" spans="1:19" x14ac:dyDescent="0.2">
      <c r="A185" s="171" t="s">
        <v>101</v>
      </c>
      <c r="B185" s="172" t="s">
        <v>222</v>
      </c>
      <c r="C185" s="207"/>
      <c r="D185" s="208"/>
      <c r="E185" s="209"/>
      <c r="F185" s="210"/>
      <c r="G185" s="211"/>
    </row>
    <row r="186" spans="1:19" x14ac:dyDescent="0.2">
      <c r="A186" s="171" t="s">
        <v>164</v>
      </c>
      <c r="B186" s="172" t="s">
        <v>62</v>
      </c>
      <c r="C186" s="207"/>
      <c r="D186" s="208"/>
      <c r="E186" s="209"/>
      <c r="F186" s="210"/>
      <c r="G186" s="211"/>
    </row>
    <row r="187" spans="1:19" x14ac:dyDescent="0.2">
      <c r="A187" s="185"/>
      <c r="B187" s="212" t="s">
        <v>296</v>
      </c>
      <c r="C187" s="187" t="s">
        <v>134</v>
      </c>
      <c r="D187" s="133">
        <f>I189/1000</f>
        <v>0.980352</v>
      </c>
      <c r="E187" s="134"/>
      <c r="F187" s="101"/>
      <c r="G187" s="102">
        <f t="shared" ref="G187:G198" si="8">(D187*E187)+(D187*F187)</f>
        <v>0</v>
      </c>
      <c r="K187" s="28" t="s">
        <v>510</v>
      </c>
      <c r="L187" s="28" t="s">
        <v>511</v>
      </c>
      <c r="M187" s="28" t="s">
        <v>512</v>
      </c>
      <c r="N187" s="28" t="s">
        <v>513</v>
      </c>
      <c r="O187" s="28" t="s">
        <v>514</v>
      </c>
      <c r="P187" s="28" t="s">
        <v>515</v>
      </c>
      <c r="Q187" s="28" t="s">
        <v>516</v>
      </c>
      <c r="R187" s="28" t="s">
        <v>517</v>
      </c>
    </row>
    <row r="188" spans="1:19" x14ac:dyDescent="0.2">
      <c r="A188" s="185"/>
      <c r="B188" s="186" t="s">
        <v>224</v>
      </c>
      <c r="C188" s="187" t="s">
        <v>8</v>
      </c>
      <c r="D188" s="133">
        <v>184</v>
      </c>
      <c r="E188" s="134"/>
      <c r="F188" s="101"/>
      <c r="G188" s="102">
        <f t="shared" si="8"/>
        <v>0</v>
      </c>
      <c r="I188" s="39">
        <f>D188*0.888*6</f>
        <v>980.35199999999998</v>
      </c>
      <c r="J188" s="66">
        <v>165</v>
      </c>
      <c r="K188" s="39">
        <v>14</v>
      </c>
      <c r="L188" s="28">
        <v>52</v>
      </c>
      <c r="M188" s="28">
        <v>28</v>
      </c>
      <c r="N188" s="28">
        <v>10</v>
      </c>
      <c r="O188" s="28">
        <v>2</v>
      </c>
      <c r="P188" s="28">
        <v>14</v>
      </c>
      <c r="Q188" s="28">
        <v>28</v>
      </c>
      <c r="R188" s="28">
        <v>36</v>
      </c>
      <c r="S188" s="39">
        <f>SUM(K188:R188)</f>
        <v>184</v>
      </c>
    </row>
    <row r="189" spans="1:19" x14ac:dyDescent="0.2">
      <c r="A189" s="185"/>
      <c r="B189" s="186" t="s">
        <v>14</v>
      </c>
      <c r="C189" s="187" t="s">
        <v>9</v>
      </c>
      <c r="D189" s="133">
        <f>D187*20</f>
        <v>19.607040000000001</v>
      </c>
      <c r="E189" s="134"/>
      <c r="F189" s="101"/>
      <c r="G189" s="102">
        <f t="shared" si="8"/>
        <v>0</v>
      </c>
      <c r="I189" s="39">
        <f>SUM(I187:I188)</f>
        <v>980.35199999999998</v>
      </c>
      <c r="J189" s="39"/>
    </row>
    <row r="190" spans="1:19" x14ac:dyDescent="0.2">
      <c r="A190" s="185"/>
      <c r="B190" s="212" t="s">
        <v>297</v>
      </c>
      <c r="C190" s="187" t="s">
        <v>134</v>
      </c>
      <c r="D190" s="133">
        <f>I193/1000</f>
        <v>1.2486359999999999</v>
      </c>
      <c r="E190" s="134"/>
      <c r="F190" s="101"/>
      <c r="G190" s="102">
        <f t="shared" si="8"/>
        <v>0</v>
      </c>
      <c r="J190" s="39"/>
    </row>
    <row r="191" spans="1:19" x14ac:dyDescent="0.2">
      <c r="A191" s="185"/>
      <c r="B191" s="186" t="s">
        <v>223</v>
      </c>
      <c r="C191" s="187" t="s">
        <v>8</v>
      </c>
      <c r="D191" s="133">
        <v>106</v>
      </c>
      <c r="E191" s="134"/>
      <c r="F191" s="101"/>
      <c r="G191" s="102">
        <f t="shared" si="8"/>
        <v>0</v>
      </c>
      <c r="I191" s="39">
        <f>D191*1.58*6</f>
        <v>1004.8800000000001</v>
      </c>
      <c r="J191" s="39">
        <f>38.6*3+10.7*2</f>
        <v>137.20000000000002</v>
      </c>
      <c r="K191" s="42">
        <f>J191/0.15</f>
        <v>914.66666666666686</v>
      </c>
      <c r="L191" s="42">
        <f>K191/5</f>
        <v>182.93333333333337</v>
      </c>
    </row>
    <row r="192" spans="1:19" x14ac:dyDescent="0.2">
      <c r="A192" s="185"/>
      <c r="B192" s="186" t="s">
        <v>226</v>
      </c>
      <c r="C192" s="187" t="s">
        <v>8</v>
      </c>
      <c r="D192" s="133">
        <v>183</v>
      </c>
      <c r="E192" s="134"/>
      <c r="F192" s="101"/>
      <c r="G192" s="102">
        <f t="shared" si="8"/>
        <v>0</v>
      </c>
      <c r="I192" s="39">
        <f>0.222*D192*6</f>
        <v>243.75599999999997</v>
      </c>
      <c r="J192" s="39"/>
    </row>
    <row r="193" spans="1:14" x14ac:dyDescent="0.2">
      <c r="A193" s="185"/>
      <c r="B193" s="186" t="s">
        <v>14</v>
      </c>
      <c r="C193" s="187" t="s">
        <v>9</v>
      </c>
      <c r="D193" s="133">
        <f>D190*20</f>
        <v>24.972719999999995</v>
      </c>
      <c r="E193" s="134"/>
      <c r="F193" s="101"/>
      <c r="G193" s="102">
        <f t="shared" si="8"/>
        <v>0</v>
      </c>
      <c r="I193" s="39">
        <f>SUM(I191:I192)</f>
        <v>1248.636</v>
      </c>
      <c r="J193" s="39"/>
    </row>
    <row r="194" spans="1:14" x14ac:dyDescent="0.2">
      <c r="A194" s="185"/>
      <c r="B194" s="212" t="s">
        <v>298</v>
      </c>
      <c r="C194" s="187" t="s">
        <v>134</v>
      </c>
      <c r="D194" s="133">
        <f>I197/1000</f>
        <v>1.243692</v>
      </c>
      <c r="E194" s="134"/>
      <c r="F194" s="101"/>
      <c r="G194" s="102">
        <f t="shared" si="8"/>
        <v>0</v>
      </c>
      <c r="J194" s="39"/>
    </row>
    <row r="195" spans="1:14" x14ac:dyDescent="0.2">
      <c r="A195" s="185"/>
      <c r="B195" s="186" t="s">
        <v>223</v>
      </c>
      <c r="C195" s="187" t="s">
        <v>8</v>
      </c>
      <c r="D195" s="133">
        <v>117</v>
      </c>
      <c r="E195" s="134"/>
      <c r="F195" s="101"/>
      <c r="G195" s="102">
        <f t="shared" si="8"/>
        <v>0</v>
      </c>
      <c r="I195" s="39">
        <f>D195*1.58*6</f>
        <v>1109.1600000000001</v>
      </c>
      <c r="J195" s="39">
        <f>38.6+8.7*6</f>
        <v>90.8</v>
      </c>
      <c r="K195" s="42">
        <f>J195/0.15</f>
        <v>605.33333333333337</v>
      </c>
      <c r="L195" s="42">
        <f>K195/6</f>
        <v>100.8888888888889</v>
      </c>
    </row>
    <row r="196" spans="1:14" x14ac:dyDescent="0.2">
      <c r="A196" s="185"/>
      <c r="B196" s="186" t="s">
        <v>226</v>
      </c>
      <c r="C196" s="187" t="s">
        <v>8</v>
      </c>
      <c r="D196" s="133">
        <v>101</v>
      </c>
      <c r="E196" s="134"/>
      <c r="F196" s="101"/>
      <c r="G196" s="102">
        <f t="shared" si="8"/>
        <v>0</v>
      </c>
      <c r="I196" s="39">
        <f>0.222*D196*6</f>
        <v>134.53200000000001</v>
      </c>
      <c r="J196" s="39"/>
    </row>
    <row r="197" spans="1:14" x14ac:dyDescent="0.2">
      <c r="A197" s="185"/>
      <c r="B197" s="186" t="s">
        <v>14</v>
      </c>
      <c r="C197" s="187" t="s">
        <v>9</v>
      </c>
      <c r="D197" s="133">
        <f>D194*20</f>
        <v>24.873840000000001</v>
      </c>
      <c r="E197" s="134"/>
      <c r="F197" s="101"/>
      <c r="G197" s="102">
        <f t="shared" si="8"/>
        <v>0</v>
      </c>
      <c r="I197" s="39">
        <f>SUM(I195:I196)</f>
        <v>1243.692</v>
      </c>
      <c r="J197" s="39"/>
    </row>
    <row r="198" spans="1:14" x14ac:dyDescent="0.2">
      <c r="A198" s="171" t="s">
        <v>135</v>
      </c>
      <c r="B198" s="172" t="s">
        <v>65</v>
      </c>
      <c r="C198" s="207"/>
      <c r="D198" s="208"/>
      <c r="E198" s="209"/>
      <c r="F198" s="210"/>
      <c r="G198" s="211">
        <f t="shared" si="8"/>
        <v>0</v>
      </c>
    </row>
    <row r="199" spans="1:14" x14ac:dyDescent="0.2">
      <c r="A199" s="213" t="s">
        <v>164</v>
      </c>
      <c r="B199" s="214" t="s">
        <v>172</v>
      </c>
      <c r="C199" s="215"/>
      <c r="D199" s="216"/>
      <c r="E199" s="217"/>
      <c r="F199" s="101"/>
      <c r="G199" s="102"/>
    </row>
    <row r="200" spans="1:14" x14ac:dyDescent="0.2">
      <c r="A200" s="185" t="s">
        <v>185</v>
      </c>
      <c r="B200" s="186" t="s">
        <v>455</v>
      </c>
      <c r="C200" s="187" t="s">
        <v>134</v>
      </c>
      <c r="D200" s="133">
        <f>I203/1000</f>
        <v>1.723884</v>
      </c>
      <c r="E200" s="134"/>
      <c r="F200" s="101"/>
      <c r="G200" s="102">
        <f t="shared" ref="G200:G217" si="9">(D200*E200)+(D200*F200)</f>
        <v>0</v>
      </c>
    </row>
    <row r="201" spans="1:14" ht="12" customHeight="1" x14ac:dyDescent="0.2">
      <c r="A201" s="178"/>
      <c r="B201" s="186" t="s">
        <v>223</v>
      </c>
      <c r="C201" s="187" t="s">
        <v>8</v>
      </c>
      <c r="D201" s="133">
        <v>164</v>
      </c>
      <c r="E201" s="134"/>
      <c r="F201" s="101"/>
      <c r="G201" s="102">
        <f t="shared" si="9"/>
        <v>0</v>
      </c>
      <c r="I201" s="39">
        <f>D201*1.58*6</f>
        <v>1554.72</v>
      </c>
      <c r="J201" s="28">
        <f>4*41</f>
        <v>164</v>
      </c>
      <c r="L201" s="28">
        <f>5.025/0.15</f>
        <v>33.500000000000007</v>
      </c>
      <c r="M201" s="28">
        <f>34*41</f>
        <v>1394</v>
      </c>
      <c r="N201" s="28">
        <f>M201/11</f>
        <v>126.72727272727273</v>
      </c>
    </row>
    <row r="202" spans="1:14" ht="12" customHeight="1" x14ac:dyDescent="0.2">
      <c r="A202" s="185"/>
      <c r="B202" s="186" t="s">
        <v>226</v>
      </c>
      <c r="C202" s="187" t="s">
        <v>8</v>
      </c>
      <c r="D202" s="133">
        <v>127</v>
      </c>
      <c r="E202" s="134"/>
      <c r="F202" s="101"/>
      <c r="G202" s="102">
        <f t="shared" si="9"/>
        <v>0</v>
      </c>
      <c r="I202" s="39">
        <f>0.222*D202*6</f>
        <v>169.16399999999999</v>
      </c>
    </row>
    <row r="203" spans="1:14" ht="12" customHeight="1" x14ac:dyDescent="0.2">
      <c r="A203" s="218"/>
      <c r="B203" s="219" t="s">
        <v>14</v>
      </c>
      <c r="C203" s="220" t="s">
        <v>9</v>
      </c>
      <c r="D203" s="221">
        <f>D200*20</f>
        <v>34.477679999999999</v>
      </c>
      <c r="E203" s="222"/>
      <c r="F203" s="223"/>
      <c r="G203" s="224">
        <f t="shared" si="9"/>
        <v>0</v>
      </c>
      <c r="I203" s="39">
        <f>SUM(I201:I202)</f>
        <v>1723.884</v>
      </c>
      <c r="J203" s="39"/>
    </row>
    <row r="204" spans="1:14" ht="12" customHeight="1" x14ac:dyDescent="0.2">
      <c r="A204" s="185" t="s">
        <v>186</v>
      </c>
      <c r="B204" s="186" t="s">
        <v>454</v>
      </c>
      <c r="C204" s="187" t="s">
        <v>134</v>
      </c>
      <c r="D204" s="133">
        <f>I207/1000</f>
        <v>0.53495999999999999</v>
      </c>
      <c r="E204" s="134"/>
      <c r="F204" s="101"/>
      <c r="G204" s="102">
        <f t="shared" si="9"/>
        <v>0</v>
      </c>
      <c r="I204" s="39"/>
      <c r="J204" s="39"/>
    </row>
    <row r="205" spans="1:14" x14ac:dyDescent="0.2">
      <c r="A205" s="185"/>
      <c r="B205" s="186" t="s">
        <v>223</v>
      </c>
      <c r="C205" s="187" t="s">
        <v>8</v>
      </c>
      <c r="D205" s="133">
        <v>48</v>
      </c>
      <c r="E205" s="134"/>
      <c r="F205" s="101"/>
      <c r="G205" s="102">
        <f t="shared" si="9"/>
        <v>0</v>
      </c>
      <c r="I205" s="39">
        <f>D205*1.58*6</f>
        <v>455.04</v>
      </c>
      <c r="J205" s="28">
        <f>8*6</f>
        <v>48</v>
      </c>
      <c r="L205" s="42">
        <f>D206/5</f>
        <v>12</v>
      </c>
      <c r="M205" s="42">
        <f>L205*6</f>
        <v>72</v>
      </c>
    </row>
    <row r="206" spans="1:14" x14ac:dyDescent="0.2">
      <c r="A206" s="185"/>
      <c r="B206" s="186" t="s">
        <v>226</v>
      </c>
      <c r="C206" s="187" t="s">
        <v>8</v>
      </c>
      <c r="D206" s="133">
        <v>60</v>
      </c>
      <c r="E206" s="134"/>
      <c r="F206" s="101"/>
      <c r="G206" s="102">
        <f t="shared" si="9"/>
        <v>0</v>
      </c>
      <c r="I206" s="39">
        <f>0.222*D206*6</f>
        <v>79.92</v>
      </c>
    </row>
    <row r="207" spans="1:14" x14ac:dyDescent="0.2">
      <c r="A207" s="185"/>
      <c r="B207" s="186" t="s">
        <v>14</v>
      </c>
      <c r="C207" s="187" t="s">
        <v>9</v>
      </c>
      <c r="D207" s="133">
        <f>D204*20</f>
        <v>10.699199999999999</v>
      </c>
      <c r="E207" s="134"/>
      <c r="F207" s="101"/>
      <c r="G207" s="102">
        <f t="shared" si="9"/>
        <v>0</v>
      </c>
      <c r="I207" s="39">
        <f>SUM(I205:I206)</f>
        <v>534.96</v>
      </c>
      <c r="J207" s="39"/>
    </row>
    <row r="208" spans="1:14" x14ac:dyDescent="0.2">
      <c r="A208" s="185" t="s">
        <v>188</v>
      </c>
      <c r="B208" s="186" t="s">
        <v>419</v>
      </c>
      <c r="C208" s="187" t="s">
        <v>134</v>
      </c>
      <c r="D208" s="133">
        <f>I211/1000</f>
        <v>0.12097200000000001</v>
      </c>
      <c r="E208" s="134"/>
      <c r="F208" s="101"/>
      <c r="G208" s="102">
        <f t="shared" si="9"/>
        <v>0</v>
      </c>
      <c r="I208" s="39"/>
      <c r="J208" s="39"/>
    </row>
    <row r="209" spans="1:13" x14ac:dyDescent="0.2">
      <c r="A209" s="185"/>
      <c r="B209" s="186" t="s">
        <v>225</v>
      </c>
      <c r="C209" s="187" t="s">
        <v>8</v>
      </c>
      <c r="D209" s="133">
        <v>28</v>
      </c>
      <c r="E209" s="134"/>
      <c r="F209" s="101"/>
      <c r="G209" s="102">
        <f t="shared" si="9"/>
        <v>0</v>
      </c>
      <c r="I209" s="39">
        <f>D209*0.617*6</f>
        <v>103.65600000000001</v>
      </c>
      <c r="J209" s="39">
        <f>33*7</f>
        <v>231</v>
      </c>
      <c r="K209" s="42">
        <f>J209/18</f>
        <v>12.833333333333334</v>
      </c>
    </row>
    <row r="210" spans="1:13" x14ac:dyDescent="0.2">
      <c r="A210" s="185"/>
      <c r="B210" s="186" t="s">
        <v>226</v>
      </c>
      <c r="C210" s="187" t="s">
        <v>8</v>
      </c>
      <c r="D210" s="133">
        <v>13</v>
      </c>
      <c r="E210" s="134"/>
      <c r="F210" s="101"/>
      <c r="G210" s="102">
        <f t="shared" si="9"/>
        <v>0</v>
      </c>
      <c r="I210" s="39">
        <f>0.222*D210*6</f>
        <v>17.316000000000003</v>
      </c>
      <c r="J210" s="39"/>
    </row>
    <row r="211" spans="1:13" x14ac:dyDescent="0.2">
      <c r="A211" s="185"/>
      <c r="B211" s="186" t="s">
        <v>14</v>
      </c>
      <c r="C211" s="187" t="s">
        <v>9</v>
      </c>
      <c r="D211" s="133">
        <f>D208*20</f>
        <v>2.4194400000000003</v>
      </c>
      <c r="E211" s="134"/>
      <c r="F211" s="101"/>
      <c r="G211" s="102">
        <f t="shared" si="9"/>
        <v>0</v>
      </c>
      <c r="I211" s="39">
        <f>SUM(I209:I210)</f>
        <v>120.97200000000001</v>
      </c>
      <c r="J211" s="39"/>
    </row>
    <row r="212" spans="1:13" x14ac:dyDescent="0.2">
      <c r="A212" s="213" t="s">
        <v>165</v>
      </c>
      <c r="B212" s="214" t="s">
        <v>198</v>
      </c>
      <c r="C212" s="215" t="s">
        <v>134</v>
      </c>
      <c r="D212" s="216">
        <f>I214/1000</f>
        <v>0.42943200000000004</v>
      </c>
      <c r="E212" s="217"/>
      <c r="F212" s="101"/>
      <c r="G212" s="102">
        <f t="shared" si="9"/>
        <v>0</v>
      </c>
      <c r="H212" s="43"/>
      <c r="I212" s="44"/>
    </row>
    <row r="213" spans="1:13" x14ac:dyDescent="0.2">
      <c r="A213" s="218" t="s">
        <v>175</v>
      </c>
      <c r="B213" s="186" t="s">
        <v>225</v>
      </c>
      <c r="C213" s="220" t="s">
        <v>8</v>
      </c>
      <c r="D213" s="221">
        <v>116</v>
      </c>
      <c r="E213" s="222"/>
      <c r="F213" s="223"/>
      <c r="G213" s="102">
        <f t="shared" si="9"/>
        <v>0</v>
      </c>
      <c r="H213" s="43"/>
      <c r="I213" s="39">
        <f>0.617*D213*6</f>
        <v>429.43200000000002</v>
      </c>
    </row>
    <row r="214" spans="1:13" x14ac:dyDescent="0.2">
      <c r="A214" s="218"/>
      <c r="B214" s="219" t="s">
        <v>14</v>
      </c>
      <c r="C214" s="220" t="s">
        <v>9</v>
      </c>
      <c r="D214" s="221">
        <f>D212*20</f>
        <v>8.5886400000000016</v>
      </c>
      <c r="E214" s="222"/>
      <c r="F214" s="223"/>
      <c r="G214" s="102">
        <f t="shared" si="9"/>
        <v>0</v>
      </c>
      <c r="H214" s="43"/>
      <c r="I214" s="39">
        <f>SUM(I212:I213)</f>
        <v>429.43200000000002</v>
      </c>
    </row>
    <row r="215" spans="1:13" x14ac:dyDescent="0.2">
      <c r="A215" s="178" t="s">
        <v>176</v>
      </c>
      <c r="B215" s="179" t="s">
        <v>209</v>
      </c>
      <c r="C215" s="180" t="s">
        <v>134</v>
      </c>
      <c r="D215" s="181">
        <f>I217/1000</f>
        <v>1.5844560000000001</v>
      </c>
      <c r="E215" s="182"/>
      <c r="F215" s="101"/>
      <c r="G215" s="102">
        <f t="shared" si="9"/>
        <v>0</v>
      </c>
    </row>
    <row r="216" spans="1:13" x14ac:dyDescent="0.2">
      <c r="A216" s="178"/>
      <c r="B216" s="186" t="s">
        <v>225</v>
      </c>
      <c r="C216" s="187" t="s">
        <v>8</v>
      </c>
      <c r="D216" s="133">
        <v>428</v>
      </c>
      <c r="E216" s="134"/>
      <c r="F216" s="101"/>
      <c r="G216" s="102">
        <f t="shared" si="9"/>
        <v>0</v>
      </c>
      <c r="I216" s="39">
        <f>0.617*D216*6</f>
        <v>1584.4560000000001</v>
      </c>
      <c r="K216" s="28">
        <f>K107*7</f>
        <v>3073.5250000000001</v>
      </c>
      <c r="L216" s="28">
        <f>K216/6</f>
        <v>512.25416666666672</v>
      </c>
      <c r="M216" s="28">
        <f>L216/6</f>
        <v>85.375694444444449</v>
      </c>
    </row>
    <row r="217" spans="1:13" x14ac:dyDescent="0.2">
      <c r="A217" s="185"/>
      <c r="B217" s="186" t="s">
        <v>14</v>
      </c>
      <c r="C217" s="187" t="s">
        <v>9</v>
      </c>
      <c r="D217" s="133">
        <f>D215*20</f>
        <v>31.689120000000003</v>
      </c>
      <c r="E217" s="134"/>
      <c r="F217" s="101"/>
      <c r="G217" s="102">
        <f t="shared" si="9"/>
        <v>0</v>
      </c>
      <c r="I217" s="39">
        <f>SUM(I215:I216)</f>
        <v>1584.4560000000001</v>
      </c>
    </row>
    <row r="218" spans="1:13" x14ac:dyDescent="0.2">
      <c r="A218" s="213" t="s">
        <v>177</v>
      </c>
      <c r="B218" s="214" t="s">
        <v>420</v>
      </c>
      <c r="C218" s="215"/>
      <c r="D218" s="216"/>
      <c r="E218" s="217"/>
      <c r="F218" s="101"/>
      <c r="G218" s="102"/>
      <c r="I218" s="39"/>
    </row>
    <row r="219" spans="1:13" x14ac:dyDescent="0.2">
      <c r="A219" s="185" t="s">
        <v>185</v>
      </c>
      <c r="B219" s="186" t="s">
        <v>285</v>
      </c>
      <c r="C219" s="187" t="s">
        <v>134</v>
      </c>
      <c r="D219" s="133">
        <f>I222/1000</f>
        <v>0.317388</v>
      </c>
      <c r="E219" s="134"/>
      <c r="F219" s="101"/>
      <c r="G219" s="102">
        <f t="shared" ref="G219:G225" si="10">(D219*E219)+(D219*F219)</f>
        <v>0</v>
      </c>
    </row>
    <row r="220" spans="1:13" x14ac:dyDescent="0.2">
      <c r="A220" s="178"/>
      <c r="B220" s="186" t="s">
        <v>223</v>
      </c>
      <c r="C220" s="187" t="s">
        <v>8</v>
      </c>
      <c r="D220" s="133">
        <v>28</v>
      </c>
      <c r="E220" s="134"/>
      <c r="F220" s="101"/>
      <c r="G220" s="102">
        <f t="shared" si="10"/>
        <v>0</v>
      </c>
      <c r="I220" s="39">
        <f>D220*1.58*6</f>
        <v>265.44</v>
      </c>
      <c r="J220" s="28">
        <f>8.7+4.42+3.4+3.4+8.7</f>
        <v>28.619999999999997</v>
      </c>
      <c r="K220" s="28">
        <f>J220/0.15</f>
        <v>190.79999999999998</v>
      </c>
      <c r="L220" s="28">
        <f>K220/5</f>
        <v>38.159999999999997</v>
      </c>
    </row>
    <row r="221" spans="1:13" x14ac:dyDescent="0.2">
      <c r="A221" s="185"/>
      <c r="B221" s="186" t="s">
        <v>226</v>
      </c>
      <c r="C221" s="187" t="s">
        <v>8</v>
      </c>
      <c r="D221" s="133">
        <v>39</v>
      </c>
      <c r="E221" s="134"/>
      <c r="F221" s="101"/>
      <c r="G221" s="102">
        <f t="shared" si="10"/>
        <v>0</v>
      </c>
      <c r="I221" s="39">
        <f>0.222*D221*6</f>
        <v>51.947999999999993</v>
      </c>
    </row>
    <row r="222" spans="1:13" x14ac:dyDescent="0.2">
      <c r="A222" s="185"/>
      <c r="B222" s="186" t="s">
        <v>14</v>
      </c>
      <c r="C222" s="187" t="s">
        <v>9</v>
      </c>
      <c r="D222" s="133">
        <f>D219*20</f>
        <v>6.3477600000000001</v>
      </c>
      <c r="E222" s="134"/>
      <c r="F222" s="101"/>
      <c r="G222" s="102">
        <f t="shared" si="10"/>
        <v>0</v>
      </c>
      <c r="I222" s="39">
        <f>SUM(I220:I221)</f>
        <v>317.38799999999998</v>
      </c>
    </row>
    <row r="223" spans="1:13" x14ac:dyDescent="0.2">
      <c r="A223" s="213" t="s">
        <v>178</v>
      </c>
      <c r="B223" s="214" t="s">
        <v>417</v>
      </c>
      <c r="C223" s="215" t="s">
        <v>134</v>
      </c>
      <c r="D223" s="216">
        <f>I225/1000</f>
        <v>0.34798800000000002</v>
      </c>
      <c r="E223" s="217"/>
      <c r="F223" s="101"/>
      <c r="G223" s="102">
        <f t="shared" si="10"/>
        <v>0</v>
      </c>
      <c r="H223" s="43"/>
      <c r="I223" s="44"/>
    </row>
    <row r="224" spans="1:13" x14ac:dyDescent="0.2">
      <c r="A224" s="218" t="s">
        <v>175</v>
      </c>
      <c r="B224" s="186" t="s">
        <v>225</v>
      </c>
      <c r="C224" s="220" t="s">
        <v>8</v>
      </c>
      <c r="D224" s="221">
        <v>94</v>
      </c>
      <c r="E224" s="222"/>
      <c r="F224" s="223"/>
      <c r="G224" s="102">
        <f t="shared" si="10"/>
        <v>0</v>
      </c>
      <c r="H224" s="43"/>
      <c r="I224" s="39">
        <f>0.617*D224*6</f>
        <v>347.988</v>
      </c>
      <c r="J224" s="28">
        <f>5.925*3.4</f>
        <v>20.145</v>
      </c>
      <c r="K224" s="28">
        <f>J224*14*2</f>
        <v>564.05999999999995</v>
      </c>
      <c r="L224" s="28">
        <f>K224/6</f>
        <v>94.009999999999991</v>
      </c>
    </row>
    <row r="225" spans="1:16" x14ac:dyDescent="0.2">
      <c r="A225" s="218"/>
      <c r="B225" s="219" t="s">
        <v>14</v>
      </c>
      <c r="C225" s="220" t="s">
        <v>9</v>
      </c>
      <c r="D225" s="221">
        <f>D223*20</f>
        <v>6.9597600000000002</v>
      </c>
      <c r="E225" s="222"/>
      <c r="F225" s="223"/>
      <c r="G225" s="102">
        <f t="shared" si="10"/>
        <v>0</v>
      </c>
      <c r="H225" s="43"/>
      <c r="I225" s="39">
        <f>SUM(I223:I224)</f>
        <v>347.988</v>
      </c>
    </row>
    <row r="226" spans="1:16" x14ac:dyDescent="0.2">
      <c r="A226" s="218"/>
      <c r="B226" s="219"/>
      <c r="C226" s="220"/>
      <c r="D226" s="221"/>
      <c r="E226" s="222"/>
      <c r="F226" s="223"/>
      <c r="G226" s="102"/>
      <c r="H226" s="43"/>
      <c r="I226" s="39"/>
    </row>
    <row r="227" spans="1:16" x14ac:dyDescent="0.2">
      <c r="A227" s="218"/>
      <c r="B227" s="219"/>
      <c r="C227" s="220"/>
      <c r="D227" s="221"/>
      <c r="E227" s="222"/>
      <c r="F227" s="223"/>
      <c r="G227" s="102"/>
      <c r="H227" s="43"/>
      <c r="I227" s="39"/>
    </row>
    <row r="228" spans="1:16" ht="12.75" thickBot="1" x14ac:dyDescent="0.25">
      <c r="A228" s="450"/>
      <c r="B228" s="451"/>
      <c r="C228" s="452"/>
      <c r="D228" s="453"/>
      <c r="E228" s="284"/>
      <c r="F228" s="285"/>
      <c r="G228" s="193"/>
      <c r="H228" s="43"/>
      <c r="I228" s="39"/>
    </row>
    <row r="229" spans="1:16" x14ac:dyDescent="0.2">
      <c r="A229" s="225"/>
      <c r="B229" s="226"/>
      <c r="C229" s="227"/>
      <c r="D229" s="228"/>
      <c r="E229" s="229"/>
      <c r="F229" s="230"/>
      <c r="G229" s="231"/>
      <c r="H229" s="43"/>
      <c r="I229" s="39"/>
    </row>
    <row r="230" spans="1:16" x14ac:dyDescent="0.2">
      <c r="A230" s="171" t="s">
        <v>136</v>
      </c>
      <c r="B230" s="172" t="s">
        <v>67</v>
      </c>
      <c r="C230" s="207"/>
      <c r="D230" s="208"/>
      <c r="E230" s="209"/>
      <c r="F230" s="210"/>
      <c r="G230" s="211">
        <f>(D230*E230)+(D230*F230)</f>
        <v>0</v>
      </c>
    </row>
    <row r="231" spans="1:16" x14ac:dyDescent="0.2">
      <c r="A231" s="213" t="s">
        <v>164</v>
      </c>
      <c r="B231" s="214" t="s">
        <v>299</v>
      </c>
      <c r="C231" s="215"/>
      <c r="D231" s="216"/>
      <c r="E231" s="217"/>
      <c r="F231" s="101"/>
      <c r="G231" s="102"/>
    </row>
    <row r="232" spans="1:16" x14ac:dyDescent="0.2">
      <c r="A232" s="185" t="s">
        <v>185</v>
      </c>
      <c r="B232" s="186" t="s">
        <v>285</v>
      </c>
      <c r="C232" s="187" t="s">
        <v>134</v>
      </c>
      <c r="D232" s="133">
        <f>I235/1000</f>
        <v>0.75190800000000002</v>
      </c>
      <c r="E232" s="134"/>
      <c r="F232" s="101"/>
      <c r="G232" s="102">
        <f t="shared" ref="G232:G259" si="11">(D232*E232)+(D232*F232)</f>
        <v>0</v>
      </c>
    </row>
    <row r="233" spans="1:16" x14ac:dyDescent="0.2">
      <c r="A233" s="178"/>
      <c r="B233" s="186" t="s">
        <v>223</v>
      </c>
      <c r="C233" s="187" t="s">
        <v>8</v>
      </c>
      <c r="D233" s="133">
        <v>64</v>
      </c>
      <c r="E233" s="134"/>
      <c r="F233" s="101"/>
      <c r="G233" s="102">
        <f t="shared" si="11"/>
        <v>0</v>
      </c>
      <c r="I233" s="39">
        <f>D233*1.58*6</f>
        <v>606.72</v>
      </c>
      <c r="J233" s="28">
        <f>38.6*2+2.2*2</f>
        <v>81.600000000000009</v>
      </c>
      <c r="L233" s="28">
        <f>J233/0.15</f>
        <v>544.00000000000011</v>
      </c>
      <c r="M233" s="28">
        <f>L233/5</f>
        <v>108.80000000000003</v>
      </c>
      <c r="O233" s="28">
        <f>7.5*4*2</f>
        <v>60</v>
      </c>
      <c r="P233" s="28">
        <f>0.5*4*2</f>
        <v>4</v>
      </c>
    </row>
    <row r="234" spans="1:16" x14ac:dyDescent="0.2">
      <c r="A234" s="185"/>
      <c r="B234" s="186" t="s">
        <v>226</v>
      </c>
      <c r="C234" s="187" t="s">
        <v>8</v>
      </c>
      <c r="D234" s="133">
        <v>109</v>
      </c>
      <c r="E234" s="134"/>
      <c r="F234" s="101"/>
      <c r="G234" s="102">
        <f t="shared" si="11"/>
        <v>0</v>
      </c>
      <c r="I234" s="39">
        <f>0.222*D234*6</f>
        <v>145.18799999999999</v>
      </c>
    </row>
    <row r="235" spans="1:16" x14ac:dyDescent="0.2">
      <c r="A235" s="185"/>
      <c r="B235" s="186" t="s">
        <v>14</v>
      </c>
      <c r="C235" s="187" t="s">
        <v>9</v>
      </c>
      <c r="D235" s="133">
        <f>D232*20</f>
        <v>15.038160000000001</v>
      </c>
      <c r="E235" s="134"/>
      <c r="F235" s="101"/>
      <c r="G235" s="102">
        <f t="shared" si="11"/>
        <v>0</v>
      </c>
      <c r="I235" s="39">
        <f>SUM(I233:I234)</f>
        <v>751.90800000000002</v>
      </c>
      <c r="J235" s="39"/>
    </row>
    <row r="236" spans="1:16" x14ac:dyDescent="0.2">
      <c r="A236" s="185" t="s">
        <v>186</v>
      </c>
      <c r="B236" s="186" t="s">
        <v>300</v>
      </c>
      <c r="C236" s="187" t="s">
        <v>134</v>
      </c>
      <c r="D236" s="133">
        <f>I239/1000</f>
        <v>0.136404</v>
      </c>
      <c r="E236" s="134"/>
      <c r="F236" s="101"/>
      <c r="G236" s="102">
        <f t="shared" si="11"/>
        <v>0</v>
      </c>
      <c r="I236" s="39"/>
      <c r="J236" s="39"/>
    </row>
    <row r="237" spans="1:16" x14ac:dyDescent="0.2">
      <c r="A237" s="185"/>
      <c r="B237" s="186" t="s">
        <v>223</v>
      </c>
      <c r="C237" s="187" t="s">
        <v>8</v>
      </c>
      <c r="D237" s="133">
        <v>12</v>
      </c>
      <c r="E237" s="134"/>
      <c r="F237" s="101"/>
      <c r="G237" s="102">
        <f t="shared" si="11"/>
        <v>0</v>
      </c>
      <c r="I237" s="39">
        <f>D237*1.58*6</f>
        <v>113.76</v>
      </c>
      <c r="J237" s="28">
        <f>8.7</f>
        <v>8.6999999999999993</v>
      </c>
      <c r="K237" s="28">
        <f>J237/0.15</f>
        <v>58</v>
      </c>
      <c r="L237" s="28">
        <f>K237/5</f>
        <v>11.6</v>
      </c>
    </row>
    <row r="238" spans="1:16" x14ac:dyDescent="0.2">
      <c r="A238" s="185"/>
      <c r="B238" s="186" t="s">
        <v>226</v>
      </c>
      <c r="C238" s="187" t="s">
        <v>8</v>
      </c>
      <c r="D238" s="133">
        <v>17</v>
      </c>
      <c r="E238" s="134"/>
      <c r="F238" s="101"/>
      <c r="G238" s="102">
        <f t="shared" si="11"/>
        <v>0</v>
      </c>
      <c r="I238" s="39">
        <f>0.222*D238*6</f>
        <v>22.643999999999998</v>
      </c>
    </row>
    <row r="239" spans="1:16" x14ac:dyDescent="0.2">
      <c r="A239" s="185"/>
      <c r="B239" s="186" t="s">
        <v>14</v>
      </c>
      <c r="C239" s="187" t="s">
        <v>9</v>
      </c>
      <c r="D239" s="133">
        <f>D236*20</f>
        <v>2.7280799999999998</v>
      </c>
      <c r="E239" s="134"/>
      <c r="F239" s="101"/>
      <c r="G239" s="102">
        <f t="shared" si="11"/>
        <v>0</v>
      </c>
      <c r="I239" s="39">
        <f>SUM(I237:I238)</f>
        <v>136.404</v>
      </c>
      <c r="J239" s="39"/>
    </row>
    <row r="240" spans="1:16" x14ac:dyDescent="0.2">
      <c r="A240" s="185" t="s">
        <v>188</v>
      </c>
      <c r="B240" s="186" t="s">
        <v>301</v>
      </c>
      <c r="C240" s="187" t="s">
        <v>134</v>
      </c>
      <c r="D240" s="133">
        <f>I243/1000</f>
        <v>1.2382739999999999</v>
      </c>
      <c r="E240" s="134"/>
      <c r="F240" s="101"/>
      <c r="G240" s="102">
        <f t="shared" si="11"/>
        <v>0</v>
      </c>
      <c r="I240" s="39"/>
      <c r="J240" s="39"/>
    </row>
    <row r="241" spans="1:16" x14ac:dyDescent="0.2">
      <c r="A241" s="185"/>
      <c r="B241" s="186" t="s">
        <v>307</v>
      </c>
      <c r="C241" s="187" t="s">
        <v>8</v>
      </c>
      <c r="D241" s="133">
        <v>71</v>
      </c>
      <c r="E241" s="134"/>
      <c r="F241" s="101"/>
      <c r="G241" s="102">
        <f t="shared" si="11"/>
        <v>0</v>
      </c>
      <c r="I241" s="39">
        <f>D241*2.469*6</f>
        <v>1051.7939999999999</v>
      </c>
      <c r="J241" s="28">
        <f>8.7*6</f>
        <v>52.199999999999996</v>
      </c>
      <c r="K241" s="28">
        <f>(J241/0.15)*2</f>
        <v>696</v>
      </c>
      <c r="L241" s="28">
        <f>K241/5</f>
        <v>139.19999999999999</v>
      </c>
      <c r="N241" s="42">
        <f>D241/5</f>
        <v>14.2</v>
      </c>
      <c r="O241" s="42">
        <f>N241*6</f>
        <v>85.199999999999989</v>
      </c>
    </row>
    <row r="242" spans="1:16" x14ac:dyDescent="0.2">
      <c r="A242" s="185"/>
      <c r="B242" s="186" t="s">
        <v>226</v>
      </c>
      <c r="C242" s="187" t="s">
        <v>8</v>
      </c>
      <c r="D242" s="133">
        <v>140</v>
      </c>
      <c r="E242" s="134"/>
      <c r="F242" s="101"/>
      <c r="G242" s="102">
        <f t="shared" si="11"/>
        <v>0</v>
      </c>
      <c r="I242" s="39">
        <f>0.222*D242*6</f>
        <v>186.48000000000002</v>
      </c>
      <c r="J242" s="39"/>
    </row>
    <row r="243" spans="1:16" x14ac:dyDescent="0.2">
      <c r="A243" s="185"/>
      <c r="B243" s="186" t="s">
        <v>14</v>
      </c>
      <c r="C243" s="187" t="s">
        <v>9</v>
      </c>
      <c r="D243" s="133">
        <f>D240*20</f>
        <v>24.765479999999997</v>
      </c>
      <c r="E243" s="134"/>
      <c r="F243" s="101"/>
      <c r="G243" s="102">
        <f t="shared" si="11"/>
        <v>0</v>
      </c>
      <c r="I243" s="39">
        <f>SUM(I241:I242)</f>
        <v>1238.2739999999999</v>
      </c>
      <c r="J243" s="39"/>
    </row>
    <row r="244" spans="1:16" x14ac:dyDescent="0.2">
      <c r="A244" s="185" t="s">
        <v>187</v>
      </c>
      <c r="B244" s="186" t="s">
        <v>304</v>
      </c>
      <c r="C244" s="187" t="s">
        <v>134</v>
      </c>
      <c r="D244" s="133">
        <f>I247/1000</f>
        <v>0.53049599999999997</v>
      </c>
      <c r="E244" s="134"/>
      <c r="F244" s="101"/>
      <c r="G244" s="102">
        <f t="shared" si="11"/>
        <v>0</v>
      </c>
      <c r="I244" s="39"/>
      <c r="J244" s="39"/>
    </row>
    <row r="245" spans="1:16" x14ac:dyDescent="0.2">
      <c r="A245" s="185"/>
      <c r="B245" s="186" t="s">
        <v>223</v>
      </c>
      <c r="C245" s="187" t="s">
        <v>8</v>
      </c>
      <c r="D245" s="133">
        <v>45</v>
      </c>
      <c r="E245" s="134"/>
      <c r="F245" s="101"/>
      <c r="G245" s="102">
        <f t="shared" si="11"/>
        <v>0</v>
      </c>
      <c r="I245" s="39">
        <f>D245*1.58*6</f>
        <v>426.6</v>
      </c>
      <c r="J245" s="39">
        <f>38.6</f>
        <v>38.6</v>
      </c>
      <c r="K245" s="42">
        <f>J245/0.1</f>
        <v>386</v>
      </c>
      <c r="L245" s="28">
        <f>K245/5</f>
        <v>77.2</v>
      </c>
      <c r="N245" s="28">
        <f>7.5*4</f>
        <v>30</v>
      </c>
      <c r="O245" s="28">
        <f>11*2*2</f>
        <v>44</v>
      </c>
      <c r="P245" s="28">
        <f>O245/3</f>
        <v>14.666666666666666</v>
      </c>
    </row>
    <row r="246" spans="1:16" x14ac:dyDescent="0.2">
      <c r="A246" s="185"/>
      <c r="B246" s="186" t="s">
        <v>226</v>
      </c>
      <c r="C246" s="187" t="s">
        <v>8</v>
      </c>
      <c r="D246" s="133">
        <v>78</v>
      </c>
      <c r="E246" s="134"/>
      <c r="F246" s="101"/>
      <c r="G246" s="102">
        <f t="shared" si="11"/>
        <v>0</v>
      </c>
      <c r="I246" s="39">
        <f>0.222*D246*6</f>
        <v>103.89599999999999</v>
      </c>
      <c r="J246" s="39"/>
    </row>
    <row r="247" spans="1:16" x14ac:dyDescent="0.2">
      <c r="A247" s="185"/>
      <c r="B247" s="186" t="s">
        <v>14</v>
      </c>
      <c r="C247" s="187" t="s">
        <v>9</v>
      </c>
      <c r="D247" s="133">
        <f>D244*20</f>
        <v>10.609919999999999</v>
      </c>
      <c r="E247" s="134"/>
      <c r="F247" s="101"/>
      <c r="G247" s="102">
        <f t="shared" si="11"/>
        <v>0</v>
      </c>
      <c r="I247" s="39">
        <f>SUM(I245:I246)</f>
        <v>530.49599999999998</v>
      </c>
      <c r="J247" s="39"/>
    </row>
    <row r="248" spans="1:16" x14ac:dyDescent="0.2">
      <c r="A248" s="185" t="s">
        <v>302</v>
      </c>
      <c r="B248" s="186" t="s">
        <v>305</v>
      </c>
      <c r="C248" s="187" t="s">
        <v>134</v>
      </c>
      <c r="D248" s="133">
        <f>I251/1000</f>
        <v>5.2433999999999995E-2</v>
      </c>
      <c r="E248" s="134"/>
      <c r="F248" s="101"/>
      <c r="G248" s="102">
        <f t="shared" si="11"/>
        <v>0</v>
      </c>
      <c r="I248" s="39"/>
      <c r="J248" s="39"/>
    </row>
    <row r="249" spans="1:16" x14ac:dyDescent="0.2">
      <c r="A249" s="185"/>
      <c r="B249" s="186" t="s">
        <v>307</v>
      </c>
      <c r="C249" s="187" t="s">
        <v>8</v>
      </c>
      <c r="D249" s="133">
        <v>3</v>
      </c>
      <c r="E249" s="134"/>
      <c r="F249" s="101"/>
      <c r="G249" s="102">
        <f t="shared" si="11"/>
        <v>0</v>
      </c>
      <c r="I249" s="39">
        <f>D249*2.469*6</f>
        <v>44.442</v>
      </c>
      <c r="J249" s="39">
        <v>3.4</v>
      </c>
      <c r="K249" s="28">
        <f>(J249/0.15)</f>
        <v>22.666666666666668</v>
      </c>
      <c r="L249" s="28">
        <f>K249/4</f>
        <v>5.666666666666667</v>
      </c>
    </row>
    <row r="250" spans="1:16" x14ac:dyDescent="0.2">
      <c r="A250" s="185"/>
      <c r="B250" s="186" t="s">
        <v>226</v>
      </c>
      <c r="C250" s="187" t="s">
        <v>8</v>
      </c>
      <c r="D250" s="133">
        <v>6</v>
      </c>
      <c r="E250" s="134"/>
      <c r="F250" s="101"/>
      <c r="G250" s="102">
        <f t="shared" si="11"/>
        <v>0</v>
      </c>
      <c r="I250" s="39">
        <f>0.222*D250*6</f>
        <v>7.9920000000000009</v>
      </c>
      <c r="J250" s="39"/>
    </row>
    <row r="251" spans="1:16" x14ac:dyDescent="0.2">
      <c r="A251" s="185"/>
      <c r="B251" s="186" t="s">
        <v>14</v>
      </c>
      <c r="C251" s="187" t="s">
        <v>9</v>
      </c>
      <c r="D251" s="133">
        <f>D248*20</f>
        <v>1.0486799999999998</v>
      </c>
      <c r="E251" s="134"/>
      <c r="F251" s="101"/>
      <c r="G251" s="102">
        <f t="shared" si="11"/>
        <v>0</v>
      </c>
      <c r="I251" s="39">
        <f>SUM(I249:I250)</f>
        <v>52.433999999999997</v>
      </c>
      <c r="J251" s="39"/>
    </row>
    <row r="252" spans="1:16" x14ac:dyDescent="0.2">
      <c r="A252" s="185" t="s">
        <v>303</v>
      </c>
      <c r="B252" s="186" t="s">
        <v>306</v>
      </c>
      <c r="C252" s="187" t="s">
        <v>134</v>
      </c>
      <c r="D252" s="133">
        <f>I256/1000</f>
        <v>0.85786200000000012</v>
      </c>
      <c r="E252" s="134"/>
      <c r="F252" s="101"/>
      <c r="G252" s="102">
        <f t="shared" si="11"/>
        <v>0</v>
      </c>
      <c r="I252" s="39"/>
      <c r="J252" s="39"/>
    </row>
    <row r="253" spans="1:16" x14ac:dyDescent="0.2">
      <c r="A253" s="185"/>
      <c r="B253" s="186" t="s">
        <v>307</v>
      </c>
      <c r="C253" s="187" t="s">
        <v>8</v>
      </c>
      <c r="D253" s="133">
        <v>35</v>
      </c>
      <c r="E253" s="134"/>
      <c r="F253" s="101"/>
      <c r="G253" s="102">
        <f t="shared" si="11"/>
        <v>0</v>
      </c>
      <c r="I253" s="39">
        <f>D253*2.469*6</f>
        <v>518.49</v>
      </c>
      <c r="J253" s="39">
        <v>32.1</v>
      </c>
      <c r="K253" s="28">
        <f>(J253/0.1)</f>
        <v>321</v>
      </c>
      <c r="L253" s="28">
        <f>K253/4</f>
        <v>80.25</v>
      </c>
    </row>
    <row r="254" spans="1:16" x14ac:dyDescent="0.2">
      <c r="A254" s="185"/>
      <c r="B254" s="186" t="s">
        <v>308</v>
      </c>
      <c r="C254" s="187" t="s">
        <v>8</v>
      </c>
      <c r="D254" s="133">
        <v>10</v>
      </c>
      <c r="E254" s="134"/>
      <c r="F254" s="101"/>
      <c r="G254" s="102">
        <f t="shared" si="11"/>
        <v>0</v>
      </c>
      <c r="I254" s="39">
        <f>D254*3.858*6</f>
        <v>231.48</v>
      </c>
      <c r="J254" s="39"/>
    </row>
    <row r="255" spans="1:16" x14ac:dyDescent="0.2">
      <c r="A255" s="185"/>
      <c r="B255" s="186" t="s">
        <v>226</v>
      </c>
      <c r="C255" s="187" t="s">
        <v>8</v>
      </c>
      <c r="D255" s="133">
        <v>81</v>
      </c>
      <c r="E255" s="134"/>
      <c r="F255" s="101"/>
      <c r="G255" s="102">
        <f t="shared" si="11"/>
        <v>0</v>
      </c>
      <c r="I255" s="39">
        <f>0.222*D255*6</f>
        <v>107.892</v>
      </c>
      <c r="J255" s="39"/>
    </row>
    <row r="256" spans="1:16" x14ac:dyDescent="0.2">
      <c r="A256" s="185"/>
      <c r="B256" s="186" t="s">
        <v>14</v>
      </c>
      <c r="C256" s="187" t="s">
        <v>9</v>
      </c>
      <c r="D256" s="133">
        <f>D252*20</f>
        <v>17.157240000000002</v>
      </c>
      <c r="E256" s="134"/>
      <c r="F256" s="101"/>
      <c r="G256" s="102">
        <f t="shared" si="11"/>
        <v>0</v>
      </c>
      <c r="I256" s="39">
        <f>SUM(I253:I255)</f>
        <v>857.86200000000008</v>
      </c>
      <c r="J256" s="39"/>
    </row>
    <row r="257" spans="1:16" x14ac:dyDescent="0.2">
      <c r="A257" s="213" t="s">
        <v>165</v>
      </c>
      <c r="B257" s="214" t="s">
        <v>284</v>
      </c>
      <c r="C257" s="215" t="s">
        <v>134</v>
      </c>
      <c r="D257" s="216">
        <f>I259/1000</f>
        <v>6.4155660000000001</v>
      </c>
      <c r="E257" s="217"/>
      <c r="F257" s="101"/>
      <c r="G257" s="102">
        <f t="shared" si="11"/>
        <v>0</v>
      </c>
      <c r="H257" s="43"/>
      <c r="I257" s="44"/>
      <c r="K257" s="28">
        <f>K166</f>
        <v>385.82</v>
      </c>
      <c r="L257" s="28">
        <f>K257*14</f>
        <v>5401.48</v>
      </c>
      <c r="M257" s="28">
        <f>L257*75%</f>
        <v>4051.1099999999997</v>
      </c>
      <c r="N257" s="28">
        <f>L257+M257</f>
        <v>9452.59</v>
      </c>
      <c r="O257" s="28">
        <f>N257/6</f>
        <v>1575.4316666666666</v>
      </c>
      <c r="P257" s="28">
        <f>O257*110%</f>
        <v>1732.9748333333334</v>
      </c>
    </row>
    <row r="258" spans="1:16" x14ac:dyDescent="0.2">
      <c r="A258" s="218" t="s">
        <v>175</v>
      </c>
      <c r="B258" s="186" t="s">
        <v>225</v>
      </c>
      <c r="C258" s="220" t="s">
        <v>8</v>
      </c>
      <c r="D258" s="221">
        <v>1733</v>
      </c>
      <c r="E258" s="222"/>
      <c r="F258" s="223"/>
      <c r="G258" s="102">
        <f t="shared" si="11"/>
        <v>0</v>
      </c>
      <c r="H258" s="43"/>
      <c r="I258" s="39">
        <f>0.617*D258*6</f>
        <v>6415.5659999999998</v>
      </c>
    </row>
    <row r="259" spans="1:16" x14ac:dyDescent="0.2">
      <c r="A259" s="218"/>
      <c r="B259" s="219" t="s">
        <v>14</v>
      </c>
      <c r="C259" s="220" t="s">
        <v>9</v>
      </c>
      <c r="D259" s="221">
        <f>D257*15</f>
        <v>96.233490000000003</v>
      </c>
      <c r="E259" s="222"/>
      <c r="F259" s="223"/>
      <c r="G259" s="102">
        <f t="shared" si="11"/>
        <v>0</v>
      </c>
      <c r="H259" s="43"/>
      <c r="I259" s="39">
        <f>SUM(I257:I258)</f>
        <v>6415.5659999999998</v>
      </c>
    </row>
    <row r="260" spans="1:16" x14ac:dyDescent="0.2">
      <c r="A260" s="213" t="s">
        <v>176</v>
      </c>
      <c r="B260" s="214" t="s">
        <v>172</v>
      </c>
      <c r="C260" s="215"/>
      <c r="D260" s="216"/>
      <c r="E260" s="217"/>
      <c r="F260" s="101"/>
      <c r="G260" s="102"/>
    </row>
    <row r="261" spans="1:16" x14ac:dyDescent="0.2">
      <c r="A261" s="185" t="s">
        <v>185</v>
      </c>
      <c r="B261" s="186" t="s">
        <v>518</v>
      </c>
      <c r="C261" s="187" t="s">
        <v>134</v>
      </c>
      <c r="D261" s="133">
        <f>I264/1000</f>
        <v>1.2859200000000002</v>
      </c>
      <c r="E261" s="134"/>
      <c r="F261" s="101"/>
      <c r="G261" s="102">
        <f t="shared" ref="G261:G273" si="12">(D261*E261)+(D261*F261)</f>
        <v>0</v>
      </c>
    </row>
    <row r="262" spans="1:16" x14ac:dyDescent="0.2">
      <c r="A262" s="178"/>
      <c r="B262" s="186" t="s">
        <v>223</v>
      </c>
      <c r="C262" s="187" t="s">
        <v>8</v>
      </c>
      <c r="D262" s="133">
        <v>123</v>
      </c>
      <c r="E262" s="134"/>
      <c r="F262" s="101"/>
      <c r="G262" s="102">
        <f t="shared" si="12"/>
        <v>0</v>
      </c>
      <c r="I262" s="39">
        <f>D262*1.58*6</f>
        <v>1166.04</v>
      </c>
      <c r="J262" s="28">
        <f>1.5*2*41</f>
        <v>123</v>
      </c>
      <c r="L262" s="28">
        <f>3.5/0.15</f>
        <v>23.333333333333336</v>
      </c>
      <c r="M262" s="28">
        <f>24*41</f>
        <v>984</v>
      </c>
      <c r="N262" s="28">
        <f>M262/11</f>
        <v>89.454545454545453</v>
      </c>
    </row>
    <row r="263" spans="1:16" x14ac:dyDescent="0.2">
      <c r="A263" s="185"/>
      <c r="B263" s="186" t="s">
        <v>226</v>
      </c>
      <c r="C263" s="187" t="s">
        <v>8</v>
      </c>
      <c r="D263" s="133">
        <v>90</v>
      </c>
      <c r="E263" s="134"/>
      <c r="F263" s="101"/>
      <c r="G263" s="102">
        <f t="shared" si="12"/>
        <v>0</v>
      </c>
      <c r="I263" s="39">
        <f>0.222*D263*6</f>
        <v>119.88</v>
      </c>
    </row>
    <row r="264" spans="1:16" x14ac:dyDescent="0.2">
      <c r="A264" s="185"/>
      <c r="B264" s="186" t="s">
        <v>14</v>
      </c>
      <c r="C264" s="187" t="s">
        <v>9</v>
      </c>
      <c r="D264" s="133">
        <f>D261*20</f>
        <v>25.718400000000003</v>
      </c>
      <c r="E264" s="134"/>
      <c r="F264" s="101"/>
      <c r="G264" s="102">
        <f t="shared" si="12"/>
        <v>0</v>
      </c>
      <c r="I264" s="39">
        <f>SUM(I262:I263)</f>
        <v>1285.92</v>
      </c>
      <c r="J264" s="39"/>
    </row>
    <row r="265" spans="1:16" x14ac:dyDescent="0.2">
      <c r="A265" s="185" t="s">
        <v>186</v>
      </c>
      <c r="B265" s="186" t="s">
        <v>519</v>
      </c>
      <c r="C265" s="187" t="s">
        <v>134</v>
      </c>
      <c r="D265" s="133">
        <f>I268/1000</f>
        <v>0.39722400000000002</v>
      </c>
      <c r="E265" s="134"/>
      <c r="F265" s="101"/>
      <c r="G265" s="102">
        <f t="shared" si="12"/>
        <v>0</v>
      </c>
      <c r="I265" s="39"/>
      <c r="J265" s="39"/>
    </row>
    <row r="266" spans="1:16" x14ac:dyDescent="0.2">
      <c r="A266" s="185"/>
      <c r="B266" s="186" t="s">
        <v>223</v>
      </c>
      <c r="C266" s="187" t="s">
        <v>8</v>
      </c>
      <c r="D266" s="133">
        <v>36</v>
      </c>
      <c r="E266" s="134"/>
      <c r="F266" s="101"/>
      <c r="G266" s="102">
        <f t="shared" si="12"/>
        <v>0</v>
      </c>
      <c r="I266" s="39">
        <f>D266*1.58*6</f>
        <v>341.28000000000003</v>
      </c>
      <c r="J266" s="28">
        <f>1.5*4*6</f>
        <v>36</v>
      </c>
      <c r="K266" s="28">
        <f>24*6</f>
        <v>144</v>
      </c>
      <c r="L266" s="28">
        <f>K266/6</f>
        <v>24</v>
      </c>
      <c r="M266" s="28">
        <f>K266/8</f>
        <v>18</v>
      </c>
      <c r="N266" s="28">
        <f>SUM(L266:M266)</f>
        <v>42</v>
      </c>
    </row>
    <row r="267" spans="1:16" x14ac:dyDescent="0.2">
      <c r="A267" s="185"/>
      <c r="B267" s="186" t="s">
        <v>226</v>
      </c>
      <c r="C267" s="187" t="s">
        <v>8</v>
      </c>
      <c r="D267" s="133">
        <v>42</v>
      </c>
      <c r="E267" s="134"/>
      <c r="F267" s="101"/>
      <c r="G267" s="102">
        <f t="shared" si="12"/>
        <v>0</v>
      </c>
      <c r="I267" s="39">
        <f>0.222*D267*6</f>
        <v>55.944000000000003</v>
      </c>
    </row>
    <row r="268" spans="1:16" x14ac:dyDescent="0.2">
      <c r="A268" s="185"/>
      <c r="B268" s="186" t="s">
        <v>14</v>
      </c>
      <c r="C268" s="187" t="s">
        <v>9</v>
      </c>
      <c r="D268" s="133">
        <f>D265*20</f>
        <v>7.9444800000000004</v>
      </c>
      <c r="E268" s="134"/>
      <c r="F268" s="101"/>
      <c r="G268" s="102">
        <f t="shared" si="12"/>
        <v>0</v>
      </c>
      <c r="I268" s="39">
        <f>SUM(I266:I267)</f>
        <v>397.22400000000005</v>
      </c>
      <c r="J268" s="39"/>
    </row>
    <row r="269" spans="1:16" x14ac:dyDescent="0.2">
      <c r="A269" s="185" t="s">
        <v>188</v>
      </c>
      <c r="B269" s="186" t="s">
        <v>419</v>
      </c>
      <c r="C269" s="187" t="s">
        <v>134</v>
      </c>
      <c r="D269" s="133">
        <f>I272/1000</f>
        <v>8.8398000000000004E-2</v>
      </c>
      <c r="E269" s="134"/>
      <c r="F269" s="101"/>
      <c r="G269" s="102">
        <f t="shared" si="12"/>
        <v>0</v>
      </c>
      <c r="I269" s="39"/>
      <c r="J269" s="39"/>
    </row>
    <row r="270" spans="1:16" x14ac:dyDescent="0.2">
      <c r="A270" s="185"/>
      <c r="B270" s="186" t="s">
        <v>225</v>
      </c>
      <c r="C270" s="187" t="s">
        <v>8</v>
      </c>
      <c r="D270" s="133">
        <v>21</v>
      </c>
      <c r="E270" s="134"/>
      <c r="F270" s="101"/>
      <c r="G270" s="102">
        <f t="shared" si="12"/>
        <v>0</v>
      </c>
      <c r="I270" s="39">
        <f>D270*0.617*6</f>
        <v>77.742000000000004</v>
      </c>
      <c r="J270" s="39">
        <f>1.5*7*2</f>
        <v>21</v>
      </c>
    </row>
    <row r="271" spans="1:16" x14ac:dyDescent="0.2">
      <c r="A271" s="185"/>
      <c r="B271" s="186" t="s">
        <v>226</v>
      </c>
      <c r="C271" s="187" t="s">
        <v>8</v>
      </c>
      <c r="D271" s="133">
        <v>8</v>
      </c>
      <c r="E271" s="134"/>
      <c r="F271" s="101"/>
      <c r="G271" s="102">
        <f t="shared" si="12"/>
        <v>0</v>
      </c>
      <c r="I271" s="39">
        <f>0.222*D271*6</f>
        <v>10.656000000000001</v>
      </c>
      <c r="J271" s="39"/>
    </row>
    <row r="272" spans="1:16" x14ac:dyDescent="0.2">
      <c r="A272" s="185"/>
      <c r="B272" s="186" t="s">
        <v>14</v>
      </c>
      <c r="C272" s="187" t="s">
        <v>9</v>
      </c>
      <c r="D272" s="133">
        <f>D269*20</f>
        <v>1.76796</v>
      </c>
      <c r="E272" s="134"/>
      <c r="F272" s="101"/>
      <c r="G272" s="102">
        <f t="shared" si="12"/>
        <v>0</v>
      </c>
      <c r="I272" s="39">
        <f>SUM(I270:I271)</f>
        <v>88.39800000000001</v>
      </c>
      <c r="J272" s="39"/>
    </row>
    <row r="273" spans="1:13" x14ac:dyDescent="0.2">
      <c r="A273" s="171" t="s">
        <v>309</v>
      </c>
      <c r="B273" s="172" t="s">
        <v>276</v>
      </c>
      <c r="C273" s="207"/>
      <c r="D273" s="208"/>
      <c r="E273" s="209"/>
      <c r="F273" s="210"/>
      <c r="G273" s="211">
        <f t="shared" si="12"/>
        <v>0</v>
      </c>
    </row>
    <row r="274" spans="1:13" x14ac:dyDescent="0.2">
      <c r="A274" s="213" t="s">
        <v>164</v>
      </c>
      <c r="B274" s="214" t="s">
        <v>276</v>
      </c>
      <c r="C274" s="215"/>
      <c r="D274" s="216"/>
      <c r="E274" s="217"/>
      <c r="F274" s="101"/>
      <c r="G274" s="102"/>
    </row>
    <row r="275" spans="1:13" x14ac:dyDescent="0.2">
      <c r="A275" s="185" t="s">
        <v>185</v>
      </c>
      <c r="B275" s="186" t="s">
        <v>310</v>
      </c>
      <c r="C275" s="187" t="s">
        <v>134</v>
      </c>
      <c r="D275" s="133">
        <f>I278/1000</f>
        <v>0.50283600000000006</v>
      </c>
      <c r="E275" s="134"/>
      <c r="F275" s="101"/>
      <c r="G275" s="102">
        <f t="shared" ref="G275:G286" si="13">(D275*E275)+(D275*F275)</f>
        <v>0</v>
      </c>
    </row>
    <row r="276" spans="1:13" x14ac:dyDescent="0.2">
      <c r="A276" s="178"/>
      <c r="B276" s="186" t="s">
        <v>223</v>
      </c>
      <c r="C276" s="187" t="s">
        <v>8</v>
      </c>
      <c r="D276" s="133">
        <v>47</v>
      </c>
      <c r="E276" s="134"/>
      <c r="F276" s="101"/>
      <c r="G276" s="102">
        <f t="shared" si="13"/>
        <v>0</v>
      </c>
      <c r="I276" s="39">
        <f>D276*1.58*6</f>
        <v>445.56000000000006</v>
      </c>
      <c r="J276" s="28">
        <v>32</v>
      </c>
      <c r="L276" s="28">
        <f>J276/0.15</f>
        <v>213.33333333333334</v>
      </c>
      <c r="M276" s="28">
        <f>L276/5</f>
        <v>42.666666666666671</v>
      </c>
    </row>
    <row r="277" spans="1:13" x14ac:dyDescent="0.2">
      <c r="A277" s="185"/>
      <c r="B277" s="186" t="s">
        <v>226</v>
      </c>
      <c r="C277" s="187" t="s">
        <v>8</v>
      </c>
      <c r="D277" s="133">
        <v>43</v>
      </c>
      <c r="E277" s="134"/>
      <c r="F277" s="101"/>
      <c r="G277" s="102">
        <f t="shared" si="13"/>
        <v>0</v>
      </c>
      <c r="I277" s="39">
        <f>0.222*D277*6</f>
        <v>57.275999999999996</v>
      </c>
    </row>
    <row r="278" spans="1:13" x14ac:dyDescent="0.2">
      <c r="A278" s="185"/>
      <c r="B278" s="186" t="s">
        <v>14</v>
      </c>
      <c r="C278" s="187" t="s">
        <v>9</v>
      </c>
      <c r="D278" s="133">
        <f>D275*20</f>
        <v>10.056720000000002</v>
      </c>
      <c r="E278" s="134"/>
      <c r="F278" s="101"/>
      <c r="G278" s="102">
        <f t="shared" si="13"/>
        <v>0</v>
      </c>
      <c r="I278" s="39">
        <f>SUM(I276:I277)</f>
        <v>502.83600000000007</v>
      </c>
      <c r="J278" s="39"/>
    </row>
    <row r="279" spans="1:13" x14ac:dyDescent="0.2">
      <c r="A279" s="185" t="s">
        <v>186</v>
      </c>
      <c r="B279" s="186" t="s">
        <v>294</v>
      </c>
      <c r="C279" s="187" t="s">
        <v>134</v>
      </c>
      <c r="D279" s="133">
        <f>I282/1000</f>
        <v>6.8867999999999999E-2</v>
      </c>
      <c r="E279" s="134"/>
      <c r="F279" s="101"/>
      <c r="G279" s="102">
        <f t="shared" si="13"/>
        <v>0</v>
      </c>
      <c r="I279" s="39"/>
      <c r="J279" s="39"/>
    </row>
    <row r="280" spans="1:13" x14ac:dyDescent="0.2">
      <c r="A280" s="185"/>
      <c r="B280" s="186" t="s">
        <v>223</v>
      </c>
      <c r="C280" s="187" t="s">
        <v>8</v>
      </c>
      <c r="D280" s="133">
        <v>6</v>
      </c>
      <c r="E280" s="134"/>
      <c r="F280" s="101"/>
      <c r="G280" s="102">
        <f t="shared" si="13"/>
        <v>0</v>
      </c>
      <c r="I280" s="39">
        <f>D280*1.58*6</f>
        <v>56.88</v>
      </c>
      <c r="J280" s="28">
        <f>3.2*2</f>
        <v>6.4</v>
      </c>
      <c r="K280" s="28">
        <f>J280/0.15</f>
        <v>42.666666666666671</v>
      </c>
      <c r="L280" s="28">
        <f>K280/5</f>
        <v>8.533333333333335</v>
      </c>
    </row>
    <row r="281" spans="1:13" x14ac:dyDescent="0.2">
      <c r="A281" s="185"/>
      <c r="B281" s="186" t="s">
        <v>226</v>
      </c>
      <c r="C281" s="187" t="s">
        <v>8</v>
      </c>
      <c r="D281" s="133">
        <v>9</v>
      </c>
      <c r="E281" s="134"/>
      <c r="F281" s="101"/>
      <c r="G281" s="102">
        <f t="shared" si="13"/>
        <v>0</v>
      </c>
      <c r="I281" s="39">
        <f>0.222*D281*6</f>
        <v>11.988</v>
      </c>
    </row>
    <row r="282" spans="1:13" x14ac:dyDescent="0.2">
      <c r="A282" s="185"/>
      <c r="B282" s="186" t="s">
        <v>14</v>
      </c>
      <c r="C282" s="187" t="s">
        <v>9</v>
      </c>
      <c r="D282" s="133">
        <f>D279*20</f>
        <v>1.3773599999999999</v>
      </c>
      <c r="E282" s="134"/>
      <c r="F282" s="101"/>
      <c r="G282" s="102">
        <f t="shared" si="13"/>
        <v>0</v>
      </c>
      <c r="I282" s="39">
        <f>SUM(I280:I281)</f>
        <v>68.867999999999995</v>
      </c>
      <c r="J282" s="39"/>
    </row>
    <row r="283" spans="1:13" x14ac:dyDescent="0.2">
      <c r="A283" s="185" t="s">
        <v>188</v>
      </c>
      <c r="B283" s="186" t="s">
        <v>293</v>
      </c>
      <c r="C283" s="187" t="s">
        <v>134</v>
      </c>
      <c r="D283" s="133">
        <f>I286/1000</f>
        <v>1.7582880000000001</v>
      </c>
      <c r="E283" s="134"/>
      <c r="F283" s="101"/>
      <c r="G283" s="102">
        <f t="shared" si="13"/>
        <v>0</v>
      </c>
      <c r="I283" s="39"/>
      <c r="J283" s="39"/>
    </row>
    <row r="284" spans="1:13" x14ac:dyDescent="0.2">
      <c r="A284" s="185"/>
      <c r="B284" s="186" t="s">
        <v>223</v>
      </c>
      <c r="C284" s="187" t="s">
        <v>8</v>
      </c>
      <c r="D284" s="133">
        <v>154</v>
      </c>
      <c r="E284" s="134"/>
      <c r="F284" s="101"/>
      <c r="G284" s="102">
        <f t="shared" si="13"/>
        <v>0</v>
      </c>
      <c r="I284" s="39">
        <f>D284*1.58*6</f>
        <v>1459.92</v>
      </c>
      <c r="J284" s="28">
        <f>38.6*3+10.7*8</f>
        <v>201.4</v>
      </c>
      <c r="K284" s="28">
        <f>J284/0.15</f>
        <v>1342.6666666666667</v>
      </c>
      <c r="L284" s="28">
        <f>K284/6</f>
        <v>223.7777777777778</v>
      </c>
    </row>
    <row r="285" spans="1:13" x14ac:dyDescent="0.2">
      <c r="A285" s="185"/>
      <c r="B285" s="186" t="s">
        <v>226</v>
      </c>
      <c r="C285" s="187" t="s">
        <v>8</v>
      </c>
      <c r="D285" s="133">
        <v>224</v>
      </c>
      <c r="E285" s="134"/>
      <c r="F285" s="101"/>
      <c r="G285" s="102">
        <f t="shared" si="13"/>
        <v>0</v>
      </c>
      <c r="I285" s="39">
        <f>0.222*D285*6</f>
        <v>298.36799999999999</v>
      </c>
    </row>
    <row r="286" spans="1:13" x14ac:dyDescent="0.2">
      <c r="A286" s="185"/>
      <c r="B286" s="186" t="s">
        <v>14</v>
      </c>
      <c r="C286" s="187" t="s">
        <v>9</v>
      </c>
      <c r="D286" s="133">
        <f>D283*20</f>
        <v>35.165759999999999</v>
      </c>
      <c r="E286" s="134"/>
      <c r="F286" s="101"/>
      <c r="G286" s="102">
        <f t="shared" si="13"/>
        <v>0</v>
      </c>
      <c r="I286" s="39">
        <f>SUM(I284:I285)</f>
        <v>1758.288</v>
      </c>
      <c r="J286" s="39"/>
    </row>
    <row r="287" spans="1:13" ht="12.75" thickBot="1" x14ac:dyDescent="0.25">
      <c r="A287" s="188"/>
      <c r="B287" s="189"/>
      <c r="C287" s="190"/>
      <c r="D287" s="191"/>
      <c r="E287" s="232"/>
      <c r="F287" s="192"/>
      <c r="G287" s="193"/>
      <c r="I287" s="39"/>
      <c r="J287" s="39"/>
    </row>
    <row r="288" spans="1:13" x14ac:dyDescent="0.2">
      <c r="A288" s="200"/>
      <c r="B288" s="201"/>
      <c r="C288" s="233"/>
      <c r="D288" s="203"/>
      <c r="E288" s="234"/>
      <c r="F288" s="205"/>
      <c r="G288" s="206"/>
      <c r="I288" s="39"/>
      <c r="J288" s="39"/>
    </row>
    <row r="289" spans="1:13" x14ac:dyDescent="0.2">
      <c r="A289" s="171" t="s">
        <v>152</v>
      </c>
      <c r="B289" s="172" t="s">
        <v>201</v>
      </c>
      <c r="C289" s="207"/>
      <c r="D289" s="208"/>
      <c r="E289" s="209"/>
      <c r="F289" s="210"/>
      <c r="G289" s="211">
        <f>(D289*E289)+(D289*F289)</f>
        <v>0</v>
      </c>
    </row>
    <row r="290" spans="1:13" x14ac:dyDescent="0.2">
      <c r="A290" s="235" t="s">
        <v>185</v>
      </c>
      <c r="B290" s="179" t="s">
        <v>311</v>
      </c>
      <c r="C290" s="187"/>
      <c r="D290" s="133"/>
      <c r="E290" s="134"/>
      <c r="F290" s="101"/>
      <c r="G290" s="102">
        <f t="shared" ref="G290:G295" si="14">(D290*E290)+(D290*F290)</f>
        <v>0</v>
      </c>
    </row>
    <row r="291" spans="1:13" ht="48" x14ac:dyDescent="0.2">
      <c r="A291" s="236"/>
      <c r="B291" s="186" t="s">
        <v>312</v>
      </c>
      <c r="C291" s="187" t="s">
        <v>481</v>
      </c>
      <c r="D291" s="133">
        <v>14.8</v>
      </c>
      <c r="E291" s="134"/>
      <c r="F291" s="101"/>
      <c r="G291" s="102">
        <f t="shared" si="14"/>
        <v>0</v>
      </c>
      <c r="I291" s="28">
        <f>34.862*0.2*0.2*2*2</f>
        <v>5.5779200000000007</v>
      </c>
      <c r="J291" s="28">
        <f>0.45*0.125*34.862*2*2</f>
        <v>7.8439500000000004</v>
      </c>
      <c r="K291" s="28">
        <f>26.4*0.15*0.15*2</f>
        <v>1.1879999999999997</v>
      </c>
      <c r="M291" s="28">
        <f>SUM(I291:L291)</f>
        <v>14.609870000000001</v>
      </c>
    </row>
    <row r="292" spans="1:13" x14ac:dyDescent="0.2">
      <c r="A292" s="235" t="s">
        <v>186</v>
      </c>
      <c r="B292" s="179" t="s">
        <v>313</v>
      </c>
      <c r="C292" s="187"/>
      <c r="D292" s="133"/>
      <c r="E292" s="134"/>
      <c r="F292" s="101"/>
      <c r="G292" s="102">
        <f t="shared" si="14"/>
        <v>0</v>
      </c>
    </row>
    <row r="293" spans="1:13" ht="60" x14ac:dyDescent="0.2">
      <c r="A293" s="236"/>
      <c r="B293" s="186" t="s">
        <v>456</v>
      </c>
      <c r="C293" s="187" t="s">
        <v>481</v>
      </c>
      <c r="D293" s="133">
        <v>3.37</v>
      </c>
      <c r="E293" s="134"/>
      <c r="F293" s="101"/>
      <c r="G293" s="102">
        <f t="shared" si="14"/>
        <v>0</v>
      </c>
      <c r="I293" s="28">
        <f>36+3.6</f>
        <v>39.6</v>
      </c>
      <c r="J293" s="28">
        <f>I293*0.85*0.1</f>
        <v>3.3660000000000005</v>
      </c>
    </row>
    <row r="294" spans="1:13" x14ac:dyDescent="0.2">
      <c r="A294" s="235" t="s">
        <v>188</v>
      </c>
      <c r="B294" s="179" t="s">
        <v>351</v>
      </c>
      <c r="C294" s="187"/>
      <c r="D294" s="133"/>
      <c r="E294" s="134"/>
      <c r="F294" s="101"/>
      <c r="G294" s="102">
        <f t="shared" si="14"/>
        <v>0</v>
      </c>
    </row>
    <row r="295" spans="1:13" ht="60" x14ac:dyDescent="0.2">
      <c r="A295" s="236"/>
      <c r="B295" s="186" t="s">
        <v>483</v>
      </c>
      <c r="C295" s="187" t="s">
        <v>481</v>
      </c>
      <c r="D295" s="133">
        <v>0.76</v>
      </c>
      <c r="E295" s="134"/>
      <c r="F295" s="101"/>
      <c r="G295" s="102">
        <f t="shared" si="14"/>
        <v>0</v>
      </c>
      <c r="I295" s="28">
        <f>2.975*5*0.2*0.1*2</f>
        <v>0.59500000000000008</v>
      </c>
      <c r="J295" s="28">
        <f>4.08*0.2*0.1*2</f>
        <v>0.16320000000000001</v>
      </c>
      <c r="K295" s="28">
        <f>SUM(I295:J295)</f>
        <v>0.7582000000000001</v>
      </c>
    </row>
    <row r="296" spans="1:13" x14ac:dyDescent="0.2">
      <c r="A296" s="235" t="s">
        <v>187</v>
      </c>
      <c r="B296" s="179" t="s">
        <v>396</v>
      </c>
      <c r="C296" s="187"/>
      <c r="D296" s="133"/>
      <c r="E296" s="134"/>
      <c r="F296" s="101"/>
      <c r="G296" s="102">
        <f t="shared" ref="G296:G303" si="15">(D296*E296)+(D296*F296)</f>
        <v>0</v>
      </c>
    </row>
    <row r="297" spans="1:13" ht="61.5" customHeight="1" x14ac:dyDescent="0.2">
      <c r="A297" s="236"/>
      <c r="B297" s="237" t="s">
        <v>397</v>
      </c>
      <c r="C297" s="187" t="s">
        <v>481</v>
      </c>
      <c r="D297" s="238">
        <v>1.6</v>
      </c>
      <c r="E297" s="89"/>
      <c r="F297" s="101"/>
      <c r="G297" s="102">
        <f t="shared" si="15"/>
        <v>0</v>
      </c>
    </row>
    <row r="298" spans="1:13" ht="15.75" customHeight="1" x14ac:dyDescent="0.2">
      <c r="A298" s="235" t="s">
        <v>302</v>
      </c>
      <c r="B298" s="179" t="s">
        <v>398</v>
      </c>
      <c r="C298" s="187"/>
      <c r="D298" s="133"/>
      <c r="E298" s="134"/>
      <c r="F298" s="101"/>
      <c r="G298" s="102">
        <f t="shared" si="15"/>
        <v>0</v>
      </c>
    </row>
    <row r="299" spans="1:13" ht="60" x14ac:dyDescent="0.2">
      <c r="A299" s="236"/>
      <c r="B299" s="237" t="s">
        <v>399</v>
      </c>
      <c r="C299" s="187" t="s">
        <v>481</v>
      </c>
      <c r="D299" s="238">
        <v>0.38</v>
      </c>
      <c r="E299" s="89"/>
      <c r="F299" s="101"/>
      <c r="G299" s="102">
        <f t="shared" si="15"/>
        <v>0</v>
      </c>
      <c r="I299" s="28">
        <f>1.7*0.95*0.075*2</f>
        <v>0.24224999999999999</v>
      </c>
      <c r="J299" s="28">
        <f>0.2*0.2*1.7*2</f>
        <v>0.13600000000000001</v>
      </c>
      <c r="K299" s="28">
        <f>SUM(I299:J299)</f>
        <v>0.37824999999999998</v>
      </c>
    </row>
    <row r="300" spans="1:13" x14ac:dyDescent="0.2">
      <c r="A300" s="178" t="s">
        <v>153</v>
      </c>
      <c r="B300" s="179" t="s">
        <v>252</v>
      </c>
      <c r="C300" s="187"/>
      <c r="D300" s="133"/>
      <c r="E300" s="134"/>
      <c r="F300" s="101"/>
      <c r="G300" s="102">
        <f t="shared" si="15"/>
        <v>0</v>
      </c>
    </row>
    <row r="301" spans="1:13" ht="37.5" customHeight="1" x14ac:dyDescent="0.2">
      <c r="A301" s="236" t="s">
        <v>63</v>
      </c>
      <c r="B301" s="186" t="s">
        <v>484</v>
      </c>
      <c r="C301" s="187" t="s">
        <v>485</v>
      </c>
      <c r="D301" s="133">
        <f>D93+D141+D142+D143+D367</f>
        <v>660.86000000000013</v>
      </c>
      <c r="E301" s="134"/>
      <c r="F301" s="101"/>
      <c r="G301" s="102">
        <f t="shared" si="15"/>
        <v>0</v>
      </c>
      <c r="J301" s="39"/>
    </row>
    <row r="302" spans="1:13" ht="36" x14ac:dyDescent="0.2">
      <c r="A302" s="236" t="s">
        <v>64</v>
      </c>
      <c r="B302" s="186" t="s">
        <v>486</v>
      </c>
      <c r="C302" s="187" t="s">
        <v>15</v>
      </c>
      <c r="D302" s="133">
        <v>1</v>
      </c>
      <c r="E302" s="134"/>
      <c r="F302" s="101"/>
      <c r="G302" s="102">
        <f t="shared" si="15"/>
        <v>0</v>
      </c>
    </row>
    <row r="303" spans="1:13" ht="36" x14ac:dyDescent="0.2">
      <c r="A303" s="236" t="s">
        <v>68</v>
      </c>
      <c r="B303" s="186" t="s">
        <v>487</v>
      </c>
      <c r="C303" s="187" t="s">
        <v>15</v>
      </c>
      <c r="D303" s="133">
        <v>1</v>
      </c>
      <c r="E303" s="134"/>
      <c r="F303" s="101"/>
      <c r="G303" s="102">
        <f t="shared" si="15"/>
        <v>0</v>
      </c>
      <c r="I303" s="39"/>
      <c r="J303" s="42"/>
      <c r="K303" s="42"/>
      <c r="L303" s="39"/>
      <c r="M303" s="42"/>
    </row>
    <row r="304" spans="1:13" x14ac:dyDescent="0.2">
      <c r="A304" s="185"/>
      <c r="B304" s="239"/>
      <c r="C304" s="180"/>
      <c r="D304" s="181"/>
      <c r="E304" s="134"/>
      <c r="F304" s="101"/>
      <c r="G304" s="102"/>
      <c r="I304" s="42"/>
      <c r="J304" s="42"/>
      <c r="K304" s="42"/>
      <c r="L304" s="42"/>
      <c r="M304" s="42"/>
    </row>
    <row r="305" spans="1:13" x14ac:dyDescent="0.2">
      <c r="A305" s="185"/>
      <c r="B305" s="239"/>
      <c r="C305" s="180"/>
      <c r="D305" s="181"/>
      <c r="E305" s="134"/>
      <c r="F305" s="101"/>
      <c r="G305" s="102"/>
      <c r="I305" s="42"/>
      <c r="J305" s="42"/>
      <c r="K305" s="42"/>
      <c r="L305" s="42"/>
      <c r="M305" s="42"/>
    </row>
    <row r="306" spans="1:13" x14ac:dyDescent="0.2">
      <c r="A306" s="185"/>
      <c r="B306" s="239"/>
      <c r="C306" s="180"/>
      <c r="D306" s="181"/>
      <c r="E306" s="134"/>
      <c r="F306" s="101"/>
      <c r="G306" s="102"/>
      <c r="I306" s="42"/>
      <c r="J306" s="42"/>
      <c r="K306" s="42"/>
      <c r="L306" s="42"/>
      <c r="M306" s="42"/>
    </row>
    <row r="307" spans="1:13" x14ac:dyDescent="0.2">
      <c r="A307" s="185"/>
      <c r="B307" s="239"/>
      <c r="C307" s="180"/>
      <c r="D307" s="181"/>
      <c r="E307" s="134"/>
      <c r="F307" s="101"/>
      <c r="G307" s="102"/>
      <c r="I307" s="42"/>
      <c r="J307" s="42"/>
      <c r="K307" s="42"/>
      <c r="L307" s="42"/>
      <c r="M307" s="42"/>
    </row>
    <row r="308" spans="1:13" x14ac:dyDescent="0.2">
      <c r="A308" s="185"/>
      <c r="B308" s="239"/>
      <c r="C308" s="180"/>
      <c r="D308" s="181"/>
      <c r="E308" s="134"/>
      <c r="F308" s="101"/>
      <c r="G308" s="102"/>
      <c r="I308" s="42"/>
      <c r="J308" s="42"/>
      <c r="K308" s="42"/>
      <c r="L308" s="42"/>
      <c r="M308" s="42"/>
    </row>
    <row r="309" spans="1:13" x14ac:dyDescent="0.2">
      <c r="A309" s="185"/>
      <c r="B309" s="239"/>
      <c r="C309" s="180"/>
      <c r="D309" s="181"/>
      <c r="E309" s="134"/>
      <c r="F309" s="101"/>
      <c r="G309" s="102"/>
      <c r="I309" s="42"/>
      <c r="J309" s="42"/>
      <c r="K309" s="42"/>
      <c r="L309" s="42"/>
      <c r="M309" s="42"/>
    </row>
    <row r="310" spans="1:13" x14ac:dyDescent="0.2">
      <c r="A310" s="185"/>
      <c r="B310" s="239"/>
      <c r="C310" s="180"/>
      <c r="D310" s="181"/>
      <c r="E310" s="134"/>
      <c r="F310" s="101"/>
      <c r="G310" s="102"/>
      <c r="I310" s="42"/>
      <c r="J310" s="42"/>
      <c r="K310" s="42"/>
      <c r="L310" s="42"/>
      <c r="M310" s="42"/>
    </row>
    <row r="311" spans="1:13" x14ac:dyDescent="0.2">
      <c r="A311" s="185"/>
      <c r="B311" s="239"/>
      <c r="C311" s="180"/>
      <c r="D311" s="181"/>
      <c r="E311" s="134"/>
      <c r="F311" s="101"/>
      <c r="G311" s="102"/>
      <c r="I311" s="42"/>
      <c r="J311" s="42"/>
      <c r="K311" s="42"/>
      <c r="L311" s="42"/>
      <c r="M311" s="42"/>
    </row>
    <row r="312" spans="1:13" x14ac:dyDescent="0.2">
      <c r="A312" s="185"/>
      <c r="B312" s="239"/>
      <c r="C312" s="180"/>
      <c r="D312" s="181"/>
      <c r="E312" s="134"/>
      <c r="F312" s="101"/>
      <c r="G312" s="102"/>
      <c r="I312" s="42"/>
      <c r="J312" s="42"/>
      <c r="K312" s="42"/>
      <c r="L312" s="42"/>
      <c r="M312" s="42"/>
    </row>
    <row r="313" spans="1:13" x14ac:dyDescent="0.2">
      <c r="A313" s="185"/>
      <c r="B313" s="239"/>
      <c r="C313" s="180"/>
      <c r="D313" s="181"/>
      <c r="E313" s="134"/>
      <c r="F313" s="101"/>
      <c r="G313" s="102"/>
      <c r="I313" s="42"/>
      <c r="J313" s="42"/>
      <c r="K313" s="42"/>
      <c r="L313" s="42"/>
      <c r="M313" s="42"/>
    </row>
    <row r="314" spans="1:13" x14ac:dyDescent="0.2">
      <c r="A314" s="185"/>
      <c r="B314" s="239"/>
      <c r="C314" s="180"/>
      <c r="D314" s="181"/>
      <c r="E314" s="134"/>
      <c r="F314" s="101"/>
      <c r="G314" s="102"/>
      <c r="I314" s="42"/>
      <c r="J314" s="42"/>
      <c r="K314" s="42"/>
      <c r="L314" s="42"/>
      <c r="M314" s="42"/>
    </row>
    <row r="315" spans="1:13" x14ac:dyDescent="0.2">
      <c r="A315" s="185"/>
      <c r="B315" s="239"/>
      <c r="C315" s="180"/>
      <c r="D315" s="181"/>
      <c r="E315" s="134"/>
      <c r="F315" s="101"/>
      <c r="G315" s="102"/>
      <c r="I315" s="42"/>
      <c r="J315" s="42"/>
      <c r="K315" s="42"/>
      <c r="L315" s="42"/>
      <c r="M315" s="42"/>
    </row>
    <row r="316" spans="1:13" x14ac:dyDescent="0.2">
      <c r="A316" s="185"/>
      <c r="B316" s="239"/>
      <c r="C316" s="180"/>
      <c r="D316" s="181"/>
      <c r="E316" s="134"/>
      <c r="F316" s="101"/>
      <c r="G316" s="102"/>
      <c r="I316" s="42"/>
      <c r="J316" s="42"/>
      <c r="K316" s="42"/>
      <c r="L316" s="42"/>
      <c r="M316" s="42"/>
    </row>
    <row r="317" spans="1:13" x14ac:dyDescent="0.2">
      <c r="A317" s="185"/>
      <c r="B317" s="239"/>
      <c r="C317" s="180"/>
      <c r="D317" s="181"/>
      <c r="E317" s="134"/>
      <c r="F317" s="101"/>
      <c r="G317" s="102"/>
      <c r="I317" s="42"/>
      <c r="J317" s="42"/>
      <c r="K317" s="42"/>
      <c r="L317" s="42"/>
      <c r="M317" s="42"/>
    </row>
    <row r="318" spans="1:13" ht="12.75" thickBot="1" x14ac:dyDescent="0.25">
      <c r="A318" s="185"/>
      <c r="B318" s="239"/>
      <c r="C318" s="180"/>
      <c r="D318" s="181"/>
      <c r="E318" s="134"/>
      <c r="F318" s="101"/>
      <c r="G318" s="102"/>
      <c r="I318" s="42"/>
      <c r="J318" s="42"/>
      <c r="K318" s="42"/>
      <c r="L318" s="42"/>
      <c r="M318" s="42"/>
    </row>
    <row r="319" spans="1:13" x14ac:dyDescent="0.2">
      <c r="A319" s="78"/>
      <c r="B319" s="111" t="s">
        <v>148</v>
      </c>
      <c r="C319" s="154"/>
      <c r="D319" s="113"/>
      <c r="E319" s="82"/>
      <c r="F319" s="240"/>
      <c r="G319" s="231"/>
    </row>
    <row r="320" spans="1:13" ht="12.75" thickBot="1" x14ac:dyDescent="0.25">
      <c r="A320" s="115"/>
      <c r="B320" s="116" t="s">
        <v>173</v>
      </c>
      <c r="C320" s="155"/>
      <c r="D320" s="118"/>
      <c r="E320" s="119"/>
      <c r="F320" s="192"/>
      <c r="G320" s="241">
        <f>SUM(G92:G303)</f>
        <v>0</v>
      </c>
    </row>
    <row r="321" spans="1:13" x14ac:dyDescent="0.2">
      <c r="A321" s="85"/>
      <c r="B321" s="122"/>
      <c r="C321" s="98"/>
      <c r="D321" s="99"/>
      <c r="E321" s="89"/>
      <c r="F321" s="101"/>
      <c r="G321" s="184"/>
    </row>
    <row r="322" spans="1:13" x14ac:dyDescent="0.2">
      <c r="A322" s="85"/>
      <c r="B322" s="242" t="s">
        <v>102</v>
      </c>
      <c r="C322" s="98"/>
      <c r="D322" s="99"/>
      <c r="E322" s="89"/>
      <c r="F322" s="101"/>
      <c r="G322" s="102"/>
    </row>
    <row r="323" spans="1:13" x14ac:dyDescent="0.2">
      <c r="A323" s="85"/>
      <c r="B323" s="86" t="s">
        <v>103</v>
      </c>
      <c r="C323" s="98"/>
      <c r="D323" s="99"/>
      <c r="E323" s="89"/>
      <c r="F323" s="101"/>
      <c r="G323" s="102"/>
    </row>
    <row r="324" spans="1:13" x14ac:dyDescent="0.2">
      <c r="A324" s="243">
        <v>4.0999999999999996</v>
      </c>
      <c r="B324" s="97" t="s">
        <v>41</v>
      </c>
      <c r="C324" s="98"/>
      <c r="D324" s="99"/>
      <c r="E324" s="89"/>
      <c r="F324" s="101"/>
      <c r="G324" s="102"/>
    </row>
    <row r="325" spans="1:13" ht="60" x14ac:dyDescent="0.2">
      <c r="A325" s="85"/>
      <c r="B325" s="105" t="s">
        <v>203</v>
      </c>
      <c r="C325" s="105"/>
      <c r="D325" s="105"/>
      <c r="E325" s="105"/>
      <c r="F325" s="105"/>
      <c r="G325" s="197"/>
    </row>
    <row r="326" spans="1:13" ht="72" x14ac:dyDescent="0.2">
      <c r="A326" s="85"/>
      <c r="B326" s="105" t="s">
        <v>202</v>
      </c>
      <c r="C326" s="244"/>
      <c r="D326" s="244"/>
      <c r="E326" s="244"/>
      <c r="F326" s="244"/>
      <c r="G326" s="245"/>
    </row>
    <row r="327" spans="1:13" ht="36" x14ac:dyDescent="0.2">
      <c r="A327" s="85"/>
      <c r="B327" s="105" t="s">
        <v>261</v>
      </c>
      <c r="C327" s="244"/>
      <c r="D327" s="244"/>
      <c r="E327" s="244"/>
      <c r="F327" s="244"/>
      <c r="G327" s="245"/>
    </row>
    <row r="328" spans="1:13" x14ac:dyDescent="0.2">
      <c r="A328" s="178" t="s">
        <v>135</v>
      </c>
      <c r="B328" s="246" t="s">
        <v>138</v>
      </c>
      <c r="C328" s="187"/>
      <c r="D328" s="133"/>
      <c r="E328" s="134"/>
      <c r="F328" s="101"/>
      <c r="G328" s="102"/>
    </row>
    <row r="329" spans="1:13" x14ac:dyDescent="0.2">
      <c r="A329" s="171" t="s">
        <v>149</v>
      </c>
      <c r="B329" s="247" t="s">
        <v>137</v>
      </c>
      <c r="C329" s="173"/>
      <c r="D329" s="174"/>
      <c r="E329" s="175"/>
      <c r="F329" s="176"/>
      <c r="G329" s="177"/>
      <c r="I329" s="39"/>
    </row>
    <row r="330" spans="1:13" x14ac:dyDescent="0.2">
      <c r="A330" s="178"/>
      <c r="B330" s="248" t="s">
        <v>197</v>
      </c>
      <c r="C330" s="180"/>
      <c r="D330" s="181"/>
      <c r="E330" s="182"/>
      <c r="F330" s="183"/>
      <c r="G330" s="102"/>
    </row>
    <row r="331" spans="1:13" ht="24" x14ac:dyDescent="0.2">
      <c r="A331" s="185"/>
      <c r="B331" s="186" t="s">
        <v>524</v>
      </c>
      <c r="C331" s="187" t="s">
        <v>485</v>
      </c>
      <c r="D331" s="133">
        <v>97.9</v>
      </c>
      <c r="E331" s="134"/>
      <c r="F331" s="101"/>
      <c r="G331" s="102">
        <f>(D331*E331)+(D331*F331)</f>
        <v>0</v>
      </c>
      <c r="I331" s="42">
        <f>3*12*3+3*2+6.2*5</f>
        <v>145</v>
      </c>
      <c r="J331" s="42">
        <f>I331*0.675</f>
        <v>97.875</v>
      </c>
    </row>
    <row r="332" spans="1:13" x14ac:dyDescent="0.2">
      <c r="A332" s="171" t="s">
        <v>150</v>
      </c>
      <c r="B332" s="247" t="s">
        <v>65</v>
      </c>
      <c r="C332" s="173"/>
      <c r="D332" s="174"/>
      <c r="E332" s="175"/>
      <c r="F332" s="176"/>
      <c r="G332" s="177"/>
    </row>
    <row r="333" spans="1:13" x14ac:dyDescent="0.2">
      <c r="A333" s="178" t="s">
        <v>164</v>
      </c>
      <c r="B333" s="248" t="s">
        <v>316</v>
      </c>
      <c r="C333" s="180"/>
      <c r="D333" s="181"/>
      <c r="E333" s="182"/>
      <c r="F333" s="183"/>
      <c r="G333" s="102">
        <f t="shared" ref="G333:G338" si="16">(D333*E333)+(D333*F333)</f>
        <v>0</v>
      </c>
    </row>
    <row r="334" spans="1:13" ht="24" customHeight="1" x14ac:dyDescent="0.2">
      <c r="A334" s="236" t="s">
        <v>185</v>
      </c>
      <c r="B334" s="186" t="s">
        <v>525</v>
      </c>
      <c r="C334" s="187" t="s">
        <v>485</v>
      </c>
      <c r="D334" s="133">
        <v>177.3</v>
      </c>
      <c r="E334" s="134"/>
      <c r="F334" s="101"/>
      <c r="G334" s="102">
        <f t="shared" si="16"/>
        <v>0</v>
      </c>
      <c r="I334" s="28">
        <f>3*21+4.02*2+4.08*2+1.65*2+1.5</f>
        <v>83.999999999999986</v>
      </c>
      <c r="J334" s="28">
        <f>I334*3.275</f>
        <v>275.09999999999997</v>
      </c>
      <c r="K334" s="42">
        <v>103</v>
      </c>
      <c r="L334" s="28">
        <f>J334-K334</f>
        <v>172.09999999999997</v>
      </c>
      <c r="M334" s="28">
        <f>L334*103%</f>
        <v>177.26299999999998</v>
      </c>
    </row>
    <row r="335" spans="1:13" ht="24" x14ac:dyDescent="0.2">
      <c r="A335" s="236" t="s">
        <v>186</v>
      </c>
      <c r="B335" s="186" t="s">
        <v>317</v>
      </c>
      <c r="C335" s="187" t="s">
        <v>485</v>
      </c>
      <c r="D335" s="133">
        <v>8.5500000000000007</v>
      </c>
      <c r="E335" s="134"/>
      <c r="F335" s="101"/>
      <c r="G335" s="102">
        <f t="shared" si="16"/>
        <v>0</v>
      </c>
      <c r="I335" s="28">
        <f>0.45*1.725*11</f>
        <v>8.5387500000000003</v>
      </c>
    </row>
    <row r="336" spans="1:13" x14ac:dyDescent="0.2">
      <c r="A336" s="178" t="s">
        <v>165</v>
      </c>
      <c r="B336" s="248" t="s">
        <v>315</v>
      </c>
      <c r="C336" s="180"/>
      <c r="D336" s="181"/>
      <c r="E336" s="182"/>
      <c r="F336" s="183"/>
      <c r="G336" s="102">
        <f t="shared" si="16"/>
        <v>0</v>
      </c>
    </row>
    <row r="337" spans="1:13" ht="24" x14ac:dyDescent="0.2">
      <c r="A337" s="236" t="s">
        <v>185</v>
      </c>
      <c r="B337" s="186" t="s">
        <v>525</v>
      </c>
      <c r="C337" s="187" t="s">
        <v>485</v>
      </c>
      <c r="D337" s="133">
        <v>148.30000000000001</v>
      </c>
      <c r="E337" s="134"/>
      <c r="F337" s="101"/>
      <c r="G337" s="102">
        <f t="shared" si="16"/>
        <v>0</v>
      </c>
      <c r="I337" s="28">
        <f>4.08*6+4.02*6</f>
        <v>48.599999999999994</v>
      </c>
      <c r="J337" s="28">
        <f>I337*3.05</f>
        <v>148.22999999999996</v>
      </c>
    </row>
    <row r="338" spans="1:13" ht="24" x14ac:dyDescent="0.2">
      <c r="A338" s="236" t="s">
        <v>186</v>
      </c>
      <c r="B338" s="186" t="s">
        <v>526</v>
      </c>
      <c r="C338" s="187" t="s">
        <v>485</v>
      </c>
      <c r="D338" s="133">
        <v>49.54</v>
      </c>
      <c r="E338" s="134"/>
      <c r="F338" s="101"/>
      <c r="G338" s="102">
        <f t="shared" si="16"/>
        <v>0</v>
      </c>
      <c r="I338" s="28">
        <f>3.45+2.75+1.55*5+2.7</f>
        <v>16.649999999999999</v>
      </c>
      <c r="J338" s="28">
        <f>I338*3.35</f>
        <v>55.777499999999996</v>
      </c>
      <c r="K338" s="28">
        <f>0.78*2*4</f>
        <v>6.24</v>
      </c>
      <c r="L338" s="28">
        <f>J338-K338</f>
        <v>49.537499999999994</v>
      </c>
    </row>
    <row r="339" spans="1:13" x14ac:dyDescent="0.2">
      <c r="A339" s="185"/>
      <c r="B339" s="249"/>
      <c r="C339" s="187"/>
      <c r="D339" s="133"/>
      <c r="E339" s="134"/>
      <c r="F339" s="101"/>
      <c r="G339" s="102"/>
    </row>
    <row r="340" spans="1:13" x14ac:dyDescent="0.2">
      <c r="A340" s="171" t="s">
        <v>56</v>
      </c>
      <c r="B340" s="247" t="s">
        <v>67</v>
      </c>
      <c r="C340" s="173"/>
      <c r="D340" s="174"/>
      <c r="E340" s="175"/>
      <c r="F340" s="176"/>
      <c r="G340" s="177"/>
    </row>
    <row r="341" spans="1:13" x14ac:dyDescent="0.2">
      <c r="A341" s="178" t="s">
        <v>164</v>
      </c>
      <c r="B341" s="248" t="s">
        <v>316</v>
      </c>
      <c r="C341" s="180"/>
      <c r="D341" s="181"/>
      <c r="E341" s="182"/>
      <c r="F341" s="183"/>
      <c r="G341" s="102">
        <f t="shared" ref="G341:G346" si="17">(D341*E341)+(D341*F341)</f>
        <v>0</v>
      </c>
    </row>
    <row r="342" spans="1:13" ht="24" x14ac:dyDescent="0.2">
      <c r="A342" s="236" t="s">
        <v>185</v>
      </c>
      <c r="B342" s="186" t="s">
        <v>525</v>
      </c>
      <c r="C342" s="187" t="s">
        <v>485</v>
      </c>
      <c r="D342" s="133">
        <v>155.30000000000001</v>
      </c>
      <c r="E342" s="134"/>
      <c r="F342" s="101"/>
      <c r="G342" s="102">
        <f t="shared" si="17"/>
        <v>0</v>
      </c>
      <c r="I342" s="28">
        <f>3*21+4.02*2+4.08*2+1.65*2</f>
        <v>82.499999999999986</v>
      </c>
      <c r="J342" s="28">
        <f>I342*3.1</f>
        <v>255.74999999999997</v>
      </c>
      <c r="K342" s="42">
        <v>105</v>
      </c>
      <c r="L342" s="28">
        <f>J342-K342</f>
        <v>150.74999999999997</v>
      </c>
      <c r="M342" s="28">
        <f>L342*103%</f>
        <v>155.27249999999998</v>
      </c>
    </row>
    <row r="343" spans="1:13" ht="24" x14ac:dyDescent="0.2">
      <c r="A343" s="236" t="s">
        <v>186</v>
      </c>
      <c r="B343" s="186" t="s">
        <v>317</v>
      </c>
      <c r="C343" s="187" t="s">
        <v>485</v>
      </c>
      <c r="D343" s="133">
        <v>10.1</v>
      </c>
      <c r="E343" s="134"/>
      <c r="F343" s="101"/>
      <c r="G343" s="102">
        <f t="shared" si="17"/>
        <v>0</v>
      </c>
      <c r="I343" s="28">
        <f>0.45*1.725*13</f>
        <v>10.091250000000002</v>
      </c>
    </row>
    <row r="344" spans="1:13" x14ac:dyDescent="0.2">
      <c r="A344" s="178" t="s">
        <v>165</v>
      </c>
      <c r="B344" s="248" t="s">
        <v>315</v>
      </c>
      <c r="C344" s="180"/>
      <c r="D344" s="181"/>
      <c r="E344" s="182"/>
      <c r="F344" s="183"/>
      <c r="G344" s="102">
        <f t="shared" si="17"/>
        <v>0</v>
      </c>
    </row>
    <row r="345" spans="1:13" ht="24" x14ac:dyDescent="0.2">
      <c r="A345" s="236" t="s">
        <v>185</v>
      </c>
      <c r="B345" s="186" t="s">
        <v>525</v>
      </c>
      <c r="C345" s="187" t="s">
        <v>485</v>
      </c>
      <c r="D345" s="133">
        <v>160</v>
      </c>
      <c r="E345" s="134"/>
      <c r="F345" s="101"/>
      <c r="G345" s="102">
        <f t="shared" si="17"/>
        <v>0</v>
      </c>
      <c r="I345" s="28">
        <f>4.08*6+4.02*6+3</f>
        <v>51.599999999999994</v>
      </c>
      <c r="J345" s="28">
        <f>I345*3.1</f>
        <v>159.95999999999998</v>
      </c>
    </row>
    <row r="346" spans="1:13" ht="24" x14ac:dyDescent="0.2">
      <c r="A346" s="236" t="s">
        <v>186</v>
      </c>
      <c r="B346" s="186" t="s">
        <v>526</v>
      </c>
      <c r="C346" s="187" t="s">
        <v>485</v>
      </c>
      <c r="D346" s="133">
        <v>42.6</v>
      </c>
      <c r="E346" s="134"/>
      <c r="F346" s="101"/>
      <c r="G346" s="102">
        <f t="shared" si="17"/>
        <v>0</v>
      </c>
      <c r="I346" s="28">
        <f>3.45+2.75+1.55*5</f>
        <v>13.95</v>
      </c>
      <c r="J346" s="28">
        <f>I346*3.5</f>
        <v>48.824999999999996</v>
      </c>
      <c r="K346" s="28">
        <f>0.78*2*4</f>
        <v>6.24</v>
      </c>
      <c r="L346" s="28">
        <f>J346-K346</f>
        <v>42.584999999999994</v>
      </c>
    </row>
    <row r="347" spans="1:13" x14ac:dyDescent="0.2">
      <c r="A347" s="185"/>
      <c r="B347" s="249"/>
      <c r="C347" s="187"/>
      <c r="D347" s="133"/>
      <c r="E347" s="134"/>
      <c r="F347" s="101"/>
      <c r="G347" s="102"/>
      <c r="K347" s="39"/>
      <c r="L347" s="39"/>
    </row>
    <row r="348" spans="1:13" x14ac:dyDescent="0.2">
      <c r="A348" s="171" t="s">
        <v>152</v>
      </c>
      <c r="B348" s="247" t="s">
        <v>318</v>
      </c>
      <c r="C348" s="173"/>
      <c r="D348" s="174"/>
      <c r="E348" s="175"/>
      <c r="F348" s="176"/>
      <c r="G348" s="177"/>
      <c r="K348" s="39"/>
    </row>
    <row r="349" spans="1:13" x14ac:dyDescent="0.2">
      <c r="A349" s="178" t="s">
        <v>164</v>
      </c>
      <c r="B349" s="248" t="s">
        <v>319</v>
      </c>
      <c r="C349" s="180"/>
      <c r="D349" s="181"/>
      <c r="E349" s="182"/>
      <c r="F349" s="183"/>
      <c r="G349" s="102">
        <f>(D349*E349)+(D349*F349)</f>
        <v>0</v>
      </c>
      <c r="K349" s="39"/>
    </row>
    <row r="350" spans="1:13" ht="13.5" x14ac:dyDescent="0.2">
      <c r="A350" s="185"/>
      <c r="B350" s="186" t="s">
        <v>314</v>
      </c>
      <c r="C350" s="187" t="s">
        <v>485</v>
      </c>
      <c r="D350" s="133">
        <v>24.6</v>
      </c>
      <c r="E350" s="134"/>
      <c r="F350" s="101"/>
      <c r="G350" s="102">
        <f>(D350*E350)+(D350*F350)</f>
        <v>0</v>
      </c>
      <c r="I350" s="28">
        <f>(5.487+1.95)*2</f>
        <v>14.874000000000001</v>
      </c>
      <c r="K350" s="39"/>
      <c r="L350" s="39"/>
    </row>
    <row r="351" spans="1:13" x14ac:dyDescent="0.2">
      <c r="A351" s="185"/>
      <c r="B351" s="249"/>
      <c r="C351" s="187"/>
      <c r="D351" s="133"/>
      <c r="E351" s="134"/>
      <c r="F351" s="101"/>
      <c r="G351" s="102"/>
      <c r="K351" s="39"/>
    </row>
    <row r="352" spans="1:13" x14ac:dyDescent="0.2">
      <c r="A352" s="185"/>
      <c r="B352" s="249"/>
      <c r="C352" s="187"/>
      <c r="D352" s="133"/>
      <c r="E352" s="134"/>
      <c r="F352" s="101"/>
      <c r="G352" s="102"/>
      <c r="K352" s="39"/>
    </row>
    <row r="353" spans="1:11" x14ac:dyDescent="0.2">
      <c r="A353" s="185"/>
      <c r="B353" s="249"/>
      <c r="C353" s="187"/>
      <c r="D353" s="133"/>
      <c r="E353" s="134"/>
      <c r="F353" s="101"/>
      <c r="G353" s="102"/>
      <c r="K353" s="39"/>
    </row>
    <row r="354" spans="1:11" x14ac:dyDescent="0.2">
      <c r="A354" s="185"/>
      <c r="B354" s="249"/>
      <c r="C354" s="187"/>
      <c r="D354" s="133"/>
      <c r="E354" s="134"/>
      <c r="F354" s="101"/>
      <c r="G354" s="102"/>
      <c r="K354" s="39"/>
    </row>
    <row r="355" spans="1:11" x14ac:dyDescent="0.2">
      <c r="A355" s="185"/>
      <c r="B355" s="249"/>
      <c r="C355" s="187"/>
      <c r="D355" s="133"/>
      <c r="E355" s="134"/>
      <c r="F355" s="101"/>
      <c r="G355" s="102"/>
      <c r="K355" s="39"/>
    </row>
    <row r="356" spans="1:11" x14ac:dyDescent="0.2">
      <c r="A356" s="185"/>
      <c r="B356" s="249"/>
      <c r="C356" s="187"/>
      <c r="D356" s="133"/>
      <c r="E356" s="134"/>
      <c r="F356" s="101"/>
      <c r="G356" s="102"/>
      <c r="K356" s="39"/>
    </row>
    <row r="357" spans="1:11" x14ac:dyDescent="0.2">
      <c r="A357" s="185"/>
      <c r="B357" s="249"/>
      <c r="C357" s="187"/>
      <c r="D357" s="133"/>
      <c r="E357" s="134"/>
      <c r="F357" s="101"/>
      <c r="G357" s="102"/>
      <c r="K357" s="39"/>
    </row>
    <row r="358" spans="1:11" x14ac:dyDescent="0.2">
      <c r="A358" s="185"/>
      <c r="B358" s="249"/>
      <c r="C358" s="187"/>
      <c r="D358" s="133"/>
      <c r="E358" s="134"/>
      <c r="F358" s="101"/>
      <c r="G358" s="102"/>
      <c r="K358" s="39"/>
    </row>
    <row r="359" spans="1:11" ht="12.75" thickBot="1" x14ac:dyDescent="0.25">
      <c r="A359" s="188"/>
      <c r="B359" s="250"/>
      <c r="C359" s="190"/>
      <c r="D359" s="191"/>
      <c r="E359" s="232"/>
      <c r="F359" s="192"/>
      <c r="G359" s="193"/>
      <c r="K359" s="39"/>
    </row>
    <row r="360" spans="1:11" ht="13.5" customHeight="1" x14ac:dyDescent="0.2">
      <c r="A360" s="185"/>
      <c r="B360" s="249"/>
      <c r="C360" s="187"/>
      <c r="D360" s="133"/>
      <c r="E360" s="134"/>
      <c r="F360" s="101"/>
      <c r="G360" s="102"/>
      <c r="K360" s="39"/>
    </row>
    <row r="361" spans="1:11" ht="12" customHeight="1" x14ac:dyDescent="0.2">
      <c r="A361" s="158">
        <v>4.3</v>
      </c>
      <c r="B361" s="251" t="s">
        <v>104</v>
      </c>
      <c r="C361" s="170"/>
      <c r="D361" s="161"/>
      <c r="E361" s="162"/>
      <c r="F361" s="161"/>
      <c r="G361" s="252"/>
      <c r="K361" s="39"/>
    </row>
    <row r="362" spans="1:11" ht="105.75" customHeight="1" x14ac:dyDescent="0.2">
      <c r="A362" s="85"/>
      <c r="B362" s="105" t="s">
        <v>488</v>
      </c>
      <c r="C362" s="105"/>
      <c r="D362" s="105"/>
      <c r="E362" s="105"/>
      <c r="F362" s="105"/>
      <c r="G362" s="245"/>
    </row>
    <row r="363" spans="1:11" ht="24.75" customHeight="1" x14ac:dyDescent="0.2">
      <c r="A363" s="85"/>
      <c r="B363" s="105" t="s">
        <v>157</v>
      </c>
      <c r="C363" s="105"/>
      <c r="D363" s="105"/>
      <c r="E363" s="105"/>
      <c r="F363" s="244"/>
      <c r="G363" s="245"/>
    </row>
    <row r="364" spans="1:11" ht="52.5" customHeight="1" x14ac:dyDescent="0.2">
      <c r="A364" s="85"/>
      <c r="B364" s="105" t="s">
        <v>260</v>
      </c>
      <c r="C364" s="105"/>
      <c r="D364" s="105"/>
      <c r="E364" s="105"/>
      <c r="F364" s="244"/>
      <c r="G364" s="245"/>
    </row>
    <row r="365" spans="1:11" x14ac:dyDescent="0.2">
      <c r="A365" s="171" t="s">
        <v>149</v>
      </c>
      <c r="B365" s="247" t="s">
        <v>137</v>
      </c>
      <c r="C365" s="173"/>
      <c r="D365" s="174"/>
      <c r="E365" s="175"/>
      <c r="F365" s="176"/>
      <c r="G365" s="177"/>
    </row>
    <row r="366" spans="1:11" ht="12" customHeight="1" x14ac:dyDescent="0.2">
      <c r="A366" s="185" t="s">
        <v>164</v>
      </c>
      <c r="B366" s="246" t="s">
        <v>243</v>
      </c>
      <c r="C366" s="180"/>
      <c r="D366" s="181"/>
      <c r="E366" s="182"/>
      <c r="F366" s="183"/>
      <c r="G366" s="102"/>
    </row>
    <row r="367" spans="1:11" ht="12.75" customHeight="1" x14ac:dyDescent="0.2">
      <c r="A367" s="185"/>
      <c r="B367" s="249" t="s">
        <v>242</v>
      </c>
      <c r="C367" s="187" t="s">
        <v>485</v>
      </c>
      <c r="D367" s="133">
        <f>D331*2</f>
        <v>195.8</v>
      </c>
      <c r="E367" s="134"/>
      <c r="F367" s="101"/>
      <c r="G367" s="102">
        <f>(D367*E367)+(D367*F367)</f>
        <v>0</v>
      </c>
    </row>
    <row r="368" spans="1:11" ht="12.75" customHeight="1" x14ac:dyDescent="0.2">
      <c r="A368" s="171" t="s">
        <v>150</v>
      </c>
      <c r="B368" s="247" t="s">
        <v>65</v>
      </c>
      <c r="C368" s="173"/>
      <c r="D368" s="174"/>
      <c r="E368" s="175"/>
      <c r="F368" s="176"/>
      <c r="G368" s="177"/>
    </row>
    <row r="369" spans="1:17" ht="12.75" customHeight="1" x14ac:dyDescent="0.2">
      <c r="A369" s="178" t="s">
        <v>164</v>
      </c>
      <c r="B369" s="248" t="s">
        <v>239</v>
      </c>
      <c r="C369" s="180"/>
      <c r="D369" s="181"/>
      <c r="E369" s="182"/>
      <c r="F369" s="253"/>
      <c r="G369" s="102">
        <f>(D369*E369)+(D369*F369)</f>
        <v>0</v>
      </c>
      <c r="H369" s="45"/>
      <c r="I369" s="28">
        <f>38.6*2+8.7*2</f>
        <v>94.6</v>
      </c>
      <c r="J369" s="28">
        <f>I369*3.875</f>
        <v>366.57499999999999</v>
      </c>
      <c r="K369" s="42">
        <v>103</v>
      </c>
      <c r="L369" s="42">
        <f>J369-K369</f>
        <v>263.57499999999999</v>
      </c>
      <c r="M369" s="42">
        <f>L369*103%</f>
        <v>271.48225000000002</v>
      </c>
      <c r="N369" s="28">
        <f>1.5*3.875</f>
        <v>5.8125</v>
      </c>
      <c r="O369" s="42">
        <f>M369-N369</f>
        <v>265.66975000000002</v>
      </c>
      <c r="P369" s="28">
        <f>38.6+4</f>
        <v>42.6</v>
      </c>
      <c r="Q369" s="28">
        <f>P369*0.65</f>
        <v>27.69</v>
      </c>
    </row>
    <row r="370" spans="1:17" ht="12.75" customHeight="1" x14ac:dyDescent="0.2">
      <c r="A370" s="185"/>
      <c r="B370" s="249" t="s">
        <v>139</v>
      </c>
      <c r="C370" s="187" t="s">
        <v>485</v>
      </c>
      <c r="D370" s="133">
        <v>325.10000000000002</v>
      </c>
      <c r="E370" s="134"/>
      <c r="F370" s="101"/>
      <c r="G370" s="102">
        <f>(D370*E370)+(D370*F370)</f>
        <v>0</v>
      </c>
      <c r="I370" s="28">
        <f>0.45*1.725*9</f>
        <v>6.986250000000001</v>
      </c>
      <c r="P370" s="28">
        <f>0.8*13*3.05</f>
        <v>31.72</v>
      </c>
      <c r="Q370" s="42">
        <f>Q369+O369+P370</f>
        <v>325.07974999999999</v>
      </c>
    </row>
    <row r="371" spans="1:17" ht="12.75" customHeight="1" x14ac:dyDescent="0.2">
      <c r="A371" s="185"/>
      <c r="B371" s="249"/>
      <c r="C371" s="187"/>
      <c r="D371" s="133"/>
      <c r="E371" s="134"/>
      <c r="F371" s="101"/>
      <c r="G371" s="102"/>
    </row>
    <row r="372" spans="1:17" ht="12.75" customHeight="1" x14ac:dyDescent="0.2">
      <c r="A372" s="235" t="s">
        <v>165</v>
      </c>
      <c r="B372" s="239" t="s">
        <v>240</v>
      </c>
      <c r="C372" s="180"/>
      <c r="D372" s="181"/>
      <c r="E372" s="182"/>
      <c r="F372" s="183"/>
      <c r="G372" s="102">
        <f>(D372*E372)+(D372*F372)</f>
        <v>0</v>
      </c>
      <c r="I372" s="28">
        <f>8.3*6</f>
        <v>49.800000000000004</v>
      </c>
      <c r="J372" s="28">
        <f>I372*3.35*2</f>
        <v>333.66</v>
      </c>
      <c r="L372" s="28">
        <f>6.225*10+3*3+8.5*2</f>
        <v>88.25</v>
      </c>
      <c r="M372" s="28">
        <f>L372*3.35</f>
        <v>295.63749999999999</v>
      </c>
      <c r="N372" s="42">
        <f>M372-K369</f>
        <v>192.63749999999999</v>
      </c>
    </row>
    <row r="373" spans="1:17" ht="25.5" customHeight="1" x14ac:dyDescent="0.2">
      <c r="A373" s="185"/>
      <c r="B373" s="186" t="s">
        <v>241</v>
      </c>
      <c r="C373" s="187" t="s">
        <v>485</v>
      </c>
      <c r="D373" s="133">
        <v>650.55999999999995</v>
      </c>
      <c r="E373" s="134"/>
      <c r="F373" s="101"/>
      <c r="G373" s="102">
        <f>(D373*E373)+(D373*F373)</f>
        <v>0</v>
      </c>
      <c r="I373" s="28">
        <f>3.45+2.75+1.55*5+2.7</f>
        <v>16.649999999999999</v>
      </c>
      <c r="J373" s="28">
        <f>I373*3.35*2</f>
        <v>111.55499999999999</v>
      </c>
      <c r="K373" s="28">
        <f>0.78*2*4</f>
        <v>6.24</v>
      </c>
      <c r="L373" s="28">
        <f>J373-K373</f>
        <v>105.315</v>
      </c>
      <c r="N373" s="42">
        <f>N372+L373+J372</f>
        <v>631.61249999999995</v>
      </c>
      <c r="O373" s="42">
        <f>N373*103%</f>
        <v>650.56087500000001</v>
      </c>
    </row>
    <row r="374" spans="1:17" ht="12.75" customHeight="1" x14ac:dyDescent="0.2">
      <c r="A374" s="235"/>
      <c r="B374" s="239"/>
      <c r="C374" s="180"/>
      <c r="D374" s="181"/>
      <c r="E374" s="182"/>
      <c r="F374" s="183"/>
      <c r="G374" s="102"/>
    </row>
    <row r="375" spans="1:17" ht="12.75" customHeight="1" x14ac:dyDescent="0.2">
      <c r="A375" s="171" t="s">
        <v>56</v>
      </c>
      <c r="B375" s="247" t="s">
        <v>67</v>
      </c>
      <c r="C375" s="173"/>
      <c r="D375" s="174"/>
      <c r="E375" s="175"/>
      <c r="F375" s="176"/>
      <c r="G375" s="177"/>
      <c r="I375" s="28">
        <f>38.6*2+8.7*2</f>
        <v>94.6</v>
      </c>
      <c r="J375" s="28">
        <f>I375*3.5</f>
        <v>331.09999999999997</v>
      </c>
      <c r="K375" s="42">
        <v>105</v>
      </c>
      <c r="L375" s="42">
        <f>J375-K375</f>
        <v>226.09999999999997</v>
      </c>
      <c r="M375" s="42">
        <f>L375*103%</f>
        <v>232.88299999999998</v>
      </c>
      <c r="N375" s="28">
        <f>3*3.05</f>
        <v>9.1499999999999986</v>
      </c>
      <c r="O375" s="42">
        <f>M375-N375</f>
        <v>223.73299999999998</v>
      </c>
      <c r="P375" s="28">
        <f>38.6+4</f>
        <v>42.6</v>
      </c>
      <c r="Q375" s="28">
        <f>P375*0.65</f>
        <v>27.69</v>
      </c>
    </row>
    <row r="376" spans="1:17" ht="12.75" customHeight="1" x14ac:dyDescent="0.2">
      <c r="A376" s="178" t="s">
        <v>164</v>
      </c>
      <c r="B376" s="248" t="s">
        <v>239</v>
      </c>
      <c r="C376" s="180"/>
      <c r="D376" s="181"/>
      <c r="E376" s="182"/>
      <c r="F376" s="253"/>
      <c r="G376" s="102">
        <f>(D376*E376)+(D376*F376)</f>
        <v>0</v>
      </c>
      <c r="I376" s="28">
        <f>0.45*1.725*9</f>
        <v>6.986250000000001</v>
      </c>
      <c r="M376" s="28">
        <f>39.6*1.8</f>
        <v>71.28</v>
      </c>
      <c r="N376" s="42">
        <f>M376+Q376</f>
        <v>354.423</v>
      </c>
      <c r="P376" s="28">
        <f>0.8*13*3.05</f>
        <v>31.72</v>
      </c>
      <c r="Q376" s="42">
        <f>Q375+O375+P376</f>
        <v>283.14299999999997</v>
      </c>
    </row>
    <row r="377" spans="1:17" ht="12.75" customHeight="1" x14ac:dyDescent="0.2">
      <c r="A377" s="185"/>
      <c r="B377" s="249" t="s">
        <v>464</v>
      </c>
      <c r="C377" s="187" t="s">
        <v>485</v>
      </c>
      <c r="D377" s="133">
        <v>354.42</v>
      </c>
      <c r="E377" s="134"/>
      <c r="F377" s="101"/>
      <c r="G377" s="102">
        <f>(D377*E377)+(D377*F377)</f>
        <v>0</v>
      </c>
    </row>
    <row r="378" spans="1:17" ht="12.75" customHeight="1" x14ac:dyDescent="0.2">
      <c r="A378" s="235" t="s">
        <v>165</v>
      </c>
      <c r="B378" s="239" t="s">
        <v>240</v>
      </c>
      <c r="C378" s="180"/>
      <c r="D378" s="181"/>
      <c r="E378" s="182"/>
      <c r="F378" s="183"/>
      <c r="G378" s="102">
        <f>(D378*E378)+(D378*F378)</f>
        <v>0</v>
      </c>
      <c r="I378" s="28">
        <f>8.3*6+3</f>
        <v>52.800000000000004</v>
      </c>
      <c r="J378" s="28">
        <f>I378*3.5*2</f>
        <v>369.6</v>
      </c>
      <c r="L378" s="28">
        <f>6.225*10+3*3+8.5*2</f>
        <v>88.25</v>
      </c>
      <c r="M378" s="28">
        <f>L378*3.5</f>
        <v>308.875</v>
      </c>
      <c r="N378" s="42">
        <f>M378-K375</f>
        <v>203.875</v>
      </c>
    </row>
    <row r="379" spans="1:17" ht="24" customHeight="1" x14ac:dyDescent="0.2">
      <c r="A379" s="185"/>
      <c r="B379" s="186" t="s">
        <v>241</v>
      </c>
      <c r="C379" s="187" t="s">
        <v>485</v>
      </c>
      <c r="D379" s="133">
        <v>703.7</v>
      </c>
      <c r="E379" s="134"/>
      <c r="F379" s="101"/>
      <c r="G379" s="102">
        <f>(D379*E379)+(D379*F379)</f>
        <v>0</v>
      </c>
      <c r="I379" s="28">
        <f>3.45+2.75+1.55*5+3</f>
        <v>16.95</v>
      </c>
      <c r="J379" s="28">
        <f>I379*3.5*2</f>
        <v>118.64999999999999</v>
      </c>
      <c r="K379" s="28">
        <f>0.78*2*4+0.95*2.83</f>
        <v>8.9284999999999997</v>
      </c>
      <c r="L379" s="28">
        <f>J379-K379</f>
        <v>109.72149999999999</v>
      </c>
      <c r="N379" s="42">
        <f>N378+L379+J378</f>
        <v>683.19650000000001</v>
      </c>
      <c r="O379" s="42">
        <f>N379*103%</f>
        <v>703.69239500000003</v>
      </c>
    </row>
    <row r="380" spans="1:17" ht="12.75" customHeight="1" x14ac:dyDescent="0.2">
      <c r="A380" s="185"/>
      <c r="B380" s="186"/>
      <c r="C380" s="187"/>
      <c r="D380" s="133"/>
      <c r="E380" s="134"/>
      <c r="F380" s="101"/>
      <c r="G380" s="102"/>
      <c r="O380" s="39"/>
      <c r="P380" s="39"/>
    </row>
    <row r="381" spans="1:17" ht="12.75" customHeight="1" x14ac:dyDescent="0.2">
      <c r="A381" s="171" t="s">
        <v>151</v>
      </c>
      <c r="B381" s="247" t="s">
        <v>262</v>
      </c>
      <c r="C381" s="173"/>
      <c r="D381" s="174"/>
      <c r="E381" s="175"/>
      <c r="F381" s="176"/>
      <c r="G381" s="177"/>
      <c r="K381" s="39"/>
    </row>
    <row r="382" spans="1:17" ht="12.75" customHeight="1" x14ac:dyDescent="0.2">
      <c r="A382" s="178" t="s">
        <v>164</v>
      </c>
      <c r="B382" s="248" t="s">
        <v>239</v>
      </c>
      <c r="C382" s="180"/>
      <c r="D382" s="181"/>
      <c r="E382" s="182"/>
      <c r="F382" s="253"/>
      <c r="G382" s="102">
        <f>(D382*E382)+(D382*F382)</f>
        <v>0</v>
      </c>
      <c r="K382" s="39"/>
    </row>
    <row r="383" spans="1:17" ht="12.75" customHeight="1" x14ac:dyDescent="0.2">
      <c r="A383" s="185"/>
      <c r="B383" s="249" t="s">
        <v>139</v>
      </c>
      <c r="C383" s="187" t="s">
        <v>485</v>
      </c>
      <c r="D383" s="133">
        <f>D350</f>
        <v>24.6</v>
      </c>
      <c r="E383" s="134"/>
      <c r="F383" s="101"/>
      <c r="G383" s="102">
        <f>(D383*E383)+(D383*F383)</f>
        <v>0</v>
      </c>
      <c r="K383" s="39"/>
      <c r="L383" s="39"/>
      <c r="O383" s="39"/>
    </row>
    <row r="384" spans="1:17" ht="12.75" customHeight="1" x14ac:dyDescent="0.2">
      <c r="A384" s="235" t="s">
        <v>165</v>
      </c>
      <c r="B384" s="239" t="s">
        <v>240</v>
      </c>
      <c r="C384" s="180"/>
      <c r="D384" s="181"/>
      <c r="E384" s="182"/>
      <c r="F384" s="183"/>
      <c r="G384" s="102">
        <f>(D384*E384)+(D384*F384)</f>
        <v>0</v>
      </c>
      <c r="K384" s="39"/>
    </row>
    <row r="385" spans="1:16" ht="12.75" customHeight="1" x14ac:dyDescent="0.2">
      <c r="A385" s="185"/>
      <c r="B385" s="186" t="s">
        <v>320</v>
      </c>
      <c r="C385" s="187" t="s">
        <v>485</v>
      </c>
      <c r="D385" s="133">
        <f>D350</f>
        <v>24.6</v>
      </c>
      <c r="E385" s="134"/>
      <c r="F385" s="101"/>
      <c r="G385" s="102">
        <f>(D385*E385)+(D385*F385)</f>
        <v>0</v>
      </c>
      <c r="K385" s="28">
        <f>1.69*2.45*6</f>
        <v>24.843000000000004</v>
      </c>
      <c r="L385" s="39">
        <f>0.95*2.83*6</f>
        <v>16.131</v>
      </c>
      <c r="M385" s="39">
        <f>1.575*2*6</f>
        <v>18.899999999999999</v>
      </c>
      <c r="N385" s="39">
        <f>1.24*1.69</f>
        <v>2.0956000000000001</v>
      </c>
      <c r="O385" s="28">
        <f>0.7*0.55*2</f>
        <v>0.77</v>
      </c>
      <c r="P385" s="28">
        <f>SUM(K385:O385)</f>
        <v>62.739600000000003</v>
      </c>
    </row>
    <row r="386" spans="1:16" ht="12.75" customHeight="1" x14ac:dyDescent="0.2">
      <c r="A386" s="185"/>
      <c r="B386" s="186"/>
      <c r="C386" s="187"/>
      <c r="D386" s="133"/>
      <c r="E386" s="134"/>
      <c r="F386" s="101"/>
      <c r="G386" s="102"/>
      <c r="L386" s="39"/>
      <c r="M386" s="39"/>
      <c r="N386" s="39"/>
    </row>
    <row r="387" spans="1:16" ht="12.75" customHeight="1" x14ac:dyDescent="0.2">
      <c r="A387" s="235"/>
      <c r="B387" s="239"/>
      <c r="C387" s="187"/>
      <c r="D387" s="133"/>
      <c r="E387" s="134"/>
      <c r="F387" s="101"/>
      <c r="G387" s="102"/>
    </row>
    <row r="388" spans="1:16" ht="12.75" customHeight="1" x14ac:dyDescent="0.2">
      <c r="A388" s="235"/>
      <c r="B388" s="239"/>
      <c r="C388" s="187"/>
      <c r="D388" s="133"/>
      <c r="E388" s="134"/>
      <c r="F388" s="101"/>
      <c r="G388" s="102"/>
    </row>
    <row r="389" spans="1:16" ht="12.75" customHeight="1" x14ac:dyDescent="0.2">
      <c r="A389" s="235"/>
      <c r="B389" s="239"/>
      <c r="C389" s="187"/>
      <c r="D389" s="133"/>
      <c r="E389" s="134"/>
      <c r="F389" s="101"/>
      <c r="G389" s="102"/>
    </row>
    <row r="390" spans="1:16" ht="12.75" customHeight="1" x14ac:dyDescent="0.2">
      <c r="A390" s="235"/>
      <c r="B390" s="239"/>
      <c r="C390" s="187"/>
      <c r="D390" s="133"/>
      <c r="E390" s="134"/>
      <c r="F390" s="101"/>
      <c r="G390" s="102"/>
    </row>
    <row r="391" spans="1:16" ht="12.75" customHeight="1" x14ac:dyDescent="0.2">
      <c r="A391" s="235"/>
      <c r="B391" s="239"/>
      <c r="C391" s="187"/>
      <c r="D391" s="133"/>
      <c r="E391" s="134"/>
      <c r="F391" s="101"/>
      <c r="G391" s="102"/>
    </row>
    <row r="392" spans="1:16" ht="12.75" customHeight="1" x14ac:dyDescent="0.2">
      <c r="A392" s="235"/>
      <c r="B392" s="239"/>
      <c r="C392" s="187"/>
      <c r="D392" s="133"/>
      <c r="E392" s="134"/>
      <c r="F392" s="101"/>
      <c r="G392" s="102"/>
    </row>
    <row r="393" spans="1:16" ht="12.75" customHeight="1" x14ac:dyDescent="0.2">
      <c r="A393" s="235"/>
      <c r="B393" s="239"/>
      <c r="C393" s="187"/>
      <c r="D393" s="133"/>
      <c r="E393" s="134"/>
      <c r="F393" s="101"/>
      <c r="G393" s="102"/>
    </row>
    <row r="394" spans="1:16" ht="12.75" customHeight="1" x14ac:dyDescent="0.2">
      <c r="A394" s="235"/>
      <c r="B394" s="239"/>
      <c r="C394" s="187"/>
      <c r="D394" s="133"/>
      <c r="E394" s="134"/>
      <c r="F394" s="101"/>
      <c r="G394" s="102"/>
    </row>
    <row r="395" spans="1:16" ht="12.75" customHeight="1" x14ac:dyDescent="0.2">
      <c r="A395" s="235"/>
      <c r="B395" s="239"/>
      <c r="C395" s="187"/>
      <c r="D395" s="133"/>
      <c r="E395" s="134"/>
      <c r="F395" s="101"/>
      <c r="G395" s="102"/>
    </row>
    <row r="396" spans="1:16" x14ac:dyDescent="0.2">
      <c r="A396" s="235"/>
      <c r="B396" s="239"/>
      <c r="C396" s="187"/>
      <c r="D396" s="133"/>
      <c r="E396" s="134"/>
      <c r="F396" s="101"/>
      <c r="G396" s="102"/>
    </row>
    <row r="397" spans="1:16" x14ac:dyDescent="0.2">
      <c r="A397" s="235"/>
      <c r="B397" s="239"/>
      <c r="C397" s="187"/>
      <c r="D397" s="133"/>
      <c r="E397" s="134"/>
      <c r="F397" s="101"/>
      <c r="G397" s="102"/>
    </row>
    <row r="398" spans="1:16" x14ac:dyDescent="0.2">
      <c r="A398" s="235"/>
      <c r="B398" s="239"/>
      <c r="C398" s="187"/>
      <c r="D398" s="133"/>
      <c r="E398" s="134"/>
      <c r="F398" s="101"/>
      <c r="G398" s="102"/>
    </row>
    <row r="399" spans="1:16" x14ac:dyDescent="0.2">
      <c r="A399" s="235"/>
      <c r="B399" s="239"/>
      <c r="C399" s="187"/>
      <c r="D399" s="133"/>
      <c r="E399" s="134"/>
      <c r="F399" s="101"/>
      <c r="G399" s="102"/>
    </row>
    <row r="400" spans="1:16" ht="12.75" thickBot="1" x14ac:dyDescent="0.25">
      <c r="A400" s="235"/>
      <c r="B400" s="239"/>
      <c r="C400" s="187"/>
      <c r="D400" s="133"/>
      <c r="E400" s="134"/>
      <c r="F400" s="101"/>
      <c r="G400" s="102"/>
    </row>
    <row r="401" spans="1:13" x14ac:dyDescent="0.2">
      <c r="A401" s="78"/>
      <c r="B401" s="111" t="s">
        <v>147</v>
      </c>
      <c r="C401" s="154"/>
      <c r="D401" s="113"/>
      <c r="E401" s="82"/>
      <c r="F401" s="240"/>
      <c r="G401" s="231"/>
    </row>
    <row r="402" spans="1:13" ht="12.75" thickBot="1" x14ac:dyDescent="0.25">
      <c r="A402" s="115"/>
      <c r="B402" s="116" t="s">
        <v>199</v>
      </c>
      <c r="C402" s="155"/>
      <c r="D402" s="118"/>
      <c r="E402" s="119"/>
      <c r="F402" s="192"/>
      <c r="G402" s="241">
        <f>SUM(G330:G380)</f>
        <v>0</v>
      </c>
    </row>
    <row r="403" spans="1:13" x14ac:dyDescent="0.2">
      <c r="A403" s="85"/>
      <c r="B403" s="122"/>
      <c r="C403" s="98"/>
      <c r="D403" s="99"/>
      <c r="E403" s="89"/>
      <c r="F403" s="101"/>
      <c r="G403" s="184"/>
    </row>
    <row r="404" spans="1:13" x14ac:dyDescent="0.2">
      <c r="A404" s="254"/>
      <c r="B404" s="255" t="s">
        <v>105</v>
      </c>
      <c r="C404" s="256"/>
      <c r="D404" s="88"/>
      <c r="E404" s="257"/>
      <c r="F404" s="101"/>
      <c r="G404" s="102"/>
    </row>
    <row r="405" spans="1:13" x14ac:dyDescent="0.2">
      <c r="A405" s="254"/>
      <c r="B405" s="258" t="s">
        <v>106</v>
      </c>
      <c r="C405" s="256"/>
      <c r="D405" s="88"/>
      <c r="E405" s="257"/>
      <c r="F405" s="101"/>
      <c r="G405" s="102"/>
    </row>
    <row r="406" spans="1:13" x14ac:dyDescent="0.2">
      <c r="A406" s="243" t="s">
        <v>107</v>
      </c>
      <c r="B406" s="93" t="s">
        <v>41</v>
      </c>
      <c r="C406" s="87"/>
      <c r="D406" s="88"/>
      <c r="E406" s="89"/>
      <c r="F406" s="101"/>
      <c r="G406" s="102"/>
    </row>
    <row r="407" spans="1:13" ht="53.25" customHeight="1" x14ac:dyDescent="0.2">
      <c r="A407" s="243"/>
      <c r="B407" s="105" t="s">
        <v>140</v>
      </c>
      <c r="C407" s="105"/>
      <c r="D407" s="105"/>
      <c r="E407" s="105"/>
      <c r="F407" s="105"/>
      <c r="G407" s="197"/>
    </row>
    <row r="408" spans="1:13" x14ac:dyDescent="0.2">
      <c r="A408" s="259" t="s">
        <v>142</v>
      </c>
      <c r="B408" s="260" t="s">
        <v>204</v>
      </c>
      <c r="C408" s="261"/>
      <c r="D408" s="262"/>
      <c r="E408" s="263"/>
      <c r="F408" s="264"/>
      <c r="G408" s="265"/>
    </row>
    <row r="409" spans="1:13" ht="12.75" x14ac:dyDescent="0.2">
      <c r="A409" s="266"/>
      <c r="B409" s="267" t="s">
        <v>212</v>
      </c>
      <c r="C409" s="268"/>
      <c r="D409" s="269"/>
      <c r="E409" s="257"/>
      <c r="F409" s="223"/>
      <c r="G409" s="224"/>
    </row>
    <row r="410" spans="1:13" ht="12.75" x14ac:dyDescent="0.2">
      <c r="A410" s="270" t="s">
        <v>149</v>
      </c>
      <c r="B410" s="271" t="s">
        <v>65</v>
      </c>
      <c r="C410" s="272"/>
      <c r="D410" s="273"/>
      <c r="E410" s="209"/>
      <c r="F410" s="210"/>
      <c r="G410" s="211">
        <f t="shared" ref="G410:G417" si="18">(D410*E410)+(D410*F410)</f>
        <v>0</v>
      </c>
    </row>
    <row r="411" spans="1:13" ht="14.25" x14ac:dyDescent="0.2">
      <c r="A411" s="266"/>
      <c r="B411" s="274" t="s">
        <v>321</v>
      </c>
      <c r="C411" s="268" t="s">
        <v>489</v>
      </c>
      <c r="D411" s="269">
        <v>257.3</v>
      </c>
      <c r="E411" s="222"/>
      <c r="F411" s="223"/>
      <c r="G411" s="224">
        <f t="shared" si="18"/>
        <v>0</v>
      </c>
      <c r="I411" s="28">
        <f>51.46*5</f>
        <v>257.3</v>
      </c>
    </row>
    <row r="412" spans="1:13" ht="14.25" x14ac:dyDescent="0.2">
      <c r="A412" s="266"/>
      <c r="B412" s="274" t="s">
        <v>458</v>
      </c>
      <c r="C412" s="268" t="s">
        <v>489</v>
      </c>
      <c r="D412" s="269">
        <v>92.5</v>
      </c>
      <c r="E412" s="222"/>
      <c r="F412" s="223"/>
      <c r="G412" s="224">
        <f t="shared" si="18"/>
        <v>0</v>
      </c>
      <c r="I412" s="28">
        <f>38.6*2</f>
        <v>77.2</v>
      </c>
      <c r="J412" s="28">
        <f>8.5*1.35</f>
        <v>11.475000000000001</v>
      </c>
      <c r="K412" s="28">
        <f>1.65*0.8</f>
        <v>1.32</v>
      </c>
      <c r="L412" s="28">
        <f>1.65*1.5</f>
        <v>2.4749999999999996</v>
      </c>
      <c r="M412" s="28">
        <f>SUM(I412:L412)</f>
        <v>92.47</v>
      </c>
    </row>
    <row r="413" spans="1:13" ht="14.25" x14ac:dyDescent="0.2">
      <c r="A413" s="266"/>
      <c r="B413" s="274" t="s">
        <v>323</v>
      </c>
      <c r="C413" s="268" t="s">
        <v>489</v>
      </c>
      <c r="D413" s="269">
        <v>23.9</v>
      </c>
      <c r="E413" s="222"/>
      <c r="F413" s="223"/>
      <c r="G413" s="224">
        <f t="shared" si="18"/>
        <v>0</v>
      </c>
      <c r="I413" s="42">
        <f>7.825*3.05</f>
        <v>23.866250000000001</v>
      </c>
    </row>
    <row r="414" spans="1:13" ht="14.25" x14ac:dyDescent="0.2">
      <c r="A414" s="266"/>
      <c r="B414" s="274" t="s">
        <v>459</v>
      </c>
      <c r="C414" s="268" t="s">
        <v>489</v>
      </c>
      <c r="D414" s="269">
        <v>3.68</v>
      </c>
      <c r="E414" s="222"/>
      <c r="F414" s="223"/>
      <c r="G414" s="224">
        <f>(D414*E414)+(D414*F414)</f>
        <v>0</v>
      </c>
      <c r="I414" s="42">
        <f>2.45*1.5</f>
        <v>3.6750000000000003</v>
      </c>
    </row>
    <row r="415" spans="1:13" ht="14.25" x14ac:dyDescent="0.2">
      <c r="A415" s="266"/>
      <c r="B415" s="274" t="s">
        <v>457</v>
      </c>
      <c r="C415" s="268" t="s">
        <v>489</v>
      </c>
      <c r="D415" s="269">
        <v>4.5</v>
      </c>
      <c r="E415" s="222"/>
      <c r="F415" s="223"/>
      <c r="G415" s="224">
        <f>(D415*E415)+(D415*F415)</f>
        <v>0</v>
      </c>
      <c r="I415" s="39">
        <f>1.5*3</f>
        <v>4.5</v>
      </c>
    </row>
    <row r="416" spans="1:13" ht="14.25" x14ac:dyDescent="0.2">
      <c r="A416" s="266"/>
      <c r="B416" s="274" t="s">
        <v>324</v>
      </c>
      <c r="C416" s="268" t="s">
        <v>489</v>
      </c>
      <c r="D416" s="269">
        <v>20.8</v>
      </c>
      <c r="E416" s="222"/>
      <c r="F416" s="223"/>
      <c r="G416" s="224">
        <f t="shared" si="18"/>
        <v>0</v>
      </c>
      <c r="I416" s="39">
        <f>4.12*3</f>
        <v>12.36</v>
      </c>
      <c r="J416" s="28">
        <f>2.15*1.5</f>
        <v>3.2249999999999996</v>
      </c>
      <c r="K416" s="39">
        <f>1.5*0.15*23</f>
        <v>5.1749999999999998</v>
      </c>
      <c r="L416" s="39">
        <f>SUM(I416:K416)</f>
        <v>20.759999999999998</v>
      </c>
    </row>
    <row r="417" spans="1:19" ht="14.25" x14ac:dyDescent="0.2">
      <c r="A417" s="266"/>
      <c r="B417" s="274" t="s">
        <v>325</v>
      </c>
      <c r="C417" s="268" t="s">
        <v>489</v>
      </c>
      <c r="D417" s="269">
        <v>25.1</v>
      </c>
      <c r="E417" s="222"/>
      <c r="F417" s="223"/>
      <c r="G417" s="224">
        <f t="shared" si="18"/>
        <v>0</v>
      </c>
      <c r="I417" s="39">
        <f>38.6*0.65</f>
        <v>25.090000000000003</v>
      </c>
      <c r="K417" s="39"/>
    </row>
    <row r="418" spans="1:19" ht="12.75" x14ac:dyDescent="0.2">
      <c r="A418" s="270" t="s">
        <v>150</v>
      </c>
      <c r="B418" s="271" t="s">
        <v>67</v>
      </c>
      <c r="C418" s="272"/>
      <c r="D418" s="273"/>
      <c r="E418" s="209"/>
      <c r="F418" s="210"/>
      <c r="G418" s="211">
        <f t="shared" ref="G418:G423" si="19">(D418*E418)+(D418*F418)</f>
        <v>0</v>
      </c>
    </row>
    <row r="419" spans="1:19" ht="14.25" x14ac:dyDescent="0.2">
      <c r="A419" s="266"/>
      <c r="B419" s="274" t="s">
        <v>321</v>
      </c>
      <c r="C419" s="268" t="s">
        <v>489</v>
      </c>
      <c r="D419" s="269">
        <v>257.3</v>
      </c>
      <c r="E419" s="222"/>
      <c r="F419" s="223"/>
      <c r="G419" s="224">
        <f t="shared" si="19"/>
        <v>0</v>
      </c>
      <c r="I419" s="28">
        <f>51.46*5</f>
        <v>257.3</v>
      </c>
    </row>
    <row r="420" spans="1:19" ht="14.25" x14ac:dyDescent="0.2">
      <c r="A420" s="266"/>
      <c r="B420" s="274" t="s">
        <v>458</v>
      </c>
      <c r="C420" s="268" t="s">
        <v>489</v>
      </c>
      <c r="D420" s="269">
        <v>86.3</v>
      </c>
      <c r="E420" s="222"/>
      <c r="F420" s="223"/>
      <c r="G420" s="224">
        <f t="shared" si="19"/>
        <v>0</v>
      </c>
      <c r="I420" s="28">
        <f>38.4*1.85</f>
        <v>71.040000000000006</v>
      </c>
      <c r="J420" s="28">
        <f>8.5*1.35</f>
        <v>11.475000000000001</v>
      </c>
      <c r="K420" s="28">
        <f>1.65*0.8</f>
        <v>1.32</v>
      </c>
      <c r="L420" s="28">
        <f>1.65*1.5</f>
        <v>2.4749999999999996</v>
      </c>
      <c r="M420" s="28">
        <f>SUM(I420:L420)</f>
        <v>86.31</v>
      </c>
    </row>
    <row r="421" spans="1:19" ht="14.25" x14ac:dyDescent="0.2">
      <c r="A421" s="266"/>
      <c r="B421" s="274" t="s">
        <v>323</v>
      </c>
      <c r="C421" s="268" t="s">
        <v>489</v>
      </c>
      <c r="D421" s="269">
        <v>12.06</v>
      </c>
      <c r="E421" s="222"/>
      <c r="F421" s="223"/>
      <c r="G421" s="224">
        <f t="shared" si="19"/>
        <v>0</v>
      </c>
      <c r="I421" s="42">
        <f>4.02*3</f>
        <v>12.059999999999999</v>
      </c>
      <c r="N421" s="26"/>
    </row>
    <row r="422" spans="1:19" ht="12.75" customHeight="1" x14ac:dyDescent="0.2">
      <c r="A422" s="266"/>
      <c r="B422" s="274" t="s">
        <v>459</v>
      </c>
      <c r="C422" s="268" t="s">
        <v>489</v>
      </c>
      <c r="D422" s="269">
        <v>3.68</v>
      </c>
      <c r="E422" s="222"/>
      <c r="F422" s="223"/>
      <c r="G422" s="224">
        <f t="shared" si="19"/>
        <v>0</v>
      </c>
      <c r="I422" s="42">
        <f>2.45*1.5</f>
        <v>3.6750000000000003</v>
      </c>
    </row>
    <row r="423" spans="1:19" ht="12.75" customHeight="1" x14ac:dyDescent="0.2">
      <c r="A423" s="266"/>
      <c r="B423" s="274" t="s">
        <v>457</v>
      </c>
      <c r="C423" s="268" t="s">
        <v>489</v>
      </c>
      <c r="D423" s="269">
        <v>4.5</v>
      </c>
      <c r="E423" s="222"/>
      <c r="F423" s="223"/>
      <c r="G423" s="224">
        <f t="shared" si="19"/>
        <v>0</v>
      </c>
      <c r="I423" s="39">
        <f>1.5*3</f>
        <v>4.5</v>
      </c>
    </row>
    <row r="424" spans="1:19" ht="12" customHeight="1" x14ac:dyDescent="0.2">
      <c r="A424" s="266"/>
      <c r="B424" s="274"/>
      <c r="C424" s="268"/>
      <c r="D424" s="269"/>
      <c r="E424" s="222"/>
      <c r="F424" s="223"/>
      <c r="G424" s="224"/>
    </row>
    <row r="425" spans="1:19" ht="12" customHeight="1" x14ac:dyDescent="0.2">
      <c r="A425" s="259" t="s">
        <v>143</v>
      </c>
      <c r="B425" s="260" t="s">
        <v>144</v>
      </c>
      <c r="C425" s="275"/>
      <c r="D425" s="276"/>
      <c r="E425" s="263"/>
      <c r="F425" s="264"/>
      <c r="G425" s="265"/>
    </row>
    <row r="426" spans="1:19" ht="49.5" customHeight="1" x14ac:dyDescent="0.2">
      <c r="A426" s="243"/>
      <c r="B426" s="105" t="s">
        <v>230</v>
      </c>
      <c r="C426" s="105"/>
      <c r="D426" s="105"/>
      <c r="E426" s="105"/>
      <c r="F426" s="105"/>
      <c r="G426" s="197"/>
    </row>
    <row r="427" spans="1:19" ht="31.5" customHeight="1" x14ac:dyDescent="0.2">
      <c r="A427" s="277"/>
      <c r="B427" s="105" t="s">
        <v>231</v>
      </c>
      <c r="C427" s="105"/>
      <c r="D427" s="105"/>
      <c r="E427" s="105"/>
      <c r="F427" s="105"/>
      <c r="G427" s="197"/>
    </row>
    <row r="428" spans="1:19" ht="40.5" customHeight="1" x14ac:dyDescent="0.2">
      <c r="A428" s="277"/>
      <c r="B428" s="105" t="s">
        <v>490</v>
      </c>
      <c r="C428" s="105"/>
      <c r="D428" s="105"/>
      <c r="E428" s="105"/>
      <c r="F428" s="105"/>
      <c r="G428" s="197"/>
    </row>
    <row r="429" spans="1:19" ht="54.75" customHeight="1" x14ac:dyDescent="0.2">
      <c r="A429" s="277"/>
      <c r="B429" s="105" t="s">
        <v>326</v>
      </c>
      <c r="C429" s="105"/>
      <c r="D429" s="105"/>
      <c r="E429" s="105"/>
      <c r="F429" s="105"/>
      <c r="G429" s="197"/>
    </row>
    <row r="430" spans="1:19" s="45" customFormat="1" ht="15" customHeight="1" x14ac:dyDescent="0.2">
      <c r="A430" s="270" t="s">
        <v>149</v>
      </c>
      <c r="B430" s="271" t="s">
        <v>65</v>
      </c>
      <c r="C430" s="272"/>
      <c r="D430" s="273"/>
      <c r="E430" s="278"/>
      <c r="F430" s="210"/>
      <c r="G430" s="211"/>
      <c r="H430" s="28"/>
      <c r="I430" s="28"/>
      <c r="J430" s="28"/>
      <c r="K430" s="28"/>
      <c r="L430" s="28"/>
      <c r="M430" s="28"/>
      <c r="N430" s="28"/>
      <c r="O430" s="28"/>
      <c r="P430" s="28"/>
      <c r="Q430" s="28"/>
      <c r="R430" s="28"/>
      <c r="S430" s="28"/>
    </row>
    <row r="431" spans="1:19" ht="12.75" x14ac:dyDescent="0.2">
      <c r="A431" s="266" t="s">
        <v>232</v>
      </c>
      <c r="B431" s="279" t="s">
        <v>227</v>
      </c>
      <c r="C431" s="268"/>
      <c r="D431" s="269"/>
      <c r="E431" s="222"/>
      <c r="F431" s="223"/>
      <c r="G431" s="224"/>
      <c r="I431" s="46"/>
      <c r="J431" s="47"/>
      <c r="K431" s="48"/>
    </row>
    <row r="432" spans="1:19" ht="12" customHeight="1" x14ac:dyDescent="0.2">
      <c r="A432" s="266" t="s">
        <v>164</v>
      </c>
      <c r="B432" s="279" t="s">
        <v>244</v>
      </c>
      <c r="C432" s="268"/>
      <c r="D432" s="269"/>
      <c r="E432" s="222"/>
      <c r="F432" s="223"/>
      <c r="G432" s="224"/>
      <c r="I432" s="46"/>
      <c r="J432" s="47"/>
      <c r="K432" s="48"/>
    </row>
    <row r="433" spans="1:18" ht="12" customHeight="1" x14ac:dyDescent="0.2">
      <c r="A433" s="266"/>
      <c r="B433" s="274" t="s">
        <v>321</v>
      </c>
      <c r="C433" s="268" t="s">
        <v>489</v>
      </c>
      <c r="D433" s="269">
        <f>D411</f>
        <v>257.3</v>
      </c>
      <c r="E433" s="222"/>
      <c r="F433" s="223"/>
      <c r="G433" s="224">
        <f>(D433*E433)+(D433*F433)</f>
        <v>0</v>
      </c>
      <c r="I433" s="46"/>
      <c r="J433" s="47"/>
      <c r="K433" s="48"/>
    </row>
    <row r="434" spans="1:18" ht="12" customHeight="1" x14ac:dyDescent="0.2">
      <c r="A434" s="266"/>
      <c r="B434" s="274" t="s">
        <v>323</v>
      </c>
      <c r="C434" s="268" t="s">
        <v>489</v>
      </c>
      <c r="D434" s="269">
        <f>D413</f>
        <v>23.9</v>
      </c>
      <c r="E434" s="222"/>
      <c r="F434" s="223"/>
      <c r="G434" s="224">
        <f>(D434*E434)+(D434*F434)</f>
        <v>0</v>
      </c>
      <c r="I434" s="46"/>
      <c r="J434" s="47"/>
      <c r="K434" s="48"/>
    </row>
    <row r="435" spans="1:18" ht="12" customHeight="1" x14ac:dyDescent="0.2">
      <c r="A435" s="266"/>
      <c r="B435" s="274" t="s">
        <v>460</v>
      </c>
      <c r="C435" s="268" t="s">
        <v>489</v>
      </c>
      <c r="D435" s="269">
        <f>D414</f>
        <v>3.68</v>
      </c>
      <c r="E435" s="222"/>
      <c r="F435" s="223"/>
      <c r="G435" s="224">
        <f>(D435*E435)+(D435*F435)</f>
        <v>0</v>
      </c>
      <c r="I435" s="46"/>
      <c r="J435" s="47"/>
      <c r="K435" s="48"/>
    </row>
    <row r="436" spans="1:18" ht="12" customHeight="1" x14ac:dyDescent="0.2">
      <c r="A436" s="266" t="s">
        <v>165</v>
      </c>
      <c r="B436" s="279" t="s">
        <v>273</v>
      </c>
      <c r="C436" s="268"/>
      <c r="D436" s="269"/>
      <c r="E436" s="222"/>
      <c r="F436" s="223"/>
      <c r="G436" s="224"/>
      <c r="I436" s="46"/>
      <c r="J436" s="47"/>
      <c r="K436" s="48"/>
    </row>
    <row r="437" spans="1:18" ht="12" customHeight="1" x14ac:dyDescent="0.2">
      <c r="A437" s="266"/>
      <c r="B437" s="274" t="s">
        <v>322</v>
      </c>
      <c r="C437" s="268" t="s">
        <v>489</v>
      </c>
      <c r="D437" s="269">
        <f>D412</f>
        <v>92.5</v>
      </c>
      <c r="E437" s="222"/>
      <c r="F437" s="223"/>
      <c r="G437" s="224">
        <f>(D437*E437)+(D437*F437)</f>
        <v>0</v>
      </c>
      <c r="I437" s="46"/>
      <c r="J437" s="47"/>
      <c r="K437" s="48"/>
      <c r="M437" s="42"/>
      <c r="O437" s="42"/>
      <c r="Q437" s="42"/>
      <c r="R437" s="42"/>
    </row>
    <row r="438" spans="1:18" ht="12" customHeight="1" x14ac:dyDescent="0.2">
      <c r="A438" s="266" t="s">
        <v>176</v>
      </c>
      <c r="B438" s="279" t="s">
        <v>245</v>
      </c>
      <c r="C438" s="268"/>
      <c r="D438" s="269"/>
      <c r="E438" s="222"/>
      <c r="F438" s="223"/>
      <c r="G438" s="224"/>
    </row>
    <row r="439" spans="1:18" ht="12" customHeight="1" x14ac:dyDescent="0.2">
      <c r="A439" s="266"/>
      <c r="B439" s="274" t="s">
        <v>256</v>
      </c>
      <c r="C439" s="268" t="s">
        <v>489</v>
      </c>
      <c r="D439" s="269">
        <f>D416</f>
        <v>20.8</v>
      </c>
      <c r="E439" s="222"/>
      <c r="F439" s="223"/>
      <c r="G439" s="224">
        <f>(D439*E439)+(D439*F439)</f>
        <v>0</v>
      </c>
    </row>
    <row r="440" spans="1:18" ht="12" customHeight="1" x14ac:dyDescent="0.2">
      <c r="A440" s="266"/>
      <c r="B440" s="274" t="s">
        <v>325</v>
      </c>
      <c r="C440" s="268" t="s">
        <v>489</v>
      </c>
      <c r="D440" s="269">
        <f>D417</f>
        <v>25.1</v>
      </c>
      <c r="E440" s="222"/>
      <c r="F440" s="223"/>
      <c r="G440" s="224">
        <f>(D440*E440)+(D440*F440)</f>
        <v>0</v>
      </c>
    </row>
    <row r="441" spans="1:18" ht="12" customHeight="1" x14ac:dyDescent="0.2">
      <c r="A441" s="266" t="s">
        <v>177</v>
      </c>
      <c r="B441" s="279" t="s">
        <v>246</v>
      </c>
      <c r="C441" s="268"/>
      <c r="D441" s="269"/>
      <c r="E441" s="222"/>
      <c r="F441" s="223"/>
      <c r="G441" s="224"/>
    </row>
    <row r="442" spans="1:18" ht="12" customHeight="1" x14ac:dyDescent="0.2">
      <c r="A442" s="266"/>
      <c r="B442" s="274" t="s">
        <v>422</v>
      </c>
      <c r="C442" s="268" t="s">
        <v>489</v>
      </c>
      <c r="D442" s="269">
        <f>D415</f>
        <v>4.5</v>
      </c>
      <c r="E442" s="222"/>
      <c r="F442" s="223"/>
      <c r="G442" s="224">
        <f>(D442*E442)+(D442*F442)</f>
        <v>0</v>
      </c>
    </row>
    <row r="443" spans="1:18" ht="12" customHeight="1" x14ac:dyDescent="0.2">
      <c r="A443" s="266"/>
      <c r="B443" s="274"/>
      <c r="C443" s="268"/>
      <c r="D443" s="269"/>
      <c r="E443" s="222"/>
      <c r="F443" s="223"/>
      <c r="G443" s="224"/>
    </row>
    <row r="444" spans="1:18" ht="12" customHeight="1" thickBot="1" x14ac:dyDescent="0.25">
      <c r="A444" s="280"/>
      <c r="B444" s="281"/>
      <c r="C444" s="282"/>
      <c r="D444" s="283"/>
      <c r="E444" s="284"/>
      <c r="F444" s="285"/>
      <c r="G444" s="286"/>
    </row>
    <row r="445" spans="1:18" ht="12" customHeight="1" x14ac:dyDescent="0.2">
      <c r="A445" s="266"/>
      <c r="B445" s="274"/>
      <c r="C445" s="268"/>
      <c r="D445" s="269"/>
      <c r="E445" s="222"/>
      <c r="F445" s="223"/>
      <c r="G445" s="224"/>
    </row>
    <row r="446" spans="1:18" ht="12.75" x14ac:dyDescent="0.2">
      <c r="A446" s="266" t="s">
        <v>233</v>
      </c>
      <c r="B446" s="279" t="s">
        <v>228</v>
      </c>
      <c r="C446" s="268"/>
      <c r="D446" s="269"/>
      <c r="E446" s="222"/>
      <c r="F446" s="223"/>
      <c r="G446" s="224"/>
      <c r="I446" s="46"/>
      <c r="J446" s="47"/>
      <c r="K446" s="48"/>
      <c r="L446" s="49"/>
      <c r="M446" s="50"/>
      <c r="N446" s="50"/>
      <c r="O446" s="50"/>
      <c r="P446" s="51"/>
    </row>
    <row r="447" spans="1:18" ht="38.25" x14ac:dyDescent="0.2">
      <c r="A447" s="266"/>
      <c r="B447" s="279" t="s">
        <v>247</v>
      </c>
      <c r="C447" s="268"/>
      <c r="D447" s="269"/>
      <c r="E447" s="222"/>
      <c r="F447" s="223"/>
      <c r="G447" s="224"/>
      <c r="I447" s="52"/>
      <c r="J447" s="53"/>
      <c r="K447" s="54"/>
      <c r="L447" s="55"/>
      <c r="M447" s="56"/>
      <c r="N447" s="56"/>
      <c r="O447" s="56"/>
      <c r="P447" s="56"/>
    </row>
    <row r="448" spans="1:18" ht="14.25" x14ac:dyDescent="0.2">
      <c r="A448" s="266"/>
      <c r="B448" s="274" t="s">
        <v>421</v>
      </c>
      <c r="C448" s="268" t="s">
        <v>489</v>
      </c>
      <c r="D448" s="269">
        <v>41.4</v>
      </c>
      <c r="E448" s="222"/>
      <c r="F448" s="223"/>
      <c r="G448" s="224">
        <f>(D448*E448)+(D448*F448)</f>
        <v>0</v>
      </c>
      <c r="I448" s="39">
        <f>1.5*6+1*6</f>
        <v>15</v>
      </c>
      <c r="J448" s="42">
        <f>I448*3</f>
        <v>45</v>
      </c>
      <c r="K448" s="42">
        <f>0.6*2*3</f>
        <v>3.5999999999999996</v>
      </c>
      <c r="L448" s="42">
        <f>J448-K448</f>
        <v>41.4</v>
      </c>
      <c r="P448" s="42"/>
    </row>
    <row r="449" spans="1:18" ht="14.25" x14ac:dyDescent="0.2">
      <c r="A449" s="266"/>
      <c r="B449" s="274" t="s">
        <v>461</v>
      </c>
      <c r="C449" s="268" t="s">
        <v>489</v>
      </c>
      <c r="D449" s="269">
        <v>8.64</v>
      </c>
      <c r="E449" s="222"/>
      <c r="F449" s="223"/>
      <c r="G449" s="224">
        <f>(D449*E449)+(D449*F449)</f>
        <v>0</v>
      </c>
      <c r="I449" s="39">
        <f>1.5+1.65*2</f>
        <v>4.8</v>
      </c>
      <c r="J449" s="42">
        <f>I449*1.8</f>
        <v>8.64</v>
      </c>
      <c r="K449" s="42"/>
      <c r="L449" s="42"/>
      <c r="M449" s="42"/>
      <c r="N449" s="42"/>
      <c r="O449" s="42"/>
      <c r="P449" s="42"/>
      <c r="Q449" s="42"/>
      <c r="R449" s="42"/>
    </row>
    <row r="450" spans="1:18" ht="14.25" x14ac:dyDescent="0.2">
      <c r="A450" s="266"/>
      <c r="B450" s="274" t="s">
        <v>462</v>
      </c>
      <c r="C450" s="268" t="s">
        <v>489</v>
      </c>
      <c r="D450" s="269">
        <v>2.1</v>
      </c>
      <c r="E450" s="222"/>
      <c r="F450" s="223"/>
      <c r="G450" s="224">
        <f>(D450*E450)+(D450*F450)</f>
        <v>0</v>
      </c>
      <c r="I450" s="42">
        <f>1.5*1.4</f>
        <v>2.0999999999999996</v>
      </c>
      <c r="J450" s="42"/>
      <c r="K450" s="42"/>
      <c r="L450" s="42"/>
      <c r="M450" s="42"/>
      <c r="N450" s="42"/>
      <c r="O450" s="42"/>
      <c r="P450" s="42"/>
      <c r="Q450" s="42"/>
      <c r="R450" s="42"/>
    </row>
    <row r="451" spans="1:18" ht="12.75" x14ac:dyDescent="0.2">
      <c r="A451" s="266" t="s">
        <v>234</v>
      </c>
      <c r="B451" s="279" t="s">
        <v>229</v>
      </c>
      <c r="C451" s="268"/>
      <c r="D451" s="269"/>
      <c r="E451" s="222"/>
      <c r="F451" s="223"/>
      <c r="G451" s="224"/>
      <c r="I451" s="46"/>
      <c r="J451" s="47"/>
      <c r="K451" s="48"/>
      <c r="L451" s="48"/>
    </row>
    <row r="452" spans="1:18" ht="12.75" x14ac:dyDescent="0.2">
      <c r="A452" s="266" t="s">
        <v>164</v>
      </c>
      <c r="B452" s="274" t="s">
        <v>249</v>
      </c>
      <c r="C452" s="268" t="s">
        <v>123</v>
      </c>
      <c r="D452" s="269">
        <v>216</v>
      </c>
      <c r="E452" s="222"/>
      <c r="F452" s="223"/>
      <c r="G452" s="224">
        <f>(D452*E452)+(D452*F452)</f>
        <v>0</v>
      </c>
      <c r="I452" s="28">
        <f>8.3*11+6.2*10+3+4.28+38.6+8.7+2.45*2+1.5*2</f>
        <v>215.78</v>
      </c>
      <c r="J452" s="28">
        <f>0.55*6</f>
        <v>3.3000000000000003</v>
      </c>
      <c r="K452" s="28">
        <f>I452-J452</f>
        <v>212.48</v>
      </c>
      <c r="M452" s="28">
        <f>I452-L452</f>
        <v>215.78</v>
      </c>
    </row>
    <row r="453" spans="1:18" ht="12.75" x14ac:dyDescent="0.2">
      <c r="A453" s="270" t="s">
        <v>150</v>
      </c>
      <c r="B453" s="271" t="s">
        <v>67</v>
      </c>
      <c r="C453" s="272"/>
      <c r="D453" s="273"/>
      <c r="E453" s="278"/>
      <c r="F453" s="210"/>
      <c r="G453" s="211"/>
    </row>
    <row r="454" spans="1:18" ht="12" customHeight="1" x14ac:dyDescent="0.2">
      <c r="A454" s="266" t="s">
        <v>232</v>
      </c>
      <c r="B454" s="279" t="s">
        <v>227</v>
      </c>
      <c r="C454" s="268"/>
      <c r="D454" s="269"/>
      <c r="E454" s="222"/>
      <c r="F454" s="223"/>
      <c r="G454" s="224"/>
    </row>
    <row r="455" spans="1:18" ht="12.75" x14ac:dyDescent="0.2">
      <c r="A455" s="266" t="s">
        <v>164</v>
      </c>
      <c r="B455" s="279" t="s">
        <v>244</v>
      </c>
      <c r="C455" s="268"/>
      <c r="D455" s="269"/>
      <c r="E455" s="222"/>
      <c r="F455" s="223"/>
      <c r="G455" s="224"/>
      <c r="I455" s="28">
        <f>12.5+2.95+3.05+3.05+2.95</f>
        <v>24.5</v>
      </c>
    </row>
    <row r="456" spans="1:18" ht="14.25" x14ac:dyDescent="0.2">
      <c r="A456" s="266"/>
      <c r="B456" s="274" t="s">
        <v>321</v>
      </c>
      <c r="C456" s="268" t="s">
        <v>489</v>
      </c>
      <c r="D456" s="269">
        <f>D419</f>
        <v>257.3</v>
      </c>
      <c r="E456" s="222"/>
      <c r="F456" s="223"/>
      <c r="G456" s="224">
        <f>(D456*E456)+(D456*F456)</f>
        <v>0</v>
      </c>
      <c r="I456" s="28">
        <v>28.7</v>
      </c>
    </row>
    <row r="457" spans="1:18" ht="14.25" x14ac:dyDescent="0.2">
      <c r="A457" s="266"/>
      <c r="B457" s="274" t="s">
        <v>323</v>
      </c>
      <c r="C457" s="268" t="s">
        <v>489</v>
      </c>
      <c r="D457" s="269">
        <v>12.15</v>
      </c>
      <c r="E457" s="222"/>
      <c r="F457" s="223"/>
      <c r="G457" s="224">
        <f>(D457*E457)+(D457*F457)</f>
        <v>0</v>
      </c>
      <c r="I457" s="28">
        <v>19.7</v>
      </c>
    </row>
    <row r="458" spans="1:18" ht="14.25" x14ac:dyDescent="0.2">
      <c r="A458" s="266"/>
      <c r="B458" s="274" t="s">
        <v>459</v>
      </c>
      <c r="C458" s="268" t="s">
        <v>489</v>
      </c>
      <c r="D458" s="269">
        <v>3.68</v>
      </c>
      <c r="E458" s="222"/>
      <c r="F458" s="223"/>
      <c r="G458" s="224">
        <f>(D458*E458)+(D458*F458)</f>
        <v>0</v>
      </c>
    </row>
    <row r="459" spans="1:18" ht="12.75" x14ac:dyDescent="0.2">
      <c r="A459" s="266" t="s">
        <v>165</v>
      </c>
      <c r="B459" s="279" t="s">
        <v>248</v>
      </c>
      <c r="C459" s="268"/>
      <c r="D459" s="269"/>
      <c r="E459" s="222"/>
      <c r="F459" s="223"/>
      <c r="G459" s="224"/>
    </row>
    <row r="460" spans="1:18" ht="14.25" x14ac:dyDescent="0.2">
      <c r="A460" s="266"/>
      <c r="B460" s="274" t="s">
        <v>322</v>
      </c>
      <c r="C460" s="268" t="s">
        <v>489</v>
      </c>
      <c r="D460" s="269">
        <f>D420</f>
        <v>86.3</v>
      </c>
      <c r="E460" s="222"/>
      <c r="F460" s="223"/>
      <c r="G460" s="224">
        <f>(D460*E460)+(D460*F460)</f>
        <v>0</v>
      </c>
      <c r="I460" s="28">
        <f>19.1*1.85</f>
        <v>35.335000000000001</v>
      </c>
      <c r="J460" s="28">
        <f>4.28*3.2</f>
        <v>13.696000000000002</v>
      </c>
      <c r="K460" s="28">
        <f>SUM(I460:J460)</f>
        <v>49.031000000000006</v>
      </c>
    </row>
    <row r="461" spans="1:18" ht="12.75" x14ac:dyDescent="0.2">
      <c r="A461" s="266" t="s">
        <v>176</v>
      </c>
      <c r="B461" s="279" t="s">
        <v>246</v>
      </c>
      <c r="C461" s="268"/>
      <c r="D461" s="269"/>
      <c r="E461" s="222"/>
      <c r="F461" s="223"/>
      <c r="G461" s="224"/>
    </row>
    <row r="462" spans="1:18" ht="14.25" x14ac:dyDescent="0.2">
      <c r="A462" s="266"/>
      <c r="B462" s="274" t="s">
        <v>422</v>
      </c>
      <c r="C462" s="268" t="s">
        <v>489</v>
      </c>
      <c r="D462" s="269">
        <f>D423</f>
        <v>4.5</v>
      </c>
      <c r="E462" s="222"/>
      <c r="F462" s="223"/>
      <c r="G462" s="224">
        <f>(D462*E462)+(D462*F462)</f>
        <v>0</v>
      </c>
    </row>
    <row r="463" spans="1:18" ht="12.75" x14ac:dyDescent="0.2">
      <c r="A463" s="266" t="s">
        <v>233</v>
      </c>
      <c r="B463" s="279" t="s">
        <v>228</v>
      </c>
      <c r="C463" s="268"/>
      <c r="D463" s="269"/>
      <c r="E463" s="222"/>
      <c r="F463" s="223"/>
      <c r="G463" s="224"/>
    </row>
    <row r="464" spans="1:18" ht="51" x14ac:dyDescent="0.2">
      <c r="A464" s="266"/>
      <c r="B464" s="279" t="s">
        <v>257</v>
      </c>
      <c r="C464" s="268"/>
      <c r="D464" s="269"/>
      <c r="E464" s="222"/>
      <c r="F464" s="223"/>
      <c r="G464" s="224"/>
    </row>
    <row r="465" spans="1:14" ht="12.75" customHeight="1" x14ac:dyDescent="0.2">
      <c r="A465" s="266"/>
      <c r="B465" s="274" t="s">
        <v>421</v>
      </c>
      <c r="C465" s="268" t="s">
        <v>489</v>
      </c>
      <c r="D465" s="269">
        <v>41.4</v>
      </c>
      <c r="E465" s="222"/>
      <c r="F465" s="223"/>
      <c r="G465" s="224">
        <f>(D465*E465)+(D465*F465)</f>
        <v>0</v>
      </c>
      <c r="I465" s="39">
        <f>1.5*6+1*6</f>
        <v>15</v>
      </c>
      <c r="J465" s="42">
        <f>I465*3</f>
        <v>45</v>
      </c>
      <c r="K465" s="42">
        <f>0.6*2*3</f>
        <v>3.5999999999999996</v>
      </c>
      <c r="L465" s="42">
        <f>J465-K465</f>
        <v>41.4</v>
      </c>
    </row>
    <row r="466" spans="1:14" ht="14.25" x14ac:dyDescent="0.2">
      <c r="A466" s="266"/>
      <c r="B466" s="274" t="s">
        <v>461</v>
      </c>
      <c r="C466" s="268" t="s">
        <v>489</v>
      </c>
      <c r="D466" s="269">
        <v>8.64</v>
      </c>
      <c r="E466" s="222"/>
      <c r="F466" s="223"/>
      <c r="G466" s="224">
        <f>(D466*E466)+(D466*F466)</f>
        <v>0</v>
      </c>
      <c r="I466" s="39">
        <f>1.5+1.65*2</f>
        <v>4.8</v>
      </c>
      <c r="J466" s="42">
        <f>I466*1.8</f>
        <v>8.64</v>
      </c>
      <c r="K466" s="42"/>
      <c r="L466" s="42"/>
      <c r="M466" s="42">
        <f>SUM(K466:L466)</f>
        <v>0</v>
      </c>
      <c r="N466" s="42">
        <f>M466-2.4</f>
        <v>-2.4</v>
      </c>
    </row>
    <row r="467" spans="1:14" ht="14.25" x14ac:dyDescent="0.2">
      <c r="A467" s="266"/>
      <c r="B467" s="274" t="s">
        <v>462</v>
      </c>
      <c r="C467" s="268" t="s">
        <v>489</v>
      </c>
      <c r="D467" s="269">
        <v>2.1</v>
      </c>
      <c r="E467" s="222"/>
      <c r="F467" s="223"/>
      <c r="G467" s="224">
        <f>(D467*E467)+(D467*F467)</f>
        <v>0</v>
      </c>
      <c r="I467" s="42">
        <f>1.5*1.4</f>
        <v>2.0999999999999996</v>
      </c>
      <c r="J467" s="42"/>
      <c r="K467" s="42"/>
      <c r="L467" s="42"/>
      <c r="M467" s="42"/>
      <c r="N467" s="42"/>
    </row>
    <row r="468" spans="1:14" ht="12.75" x14ac:dyDescent="0.2">
      <c r="A468" s="266" t="s">
        <v>234</v>
      </c>
      <c r="B468" s="279" t="s">
        <v>229</v>
      </c>
      <c r="C468" s="268"/>
      <c r="D468" s="269"/>
      <c r="E468" s="222"/>
      <c r="F468" s="223"/>
      <c r="G468" s="224"/>
      <c r="I468" s="46"/>
      <c r="J468" s="47"/>
      <c r="K468" s="48"/>
      <c r="L468" s="48"/>
    </row>
    <row r="469" spans="1:14" ht="12.75" x14ac:dyDescent="0.2">
      <c r="A469" s="266" t="s">
        <v>164</v>
      </c>
      <c r="B469" s="274" t="s">
        <v>249</v>
      </c>
      <c r="C469" s="268" t="s">
        <v>123</v>
      </c>
      <c r="D469" s="269">
        <v>245.3</v>
      </c>
      <c r="E469" s="222"/>
      <c r="F469" s="223"/>
      <c r="G469" s="224">
        <f>(D469*E469)+(D469*F469)</f>
        <v>0</v>
      </c>
      <c r="I469" s="28">
        <f>8.3*12+6.2*5*2+3*2+38.6+2.45+2.75+1.5*2+38.6+1.8*2</f>
        <v>256.60000000000002</v>
      </c>
      <c r="J469" s="28">
        <f>0.55*6</f>
        <v>3.3000000000000003</v>
      </c>
      <c r="K469" s="28">
        <f>I469-J469</f>
        <v>253.3</v>
      </c>
    </row>
    <row r="470" spans="1:14" ht="12.75" x14ac:dyDescent="0.2">
      <c r="A470" s="266"/>
      <c r="B470" s="274"/>
      <c r="C470" s="268"/>
      <c r="D470" s="269"/>
      <c r="E470" s="222"/>
      <c r="F470" s="223"/>
      <c r="G470" s="224"/>
    </row>
    <row r="471" spans="1:14" x14ac:dyDescent="0.2">
      <c r="A471" s="287" t="s">
        <v>167</v>
      </c>
      <c r="B471" s="288" t="s">
        <v>205</v>
      </c>
      <c r="C471" s="170"/>
      <c r="D471" s="161"/>
      <c r="E471" s="162"/>
      <c r="F471" s="289"/>
      <c r="G471" s="290"/>
    </row>
    <row r="472" spans="1:14" ht="36" x14ac:dyDescent="0.2">
      <c r="A472" s="291"/>
      <c r="B472" s="292" t="s">
        <v>491</v>
      </c>
      <c r="C472" s="293"/>
      <c r="D472" s="99"/>
      <c r="E472" s="222"/>
      <c r="F472" s="223"/>
      <c r="G472" s="224"/>
    </row>
    <row r="473" spans="1:14" ht="13.5" x14ac:dyDescent="0.2">
      <c r="A473" s="291"/>
      <c r="B473" s="292" t="s">
        <v>422</v>
      </c>
      <c r="C473" s="220" t="s">
        <v>485</v>
      </c>
      <c r="D473" s="99">
        <f>D462+D442</f>
        <v>9</v>
      </c>
      <c r="E473" s="222"/>
      <c r="F473" s="223"/>
      <c r="G473" s="224">
        <f>(D473*E473)+(D473*F473)</f>
        <v>0</v>
      </c>
      <c r="I473" s="42">
        <f>D473/2.5</f>
        <v>3.6</v>
      </c>
      <c r="J473" s="42">
        <f>I473*800</f>
        <v>2880</v>
      </c>
      <c r="K473" s="42">
        <f>J473/D473</f>
        <v>320</v>
      </c>
    </row>
    <row r="474" spans="1:14" ht="13.5" x14ac:dyDescent="0.2">
      <c r="A474" s="291"/>
      <c r="B474" s="292" t="s">
        <v>458</v>
      </c>
      <c r="C474" s="220" t="s">
        <v>485</v>
      </c>
      <c r="D474" s="99">
        <f>D437+D460</f>
        <v>178.8</v>
      </c>
      <c r="E474" s="222"/>
      <c r="F474" s="223"/>
      <c r="G474" s="224">
        <f>(D474*E474)+(D474*F474)</f>
        <v>0</v>
      </c>
      <c r="I474" s="39"/>
      <c r="L474" s="39"/>
    </row>
    <row r="475" spans="1:14" x14ac:dyDescent="0.2">
      <c r="A475" s="291"/>
      <c r="B475" s="292"/>
      <c r="C475" s="220"/>
      <c r="D475" s="99"/>
      <c r="E475" s="222"/>
      <c r="F475" s="223"/>
      <c r="G475" s="224"/>
    </row>
    <row r="476" spans="1:14" x14ac:dyDescent="0.2">
      <c r="A476" s="287" t="s">
        <v>168</v>
      </c>
      <c r="B476" s="288" t="s">
        <v>213</v>
      </c>
      <c r="C476" s="170"/>
      <c r="D476" s="161"/>
      <c r="E476" s="162"/>
      <c r="F476" s="289"/>
      <c r="G476" s="290"/>
    </row>
    <row r="477" spans="1:14" ht="24" x14ac:dyDescent="0.2">
      <c r="A477" s="294" t="s">
        <v>164</v>
      </c>
      <c r="B477" s="292" t="s">
        <v>423</v>
      </c>
      <c r="C477" s="220" t="s">
        <v>15</v>
      </c>
      <c r="D477" s="99">
        <v>1</v>
      </c>
      <c r="E477" s="222"/>
      <c r="F477" s="223"/>
      <c r="G477" s="224">
        <f>(D477*E477)+(D477*F477)</f>
        <v>0</v>
      </c>
      <c r="J477" s="42"/>
      <c r="K477" s="42"/>
      <c r="L477" s="42"/>
      <c r="M477" s="42"/>
    </row>
    <row r="478" spans="1:14" x14ac:dyDescent="0.2">
      <c r="A478" s="291"/>
      <c r="B478" s="292"/>
      <c r="C478" s="220"/>
      <c r="D478" s="99"/>
      <c r="E478" s="222"/>
      <c r="F478" s="223"/>
      <c r="G478" s="224"/>
    </row>
    <row r="479" spans="1:14" x14ac:dyDescent="0.2">
      <c r="A479" s="291"/>
      <c r="B479" s="292"/>
      <c r="C479" s="220"/>
      <c r="D479" s="99"/>
      <c r="E479" s="222"/>
      <c r="F479" s="223"/>
      <c r="G479" s="224"/>
    </row>
    <row r="480" spans="1:14" x14ac:dyDescent="0.2">
      <c r="A480" s="291"/>
      <c r="B480" s="292"/>
      <c r="C480" s="220"/>
      <c r="D480" s="99"/>
      <c r="E480" s="222"/>
      <c r="F480" s="223"/>
      <c r="G480" s="224"/>
    </row>
    <row r="481" spans="1:7" x14ac:dyDescent="0.2">
      <c r="A481" s="291"/>
      <c r="B481" s="292"/>
      <c r="C481" s="220"/>
      <c r="D481" s="99"/>
      <c r="E481" s="222"/>
      <c r="F481" s="223"/>
      <c r="G481" s="224"/>
    </row>
    <row r="482" spans="1:7" x14ac:dyDescent="0.2">
      <c r="A482" s="291"/>
      <c r="B482" s="292"/>
      <c r="C482" s="220"/>
      <c r="D482" s="99"/>
      <c r="E482" s="222"/>
      <c r="F482" s="223"/>
      <c r="G482" s="224"/>
    </row>
    <row r="483" spans="1:7" x14ac:dyDescent="0.2">
      <c r="A483" s="291"/>
      <c r="B483" s="292"/>
      <c r="C483" s="220"/>
      <c r="D483" s="99"/>
      <c r="E483" s="222"/>
      <c r="F483" s="223"/>
      <c r="G483" s="224"/>
    </row>
    <row r="484" spans="1:7" x14ac:dyDescent="0.2">
      <c r="A484" s="291"/>
      <c r="B484" s="292"/>
      <c r="C484" s="220"/>
      <c r="D484" s="99"/>
      <c r="E484" s="222"/>
      <c r="F484" s="223"/>
      <c r="G484" s="224"/>
    </row>
    <row r="485" spans="1:7" ht="12" customHeight="1" x14ac:dyDescent="0.2">
      <c r="A485" s="291"/>
      <c r="B485" s="292"/>
      <c r="C485" s="220"/>
      <c r="D485" s="99"/>
      <c r="E485" s="222"/>
      <c r="F485" s="223"/>
      <c r="G485" s="224"/>
    </row>
    <row r="486" spans="1:7" ht="12" customHeight="1" x14ac:dyDescent="0.2">
      <c r="A486" s="291"/>
      <c r="B486" s="292"/>
      <c r="C486" s="220"/>
      <c r="D486" s="99"/>
      <c r="E486" s="222"/>
      <c r="F486" s="223"/>
      <c r="G486" s="224"/>
    </row>
    <row r="487" spans="1:7" ht="12" customHeight="1" x14ac:dyDescent="0.2">
      <c r="A487" s="291"/>
      <c r="B487" s="292"/>
      <c r="C487" s="220"/>
      <c r="D487" s="99"/>
      <c r="E487" s="222"/>
      <c r="F487" s="223"/>
      <c r="G487" s="224"/>
    </row>
    <row r="488" spans="1:7" ht="12" customHeight="1" x14ac:dyDescent="0.2">
      <c r="A488" s="291"/>
      <c r="B488" s="292"/>
      <c r="C488" s="220"/>
      <c r="D488" s="99"/>
      <c r="E488" s="222"/>
      <c r="F488" s="223"/>
      <c r="G488" s="224"/>
    </row>
    <row r="489" spans="1:7" ht="12" customHeight="1" x14ac:dyDescent="0.2">
      <c r="A489" s="291"/>
      <c r="B489" s="292"/>
      <c r="C489" s="220"/>
      <c r="D489" s="99"/>
      <c r="E489" s="222"/>
      <c r="F489" s="223"/>
      <c r="G489" s="224"/>
    </row>
    <row r="490" spans="1:7" ht="12" customHeight="1" thickBot="1" x14ac:dyDescent="0.25">
      <c r="A490" s="291"/>
      <c r="B490" s="292"/>
      <c r="C490" s="220"/>
      <c r="D490" s="99"/>
      <c r="E490" s="222"/>
      <c r="F490" s="223"/>
      <c r="G490" s="224"/>
    </row>
    <row r="491" spans="1:7" ht="12" customHeight="1" x14ac:dyDescent="0.2">
      <c r="A491" s="78"/>
      <c r="B491" s="111" t="s">
        <v>145</v>
      </c>
      <c r="C491" s="154"/>
      <c r="D491" s="113"/>
      <c r="E491" s="82"/>
      <c r="F491" s="240"/>
      <c r="G491" s="231"/>
    </row>
    <row r="492" spans="1:7" ht="12" customHeight="1" thickBot="1" x14ac:dyDescent="0.25">
      <c r="A492" s="115"/>
      <c r="B492" s="116" t="s">
        <v>146</v>
      </c>
      <c r="C492" s="155"/>
      <c r="D492" s="118"/>
      <c r="E492" s="119"/>
      <c r="F492" s="192"/>
      <c r="G492" s="241">
        <f>SUM(G410:G491)</f>
        <v>0</v>
      </c>
    </row>
    <row r="493" spans="1:7" x14ac:dyDescent="0.2">
      <c r="A493" s="85"/>
      <c r="B493" s="436"/>
      <c r="C493" s="437"/>
      <c r="D493" s="438"/>
      <c r="E493" s="439"/>
      <c r="F493" s="101"/>
      <c r="G493" s="184"/>
    </row>
    <row r="494" spans="1:7" x14ac:dyDescent="0.2">
      <c r="A494" s="85"/>
      <c r="B494" s="440" t="s">
        <v>189</v>
      </c>
      <c r="C494" s="441"/>
      <c r="D494" s="54"/>
      <c r="E494" s="442"/>
      <c r="F494" s="101"/>
      <c r="G494" s="102"/>
    </row>
    <row r="495" spans="1:7" x14ac:dyDescent="0.2">
      <c r="A495" s="85"/>
      <c r="B495" s="443" t="s">
        <v>108</v>
      </c>
      <c r="C495" s="441"/>
      <c r="D495" s="54"/>
      <c r="E495" s="442"/>
      <c r="F495" s="101"/>
      <c r="G495" s="102"/>
    </row>
    <row r="496" spans="1:7" x14ac:dyDescent="0.2">
      <c r="A496" s="243" t="s">
        <v>169</v>
      </c>
      <c r="B496" s="444" t="s">
        <v>41</v>
      </c>
      <c r="C496" s="441"/>
      <c r="D496" s="54"/>
      <c r="E496" s="442"/>
      <c r="F496" s="101"/>
      <c r="G496" s="102"/>
    </row>
    <row r="497" spans="1:19" ht="27.75" customHeight="1" x14ac:dyDescent="0.2">
      <c r="A497" s="85"/>
      <c r="B497" s="468" t="s">
        <v>265</v>
      </c>
      <c r="C497" s="468"/>
      <c r="D497" s="468"/>
      <c r="E497" s="468"/>
      <c r="F497" s="244"/>
      <c r="G497" s="245"/>
    </row>
    <row r="498" spans="1:19" ht="42" customHeight="1" x14ac:dyDescent="0.2">
      <c r="A498" s="85"/>
      <c r="B498" s="468" t="s">
        <v>264</v>
      </c>
      <c r="C498" s="468"/>
      <c r="D498" s="468"/>
      <c r="E498" s="468"/>
      <c r="F498" s="244"/>
      <c r="G498" s="245"/>
    </row>
    <row r="499" spans="1:19" ht="30.75" customHeight="1" x14ac:dyDescent="0.2">
      <c r="A499" s="85"/>
      <c r="B499" s="468" t="s">
        <v>463</v>
      </c>
      <c r="C499" s="468"/>
      <c r="D499" s="468"/>
      <c r="E499" s="468"/>
      <c r="F499" s="244"/>
      <c r="G499" s="245"/>
    </row>
    <row r="500" spans="1:19" ht="28.5" customHeight="1" x14ac:dyDescent="0.2">
      <c r="A500" s="85"/>
      <c r="B500" s="468" t="s">
        <v>263</v>
      </c>
      <c r="C500" s="468"/>
      <c r="D500" s="468"/>
      <c r="E500" s="468"/>
      <c r="F500" s="244"/>
      <c r="G500" s="245"/>
    </row>
    <row r="501" spans="1:19" ht="27.75" customHeight="1" x14ac:dyDescent="0.2">
      <c r="A501" s="295"/>
      <c r="B501" s="466" t="s">
        <v>211</v>
      </c>
      <c r="C501" s="466"/>
      <c r="D501" s="466"/>
      <c r="E501" s="466"/>
      <c r="F501" s="296"/>
      <c r="G501" s="297"/>
    </row>
    <row r="502" spans="1:19" ht="14.25" customHeight="1" x14ac:dyDescent="0.2">
      <c r="A502" s="85"/>
      <c r="B502" s="298"/>
      <c r="C502" s="298"/>
      <c r="D502" s="298"/>
      <c r="E502" s="298"/>
      <c r="F502" s="299"/>
      <c r="G502" s="300"/>
    </row>
    <row r="503" spans="1:19" x14ac:dyDescent="0.2">
      <c r="A503" s="301" t="s">
        <v>149</v>
      </c>
      <c r="B503" s="302" t="s">
        <v>110</v>
      </c>
      <c r="C503" s="303"/>
      <c r="D503" s="304"/>
      <c r="E503" s="278"/>
      <c r="F503" s="210"/>
      <c r="G503" s="211"/>
    </row>
    <row r="504" spans="1:19" x14ac:dyDescent="0.2">
      <c r="A504" s="305"/>
      <c r="B504" s="306" t="s">
        <v>395</v>
      </c>
      <c r="C504" s="307"/>
      <c r="D504" s="308"/>
      <c r="E504" s="309"/>
      <c r="F504" s="310"/>
      <c r="G504" s="311"/>
    </row>
    <row r="505" spans="1:19" ht="36" x14ac:dyDescent="0.2">
      <c r="A505" s="106" t="s">
        <v>164</v>
      </c>
      <c r="B505" s="312" t="s">
        <v>492</v>
      </c>
      <c r="C505" s="313" t="s">
        <v>111</v>
      </c>
      <c r="D505" s="99">
        <v>10</v>
      </c>
      <c r="E505" s="89"/>
      <c r="F505" s="145"/>
      <c r="G505" s="146">
        <f>(D505*E505)+(D505*F505)</f>
        <v>0</v>
      </c>
      <c r="H505" s="45"/>
      <c r="I505" s="57">
        <f>0.95*2.83</f>
        <v>2.6884999999999999</v>
      </c>
      <c r="J505" s="58">
        <f>I505*D505</f>
        <v>26.884999999999998</v>
      </c>
      <c r="K505" s="57">
        <f>J505+J509+J510+J511</f>
        <v>100.94499999999999</v>
      </c>
      <c r="L505" s="45"/>
      <c r="M505" s="45"/>
      <c r="N505" s="45"/>
      <c r="O505" s="45"/>
      <c r="P505" s="45"/>
      <c r="Q505" s="45"/>
      <c r="R505" s="45"/>
      <c r="S505" s="45"/>
    </row>
    <row r="506" spans="1:19" ht="24" x14ac:dyDescent="0.2">
      <c r="A506" s="106" t="s">
        <v>165</v>
      </c>
      <c r="B506" s="312" t="s">
        <v>424</v>
      </c>
      <c r="C506" s="313" t="s">
        <v>111</v>
      </c>
      <c r="D506" s="99">
        <v>1</v>
      </c>
      <c r="E506" s="89"/>
      <c r="F506" s="145"/>
      <c r="G506" s="146">
        <f>(D506*E506)+(D506*F506)</f>
        <v>0</v>
      </c>
      <c r="H506" s="45"/>
      <c r="I506" s="57">
        <f>0.95*2.15</f>
        <v>2.0425</v>
      </c>
      <c r="J506" s="58">
        <f>I506*D506</f>
        <v>2.0425</v>
      </c>
      <c r="K506" s="57"/>
      <c r="L506" s="45"/>
      <c r="M506" s="45"/>
      <c r="N506" s="45"/>
      <c r="O506" s="45"/>
      <c r="P506" s="45"/>
      <c r="Q506" s="45"/>
      <c r="R506" s="45"/>
      <c r="S506" s="45"/>
    </row>
    <row r="507" spans="1:19" ht="24" x14ac:dyDescent="0.2">
      <c r="A507" s="106" t="s">
        <v>176</v>
      </c>
      <c r="B507" s="312" t="s">
        <v>425</v>
      </c>
      <c r="C507" s="313" t="s">
        <v>111</v>
      </c>
      <c r="D507" s="99">
        <v>4</v>
      </c>
      <c r="E507" s="89"/>
      <c r="F507" s="145"/>
      <c r="G507" s="146">
        <f>(D507*E507)+(D507*F507)</f>
        <v>0</v>
      </c>
      <c r="H507" s="45"/>
      <c r="I507" s="58">
        <f>0.78*2</f>
        <v>1.56</v>
      </c>
      <c r="J507" s="58">
        <f>I507*D507</f>
        <v>6.24</v>
      </c>
      <c r="K507" s="57"/>
      <c r="L507" s="45"/>
      <c r="M507" s="45"/>
      <c r="N507" s="45"/>
      <c r="O507" s="45"/>
      <c r="P507" s="45"/>
      <c r="Q507" s="45"/>
      <c r="R507" s="45"/>
      <c r="S507" s="45"/>
    </row>
    <row r="508" spans="1:19" x14ac:dyDescent="0.2">
      <c r="A508" s="305"/>
      <c r="B508" s="306" t="s">
        <v>394</v>
      </c>
      <c r="C508" s="307"/>
      <c r="D508" s="308"/>
      <c r="E508" s="309"/>
      <c r="F508" s="310"/>
      <c r="G508" s="311"/>
      <c r="I508" s="39"/>
      <c r="J508" s="58"/>
      <c r="K508" s="42"/>
      <c r="L508" s="42">
        <f>J507+I506</f>
        <v>8.2825000000000006</v>
      </c>
    </row>
    <row r="509" spans="1:19" ht="48.75" customHeight="1" x14ac:dyDescent="0.2">
      <c r="A509" s="106" t="s">
        <v>164</v>
      </c>
      <c r="B509" s="312" t="s">
        <v>426</v>
      </c>
      <c r="C509" s="313" t="s">
        <v>111</v>
      </c>
      <c r="D509" s="99">
        <v>10</v>
      </c>
      <c r="E509" s="89"/>
      <c r="F509" s="145"/>
      <c r="G509" s="146">
        <f>(D509*E509)+(D509*F509)</f>
        <v>0</v>
      </c>
      <c r="I509" s="39">
        <f>2.45*1.69</f>
        <v>4.1405000000000003</v>
      </c>
      <c r="J509" s="58">
        <f>I509*D509</f>
        <v>41.405000000000001</v>
      </c>
      <c r="K509" s="42"/>
    </row>
    <row r="510" spans="1:19" ht="37.5" customHeight="1" x14ac:dyDescent="0.2">
      <c r="A510" s="106" t="s">
        <v>165</v>
      </c>
      <c r="B510" s="312" t="s">
        <v>493</v>
      </c>
      <c r="C510" s="313" t="s">
        <v>111</v>
      </c>
      <c r="D510" s="99">
        <v>10</v>
      </c>
      <c r="E510" s="89"/>
      <c r="F510" s="145"/>
      <c r="G510" s="146">
        <f>(D510*E510)+(D510*F510)</f>
        <v>0</v>
      </c>
      <c r="I510" s="39">
        <f>1.575*2</f>
        <v>3.15</v>
      </c>
      <c r="J510" s="58">
        <f>I510*D510</f>
        <v>31.5</v>
      </c>
      <c r="K510" s="42"/>
    </row>
    <row r="511" spans="1:19" ht="28.5" customHeight="1" x14ac:dyDescent="0.2">
      <c r="A511" s="106" t="s">
        <v>176</v>
      </c>
      <c r="B511" s="312" t="s">
        <v>427</v>
      </c>
      <c r="C511" s="313" t="s">
        <v>111</v>
      </c>
      <c r="D511" s="99">
        <v>3</v>
      </c>
      <c r="E511" s="89"/>
      <c r="F511" s="145"/>
      <c r="G511" s="146">
        <f>(D511*E511)+(D511*F511)</f>
        <v>0</v>
      </c>
      <c r="I511" s="39">
        <f>0.7*0.55</f>
        <v>0.38500000000000001</v>
      </c>
      <c r="J511" s="58">
        <f>I511*D511</f>
        <v>1.155</v>
      </c>
      <c r="K511" s="42"/>
    </row>
    <row r="512" spans="1:19" x14ac:dyDescent="0.2">
      <c r="A512" s="305"/>
      <c r="B512" s="306" t="s">
        <v>393</v>
      </c>
      <c r="C512" s="307"/>
      <c r="D512" s="308"/>
      <c r="E512" s="309"/>
      <c r="F512" s="310"/>
      <c r="G512" s="311"/>
      <c r="I512" s="39"/>
      <c r="J512" s="58">
        <f>SUM(J505:J511)</f>
        <v>109.22749999999999</v>
      </c>
      <c r="K512" s="42">
        <f>J512-J507</f>
        <v>102.9875</v>
      </c>
      <c r="L512" s="42">
        <f>K512-J506</f>
        <v>100.94499999999999</v>
      </c>
    </row>
    <row r="513" spans="1:12" ht="27" customHeight="1" x14ac:dyDescent="0.2">
      <c r="A513" s="106" t="s">
        <v>164</v>
      </c>
      <c r="B513" s="312" t="s">
        <v>428</v>
      </c>
      <c r="C513" s="313" t="s">
        <v>111</v>
      </c>
      <c r="D513" s="99">
        <v>12</v>
      </c>
      <c r="E513" s="89"/>
      <c r="F513" s="145"/>
      <c r="G513" s="146">
        <f>(D513*E513)+(D513*F513)</f>
        <v>0</v>
      </c>
      <c r="I513" s="39"/>
      <c r="J513" s="58"/>
      <c r="K513" s="42"/>
    </row>
    <row r="514" spans="1:12" ht="25.5" customHeight="1" x14ac:dyDescent="0.2">
      <c r="A514" s="106" t="s">
        <v>165</v>
      </c>
      <c r="B514" s="312" t="s">
        <v>429</v>
      </c>
      <c r="C514" s="313" t="s">
        <v>111</v>
      </c>
      <c r="D514" s="99">
        <v>2</v>
      </c>
      <c r="E514" s="89"/>
      <c r="F514" s="145"/>
      <c r="G514" s="146">
        <f>(D514*E514)+(D514*F514)</f>
        <v>0</v>
      </c>
      <c r="I514" s="39"/>
      <c r="J514" s="58"/>
      <c r="K514" s="42"/>
    </row>
    <row r="515" spans="1:12" ht="12" customHeight="1" x14ac:dyDescent="0.2">
      <c r="A515" s="106"/>
      <c r="B515" s="312"/>
      <c r="C515" s="313"/>
      <c r="D515" s="99"/>
      <c r="E515" s="89"/>
      <c r="F515" s="145"/>
      <c r="G515" s="146"/>
      <c r="I515" s="39"/>
      <c r="J515" s="58"/>
      <c r="K515" s="42"/>
    </row>
    <row r="516" spans="1:12" x14ac:dyDescent="0.2">
      <c r="A516" s="301" t="s">
        <v>150</v>
      </c>
      <c r="B516" s="302" t="s">
        <v>67</v>
      </c>
      <c r="C516" s="303"/>
      <c r="D516" s="304"/>
      <c r="E516" s="278"/>
      <c r="F516" s="210"/>
      <c r="G516" s="211"/>
      <c r="J516" s="39"/>
      <c r="K516" s="39"/>
    </row>
    <row r="517" spans="1:12" x14ac:dyDescent="0.2">
      <c r="A517" s="305"/>
      <c r="B517" s="306" t="s">
        <v>395</v>
      </c>
      <c r="C517" s="307"/>
      <c r="D517" s="308"/>
      <c r="E517" s="309"/>
      <c r="F517" s="310"/>
      <c r="G517" s="311"/>
      <c r="K517" s="39"/>
    </row>
    <row r="518" spans="1:12" ht="37.5" customHeight="1" x14ac:dyDescent="0.2">
      <c r="A518" s="106" t="s">
        <v>164</v>
      </c>
      <c r="B518" s="312" t="s">
        <v>492</v>
      </c>
      <c r="C518" s="313" t="s">
        <v>111</v>
      </c>
      <c r="D518" s="99">
        <v>11</v>
      </c>
      <c r="E518" s="89"/>
      <c r="F518" s="145"/>
      <c r="G518" s="146">
        <f>(D518*E518)+(D518*F518)</f>
        <v>0</v>
      </c>
      <c r="H518" s="45"/>
      <c r="I518" s="57">
        <f>0.95*2.83</f>
        <v>2.6884999999999999</v>
      </c>
      <c r="J518" s="58">
        <f t="shared" ref="J518:J525" si="20">I518*D518</f>
        <v>29.573499999999999</v>
      </c>
      <c r="K518" s="57">
        <f>J518+J522+J523+J525</f>
        <v>63.169099999999993</v>
      </c>
      <c r="L518" s="45"/>
    </row>
    <row r="519" spans="1:12" ht="27.75" customHeight="1" x14ac:dyDescent="0.2">
      <c r="A519" s="106" t="s">
        <v>165</v>
      </c>
      <c r="B519" s="312" t="s">
        <v>425</v>
      </c>
      <c r="C519" s="313" t="s">
        <v>111</v>
      </c>
      <c r="D519" s="99">
        <v>4</v>
      </c>
      <c r="E519" s="89"/>
      <c r="F519" s="145"/>
      <c r="G519" s="146">
        <f>(D519*E519)+(D519*F519)</f>
        <v>0</v>
      </c>
      <c r="I519" s="58">
        <f>0.78*2</f>
        <v>1.56</v>
      </c>
      <c r="J519" s="58">
        <f t="shared" si="20"/>
        <v>6.24</v>
      </c>
      <c r="K519" s="57"/>
      <c r="L519" s="45"/>
    </row>
    <row r="520" spans="1:12" x14ac:dyDescent="0.2">
      <c r="A520" s="305"/>
      <c r="B520" s="306" t="s">
        <v>394</v>
      </c>
      <c r="C520" s="307"/>
      <c r="D520" s="308"/>
      <c r="E520" s="309"/>
      <c r="F520" s="310"/>
      <c r="G520" s="311"/>
      <c r="I520" s="58"/>
      <c r="J520" s="58">
        <f t="shared" si="20"/>
        <v>0</v>
      </c>
      <c r="K520" s="57"/>
      <c r="L520" s="45"/>
    </row>
    <row r="521" spans="1:12" ht="38.25" customHeight="1" x14ac:dyDescent="0.2">
      <c r="A521" s="106" t="s">
        <v>164</v>
      </c>
      <c r="B521" s="312" t="s">
        <v>426</v>
      </c>
      <c r="C521" s="313" t="s">
        <v>111</v>
      </c>
      <c r="D521" s="99">
        <v>10</v>
      </c>
      <c r="E521" s="89"/>
      <c r="F521" s="145"/>
      <c r="G521" s="146">
        <f>(D521*E521)+(D521*F521)</f>
        <v>0</v>
      </c>
      <c r="I521" s="39">
        <f>2.45*1.69</f>
        <v>4.1405000000000003</v>
      </c>
      <c r="J521" s="58">
        <f>I521*D521</f>
        <v>41.405000000000001</v>
      </c>
      <c r="K521" s="42"/>
      <c r="L521" s="42">
        <f>J520+I519</f>
        <v>1.56</v>
      </c>
    </row>
    <row r="522" spans="1:12" ht="38.25" customHeight="1" thickBot="1" x14ac:dyDescent="0.25">
      <c r="A522" s="314" t="s">
        <v>165</v>
      </c>
      <c r="B522" s="315" t="s">
        <v>493</v>
      </c>
      <c r="C522" s="316" t="s">
        <v>111</v>
      </c>
      <c r="D522" s="118">
        <v>10</v>
      </c>
      <c r="E522" s="119"/>
      <c r="F522" s="317"/>
      <c r="G522" s="318">
        <f>(D522*E522)+(D522*F522)</f>
        <v>0</v>
      </c>
      <c r="I522" s="39">
        <f>1.575*2</f>
        <v>3.15</v>
      </c>
      <c r="J522" s="58">
        <f t="shared" si="20"/>
        <v>31.5</v>
      </c>
      <c r="K522" s="42"/>
    </row>
    <row r="523" spans="1:12" ht="36" x14ac:dyDescent="0.2">
      <c r="A523" s="445" t="s">
        <v>176</v>
      </c>
      <c r="B523" s="446" t="s">
        <v>494</v>
      </c>
      <c r="C523" s="447" t="s">
        <v>111</v>
      </c>
      <c r="D523" s="113">
        <v>1</v>
      </c>
      <c r="E523" s="82"/>
      <c r="F523" s="448"/>
      <c r="G523" s="449">
        <f>(D523*E523)+(D523*F523)</f>
        <v>0</v>
      </c>
      <c r="I523" s="39">
        <f>1.24*1.69</f>
        <v>2.0956000000000001</v>
      </c>
      <c r="J523" s="58">
        <f>I523*D523</f>
        <v>2.0956000000000001</v>
      </c>
      <c r="K523" s="42"/>
    </row>
    <row r="524" spans="1:12" ht="27" customHeight="1" x14ac:dyDescent="0.2">
      <c r="A524" s="106" t="s">
        <v>177</v>
      </c>
      <c r="B524" s="312" t="s">
        <v>427</v>
      </c>
      <c r="C524" s="313" t="s">
        <v>111</v>
      </c>
      <c r="D524" s="99">
        <v>1</v>
      </c>
      <c r="E524" s="89"/>
      <c r="F524" s="145"/>
      <c r="G524" s="146">
        <f>(D524*E524)+(D524*F524)</f>
        <v>0</v>
      </c>
      <c r="I524" s="39">
        <f>0.7*0.55</f>
        <v>0.38500000000000001</v>
      </c>
      <c r="J524" s="58">
        <f>I524*D524</f>
        <v>0.38500000000000001</v>
      </c>
      <c r="K524" s="42"/>
    </row>
    <row r="525" spans="1:12" x14ac:dyDescent="0.2">
      <c r="A525" s="305"/>
      <c r="B525" s="306" t="s">
        <v>393</v>
      </c>
      <c r="C525" s="307"/>
      <c r="D525" s="308"/>
      <c r="E525" s="309"/>
      <c r="F525" s="310"/>
      <c r="G525" s="311"/>
      <c r="I525" s="39"/>
      <c r="J525" s="58">
        <f t="shared" si="20"/>
        <v>0</v>
      </c>
      <c r="K525" s="42"/>
    </row>
    <row r="526" spans="1:12" ht="29.25" customHeight="1" x14ac:dyDescent="0.2">
      <c r="A526" s="106" t="s">
        <v>164</v>
      </c>
      <c r="B526" s="312" t="s">
        <v>428</v>
      </c>
      <c r="C526" s="313" t="s">
        <v>111</v>
      </c>
      <c r="D526" s="99">
        <v>12</v>
      </c>
      <c r="E526" s="89"/>
      <c r="F526" s="145"/>
      <c r="G526" s="146">
        <f>(D526*E526)+(D526*F526)</f>
        <v>0</v>
      </c>
      <c r="I526" s="39"/>
      <c r="J526" s="58">
        <f>SUM(J518:J525)</f>
        <v>111.19910000000002</v>
      </c>
      <c r="K526" s="42">
        <f>J526-J519</f>
        <v>104.95910000000002</v>
      </c>
      <c r="L526" s="42"/>
    </row>
    <row r="527" spans="1:12" ht="27" customHeight="1" x14ac:dyDescent="0.2">
      <c r="A527" s="106" t="s">
        <v>165</v>
      </c>
      <c r="B527" s="312" t="s">
        <v>429</v>
      </c>
      <c r="C527" s="313" t="s">
        <v>111</v>
      </c>
      <c r="D527" s="99">
        <v>2</v>
      </c>
      <c r="E527" s="89"/>
      <c r="F527" s="145"/>
      <c r="G527" s="146">
        <f>(D527*E527)+(D527*F527)</f>
        <v>0</v>
      </c>
      <c r="I527" s="42"/>
      <c r="J527" s="39"/>
    </row>
    <row r="528" spans="1:12" ht="12" customHeight="1" x14ac:dyDescent="0.2">
      <c r="A528" s="106"/>
      <c r="B528" s="312"/>
      <c r="C528" s="187"/>
      <c r="D528" s="99"/>
      <c r="E528" s="89"/>
      <c r="F528" s="101"/>
      <c r="G528" s="102"/>
      <c r="I528" s="42"/>
      <c r="J528" s="39"/>
    </row>
    <row r="529" spans="1:10" ht="12" customHeight="1" x14ac:dyDescent="0.2">
      <c r="A529" s="106"/>
      <c r="B529" s="312"/>
      <c r="C529" s="187"/>
      <c r="D529" s="99"/>
      <c r="E529" s="89"/>
      <c r="F529" s="101"/>
      <c r="G529" s="102"/>
      <c r="I529" s="42"/>
      <c r="J529" s="39"/>
    </row>
    <row r="530" spans="1:10" ht="12" customHeight="1" thickBot="1" x14ac:dyDescent="0.25">
      <c r="A530" s="106"/>
      <c r="B530" s="312"/>
      <c r="C530" s="187"/>
      <c r="D530" s="99"/>
      <c r="E530" s="89"/>
      <c r="F530" s="101"/>
      <c r="G530" s="102"/>
      <c r="I530" s="42"/>
      <c r="J530" s="39"/>
    </row>
    <row r="531" spans="1:10" ht="12" customHeight="1" x14ac:dyDescent="0.2">
      <c r="A531" s="319"/>
      <c r="B531" s="111" t="s">
        <v>190</v>
      </c>
      <c r="C531" s="80"/>
      <c r="D531" s="81"/>
      <c r="E531" s="82"/>
      <c r="F531" s="240"/>
      <c r="G531" s="231"/>
      <c r="I531" s="42"/>
      <c r="J531" s="39"/>
    </row>
    <row r="532" spans="1:10" ht="12" customHeight="1" thickBot="1" x14ac:dyDescent="0.25">
      <c r="A532" s="320"/>
      <c r="B532" s="116" t="s">
        <v>191</v>
      </c>
      <c r="C532" s="321"/>
      <c r="D532" s="322"/>
      <c r="E532" s="119"/>
      <c r="F532" s="192"/>
      <c r="G532" s="241">
        <f>SUM(G505:G531)</f>
        <v>0</v>
      </c>
      <c r="I532" s="42"/>
      <c r="J532" s="39"/>
    </row>
    <row r="533" spans="1:10" x14ac:dyDescent="0.2">
      <c r="A533" s="243"/>
      <c r="B533" s="122"/>
      <c r="C533" s="87"/>
      <c r="D533" s="88"/>
      <c r="E533" s="89"/>
      <c r="F533" s="101"/>
      <c r="G533" s="184"/>
    </row>
    <row r="534" spans="1:10" x14ac:dyDescent="0.2">
      <c r="A534" s="85"/>
      <c r="B534" s="242" t="s">
        <v>192</v>
      </c>
      <c r="C534" s="98"/>
      <c r="D534" s="99"/>
      <c r="E534" s="89"/>
      <c r="F534" s="101"/>
      <c r="G534" s="102"/>
    </row>
    <row r="535" spans="1:10" x14ac:dyDescent="0.2">
      <c r="A535" s="85"/>
      <c r="B535" s="86" t="s">
        <v>163</v>
      </c>
      <c r="C535" s="98"/>
      <c r="D535" s="99"/>
      <c r="E535" s="89"/>
      <c r="F535" s="101"/>
      <c r="G535" s="102"/>
    </row>
    <row r="536" spans="1:10" x14ac:dyDescent="0.2">
      <c r="A536" s="243" t="s">
        <v>109</v>
      </c>
      <c r="B536" s="140" t="s">
        <v>41</v>
      </c>
      <c r="C536" s="98"/>
      <c r="D536" s="99"/>
      <c r="E536" s="89"/>
      <c r="F536" s="101"/>
      <c r="G536" s="102"/>
    </row>
    <row r="537" spans="1:10" ht="60" x14ac:dyDescent="0.2">
      <c r="A537" s="243"/>
      <c r="B537" s="323" t="s">
        <v>250</v>
      </c>
      <c r="C537" s="324"/>
      <c r="D537" s="324"/>
      <c r="E537" s="324"/>
      <c r="F537" s="324"/>
      <c r="G537" s="325"/>
    </row>
    <row r="538" spans="1:10" ht="36" x14ac:dyDescent="0.2">
      <c r="A538" s="243"/>
      <c r="B538" s="326" t="s">
        <v>115</v>
      </c>
      <c r="C538" s="326"/>
      <c r="D538" s="326"/>
      <c r="E538" s="326"/>
      <c r="F538" s="326"/>
      <c r="G538" s="327"/>
      <c r="I538" s="39"/>
    </row>
    <row r="539" spans="1:10" ht="36" x14ac:dyDescent="0.2">
      <c r="A539" s="295"/>
      <c r="B539" s="328" t="s">
        <v>235</v>
      </c>
      <c r="C539" s="328"/>
      <c r="D539" s="328"/>
      <c r="E539" s="328"/>
      <c r="F539" s="328"/>
      <c r="G539" s="329"/>
    </row>
    <row r="540" spans="1:10" x14ac:dyDescent="0.2">
      <c r="A540" s="330" t="s">
        <v>170</v>
      </c>
      <c r="B540" s="331" t="s">
        <v>90</v>
      </c>
      <c r="C540" s="332"/>
      <c r="D540" s="333"/>
      <c r="E540" s="334"/>
      <c r="F540" s="333"/>
      <c r="G540" s="335"/>
    </row>
    <row r="541" spans="1:10" x14ac:dyDescent="0.2">
      <c r="A541" s="301" t="s">
        <v>149</v>
      </c>
      <c r="B541" s="302" t="s">
        <v>327</v>
      </c>
      <c r="C541" s="336"/>
      <c r="D541" s="337"/>
      <c r="E541" s="338"/>
      <c r="F541" s="210"/>
      <c r="G541" s="211"/>
    </row>
    <row r="542" spans="1:10" ht="13.5" x14ac:dyDescent="0.2">
      <c r="A542" s="243"/>
      <c r="B542" s="339" t="s">
        <v>328</v>
      </c>
      <c r="C542" s="123" t="s">
        <v>482</v>
      </c>
      <c r="D542" s="99">
        <v>269.35000000000002</v>
      </c>
      <c r="E542" s="89"/>
      <c r="F542" s="101"/>
      <c r="G542" s="102"/>
      <c r="I542" s="42">
        <f>D419+12.05</f>
        <v>269.35000000000002</v>
      </c>
    </row>
    <row r="543" spans="1:10" x14ac:dyDescent="0.2">
      <c r="A543" s="243"/>
      <c r="B543" s="339"/>
      <c r="C543" s="123"/>
      <c r="D543" s="99"/>
      <c r="E543" s="89"/>
      <c r="F543" s="101"/>
      <c r="G543" s="102"/>
      <c r="I543" s="42"/>
    </row>
    <row r="544" spans="1:10" x14ac:dyDescent="0.2">
      <c r="A544" s="301" t="s">
        <v>150</v>
      </c>
      <c r="B544" s="302" t="s">
        <v>527</v>
      </c>
      <c r="C544" s="336"/>
      <c r="D544" s="337"/>
      <c r="E544" s="338"/>
      <c r="F544" s="210"/>
      <c r="G544" s="211"/>
      <c r="I544" s="42"/>
    </row>
    <row r="545" spans="1:9" ht="13.5" x14ac:dyDescent="0.2">
      <c r="A545" s="243"/>
      <c r="B545" s="339" t="s">
        <v>430</v>
      </c>
      <c r="C545" s="123" t="s">
        <v>482</v>
      </c>
      <c r="D545" s="99">
        <v>7</v>
      </c>
      <c r="E545" s="89"/>
      <c r="F545" s="101"/>
      <c r="G545" s="102">
        <f>(D545*E545)+(D545*F545)</f>
        <v>0</v>
      </c>
      <c r="I545" s="42">
        <f>1.5*3+1.5*1.65</f>
        <v>6.9749999999999996</v>
      </c>
    </row>
    <row r="546" spans="1:9" ht="13.5" x14ac:dyDescent="0.2">
      <c r="A546" s="243"/>
      <c r="B546" s="339" t="s">
        <v>528</v>
      </c>
      <c r="C546" s="123" t="s">
        <v>482</v>
      </c>
      <c r="D546" s="99">
        <v>94.5</v>
      </c>
      <c r="E546" s="89"/>
      <c r="F546" s="101"/>
      <c r="G546" s="102">
        <f>(D546*E546)+(D546*F546)</f>
        <v>0</v>
      </c>
      <c r="I546" s="42">
        <f>D420+D414+4.5</f>
        <v>94.48</v>
      </c>
    </row>
    <row r="547" spans="1:9" ht="13.5" x14ac:dyDescent="0.2">
      <c r="A547" s="243"/>
      <c r="B547" s="339" t="s">
        <v>329</v>
      </c>
      <c r="C547" s="123" t="s">
        <v>482</v>
      </c>
      <c r="D547" s="99">
        <v>59.9</v>
      </c>
      <c r="E547" s="89"/>
      <c r="F547" s="101"/>
      <c r="G547" s="102">
        <f>(D547*E547)+(D547*F547)</f>
        <v>0</v>
      </c>
      <c r="I547" s="28">
        <f>38.6*0.775*2</f>
        <v>59.830000000000005</v>
      </c>
    </row>
    <row r="548" spans="1:9" x14ac:dyDescent="0.2">
      <c r="A548" s="243"/>
      <c r="B548" s="339"/>
      <c r="C548" s="123"/>
      <c r="D548" s="99"/>
      <c r="E548" s="89"/>
      <c r="F548" s="101"/>
      <c r="G548" s="102"/>
    </row>
    <row r="549" spans="1:9" x14ac:dyDescent="0.2">
      <c r="A549" s="158" t="s">
        <v>347</v>
      </c>
      <c r="B549" s="340" t="s">
        <v>348</v>
      </c>
      <c r="C549" s="170"/>
      <c r="D549" s="161"/>
      <c r="E549" s="162"/>
      <c r="F549" s="161"/>
      <c r="G549" s="252"/>
    </row>
    <row r="550" spans="1:9" ht="36" x14ac:dyDescent="0.2">
      <c r="A550" s="85" t="s">
        <v>164</v>
      </c>
      <c r="B550" s="339" t="s">
        <v>349</v>
      </c>
      <c r="C550" s="123" t="s">
        <v>344</v>
      </c>
      <c r="D550" s="99">
        <v>78</v>
      </c>
      <c r="E550" s="89"/>
      <c r="F550" s="101"/>
      <c r="G550" s="102"/>
      <c r="I550" s="28">
        <f>38.6*2</f>
        <v>77.2</v>
      </c>
    </row>
    <row r="551" spans="1:9" x14ac:dyDescent="0.2">
      <c r="A551" s="243"/>
      <c r="B551" s="339"/>
      <c r="C551" s="123"/>
      <c r="D551" s="99"/>
      <c r="E551" s="89"/>
      <c r="F551" s="101"/>
      <c r="G551" s="102"/>
    </row>
    <row r="552" spans="1:9" x14ac:dyDescent="0.2">
      <c r="A552" s="243"/>
      <c r="B552" s="339"/>
      <c r="C552" s="123"/>
      <c r="D552" s="99"/>
      <c r="E552" s="89"/>
      <c r="F552" s="101"/>
      <c r="G552" s="102"/>
    </row>
    <row r="553" spans="1:9" x14ac:dyDescent="0.2">
      <c r="A553" s="243"/>
      <c r="B553" s="339"/>
      <c r="C553" s="123"/>
      <c r="D553" s="99"/>
      <c r="E553" s="89"/>
      <c r="F553" s="101"/>
      <c r="G553" s="102"/>
    </row>
    <row r="554" spans="1:9" x14ac:dyDescent="0.2">
      <c r="A554" s="243"/>
      <c r="B554" s="339"/>
      <c r="C554" s="123"/>
      <c r="D554" s="99"/>
      <c r="E554" s="89"/>
      <c r="F554" s="101"/>
      <c r="G554" s="102"/>
    </row>
    <row r="555" spans="1:9" x14ac:dyDescent="0.2">
      <c r="A555" s="243"/>
      <c r="B555" s="339"/>
      <c r="C555" s="123"/>
      <c r="D555" s="99"/>
      <c r="E555" s="89"/>
      <c r="F555" s="101"/>
      <c r="G555" s="102"/>
    </row>
    <row r="556" spans="1:9" x14ac:dyDescent="0.2">
      <c r="A556" s="243"/>
      <c r="B556" s="339"/>
      <c r="C556" s="123"/>
      <c r="D556" s="99"/>
      <c r="E556" s="89"/>
      <c r="F556" s="101"/>
      <c r="G556" s="102"/>
    </row>
    <row r="557" spans="1:9" x14ac:dyDescent="0.2">
      <c r="A557" s="243"/>
      <c r="B557" s="339"/>
      <c r="C557" s="123"/>
      <c r="D557" s="99"/>
      <c r="E557" s="89"/>
      <c r="F557" s="101"/>
      <c r="G557" s="102"/>
    </row>
    <row r="558" spans="1:9" x14ac:dyDescent="0.2">
      <c r="A558" s="243"/>
      <c r="B558" s="339"/>
      <c r="C558" s="123"/>
      <c r="D558" s="99"/>
      <c r="E558" s="89"/>
      <c r="F558" s="101"/>
      <c r="G558" s="102"/>
    </row>
    <row r="559" spans="1:9" x14ac:dyDescent="0.2">
      <c r="A559" s="243"/>
      <c r="B559" s="339"/>
      <c r="C559" s="123"/>
      <c r="D559" s="99"/>
      <c r="E559" s="89"/>
      <c r="F559" s="101"/>
      <c r="G559" s="102"/>
    </row>
    <row r="560" spans="1:9" x14ac:dyDescent="0.2">
      <c r="A560" s="243"/>
      <c r="B560" s="339"/>
      <c r="C560" s="123"/>
      <c r="D560" s="99"/>
      <c r="E560" s="89"/>
      <c r="F560" s="101"/>
      <c r="G560" s="102"/>
    </row>
    <row r="561" spans="1:7" x14ac:dyDescent="0.2">
      <c r="A561" s="243"/>
      <c r="B561" s="339"/>
      <c r="C561" s="123"/>
      <c r="D561" s="99"/>
      <c r="E561" s="89"/>
      <c r="F561" s="101"/>
      <c r="G561" s="102"/>
    </row>
    <row r="562" spans="1:7" x14ac:dyDescent="0.2">
      <c r="A562" s="243"/>
      <c r="B562" s="339"/>
      <c r="C562" s="123"/>
      <c r="D562" s="99"/>
      <c r="E562" s="89"/>
      <c r="F562" s="101"/>
      <c r="G562" s="102"/>
    </row>
    <row r="563" spans="1:7" x14ac:dyDescent="0.2">
      <c r="A563" s="243"/>
      <c r="B563" s="339"/>
      <c r="C563" s="123"/>
      <c r="D563" s="99"/>
      <c r="E563" s="89"/>
      <c r="F563" s="101"/>
      <c r="G563" s="102"/>
    </row>
    <row r="564" spans="1:7" x14ac:dyDescent="0.2">
      <c r="A564" s="243"/>
      <c r="B564" s="339"/>
      <c r="C564" s="123"/>
      <c r="D564" s="99"/>
      <c r="E564" s="89"/>
      <c r="F564" s="101"/>
      <c r="G564" s="102"/>
    </row>
    <row r="565" spans="1:7" x14ac:dyDescent="0.2">
      <c r="A565" s="243"/>
      <c r="B565" s="339"/>
      <c r="C565" s="123"/>
      <c r="D565" s="99"/>
      <c r="E565" s="89"/>
      <c r="F565" s="101"/>
      <c r="G565" s="102"/>
    </row>
    <row r="566" spans="1:7" x14ac:dyDescent="0.2">
      <c r="A566" s="243"/>
      <c r="B566" s="339"/>
      <c r="C566" s="123"/>
      <c r="D566" s="99"/>
      <c r="E566" s="89"/>
      <c r="F566" s="101"/>
      <c r="G566" s="102"/>
    </row>
    <row r="567" spans="1:7" x14ac:dyDescent="0.2">
      <c r="A567" s="243"/>
      <c r="B567" s="339"/>
      <c r="C567" s="123"/>
      <c r="D567" s="99"/>
      <c r="E567" s="89"/>
      <c r="F567" s="101"/>
      <c r="G567" s="102"/>
    </row>
    <row r="568" spans="1:7" x14ac:dyDescent="0.2">
      <c r="A568" s="243"/>
      <c r="B568" s="339"/>
      <c r="C568" s="123"/>
      <c r="D568" s="99"/>
      <c r="E568" s="89"/>
      <c r="F568" s="101"/>
      <c r="G568" s="102"/>
    </row>
    <row r="569" spans="1:7" x14ac:dyDescent="0.2">
      <c r="A569" s="243"/>
      <c r="B569" s="339"/>
      <c r="C569" s="123"/>
      <c r="D569" s="99"/>
      <c r="E569" s="89"/>
      <c r="F569" s="101"/>
      <c r="G569" s="102"/>
    </row>
    <row r="570" spans="1:7" x14ac:dyDescent="0.2">
      <c r="A570" s="243"/>
      <c r="B570" s="339"/>
      <c r="C570" s="123"/>
      <c r="D570" s="99"/>
      <c r="E570" s="89"/>
      <c r="F570" s="101"/>
      <c r="G570" s="102"/>
    </row>
    <row r="571" spans="1:7" x14ac:dyDescent="0.2">
      <c r="A571" s="243"/>
      <c r="B571" s="339"/>
      <c r="C571" s="123"/>
      <c r="D571" s="99"/>
      <c r="E571" s="89"/>
      <c r="F571" s="101"/>
      <c r="G571" s="102"/>
    </row>
    <row r="572" spans="1:7" x14ac:dyDescent="0.2">
      <c r="A572" s="243"/>
      <c r="B572" s="339"/>
      <c r="C572" s="123"/>
      <c r="D572" s="99"/>
      <c r="E572" s="89"/>
      <c r="F572" s="101"/>
      <c r="G572" s="102"/>
    </row>
    <row r="573" spans="1:7" x14ac:dyDescent="0.2">
      <c r="A573" s="243"/>
      <c r="B573" s="339"/>
      <c r="C573" s="123"/>
      <c r="D573" s="99"/>
      <c r="E573" s="89"/>
      <c r="F573" s="101"/>
      <c r="G573" s="102"/>
    </row>
    <row r="574" spans="1:7" x14ac:dyDescent="0.2">
      <c r="A574" s="243"/>
      <c r="B574" s="339"/>
      <c r="C574" s="123"/>
      <c r="D574" s="99"/>
      <c r="E574" s="89"/>
      <c r="F574" s="101"/>
      <c r="G574" s="102"/>
    </row>
    <row r="575" spans="1:7" x14ac:dyDescent="0.2">
      <c r="A575" s="243"/>
      <c r="B575" s="339"/>
      <c r="C575" s="123"/>
      <c r="D575" s="99"/>
      <c r="E575" s="89"/>
      <c r="F575" s="101"/>
      <c r="G575" s="102"/>
    </row>
    <row r="576" spans="1:7" ht="12.75" thickBot="1" x14ac:dyDescent="0.25">
      <c r="A576" s="243"/>
      <c r="B576" s="339"/>
      <c r="C576" s="123"/>
      <c r="D576" s="99"/>
      <c r="E576" s="89"/>
      <c r="F576" s="101"/>
      <c r="G576" s="102"/>
    </row>
    <row r="577" spans="1:19" x14ac:dyDescent="0.2">
      <c r="A577" s="78"/>
      <c r="B577" s="111" t="s">
        <v>193</v>
      </c>
      <c r="C577" s="154"/>
      <c r="D577" s="113"/>
      <c r="E577" s="82"/>
      <c r="F577" s="240"/>
      <c r="G577" s="231"/>
    </row>
    <row r="578" spans="1:19" ht="12" customHeight="1" thickBot="1" x14ac:dyDescent="0.25">
      <c r="A578" s="115"/>
      <c r="B578" s="116" t="s">
        <v>112</v>
      </c>
      <c r="C578" s="155"/>
      <c r="D578" s="118"/>
      <c r="E578" s="119"/>
      <c r="F578" s="192"/>
      <c r="G578" s="241">
        <f>SUM(G542:G546)</f>
        <v>0</v>
      </c>
    </row>
    <row r="579" spans="1:19" x14ac:dyDescent="0.2">
      <c r="A579" s="85"/>
      <c r="B579" s="242" t="s">
        <v>113</v>
      </c>
      <c r="C579" s="98"/>
      <c r="D579" s="99"/>
      <c r="E579" s="89"/>
      <c r="F579" s="101"/>
      <c r="G579" s="102"/>
    </row>
    <row r="580" spans="1:19" x14ac:dyDescent="0.2">
      <c r="A580" s="85"/>
      <c r="B580" s="86" t="s">
        <v>92</v>
      </c>
      <c r="C580" s="98"/>
      <c r="D580" s="99"/>
      <c r="E580" s="89"/>
      <c r="F580" s="101"/>
      <c r="G580" s="102"/>
    </row>
    <row r="581" spans="1:19" x14ac:dyDescent="0.2">
      <c r="A581" s="243" t="s">
        <v>114</v>
      </c>
      <c r="B581" s="140" t="s">
        <v>41</v>
      </c>
      <c r="C581" s="98" t="s">
        <v>58</v>
      </c>
      <c r="D581" s="99"/>
      <c r="E581" s="89"/>
      <c r="F581" s="101"/>
      <c r="G581" s="102"/>
      <c r="I581" s="59"/>
      <c r="J581" s="60">
        <v>80.599999999999994</v>
      </c>
      <c r="K581" s="60"/>
    </row>
    <row r="582" spans="1:19" ht="72" x14ac:dyDescent="0.2">
      <c r="A582" s="106"/>
      <c r="B582" s="110" t="s">
        <v>271</v>
      </c>
      <c r="C582" s="151"/>
      <c r="D582" s="151"/>
      <c r="E582" s="151"/>
      <c r="F582" s="151"/>
      <c r="G582" s="341"/>
      <c r="H582" s="61"/>
      <c r="I582" s="59"/>
      <c r="J582" s="62"/>
      <c r="K582" s="60"/>
      <c r="L582" s="61"/>
      <c r="M582" s="61"/>
      <c r="N582" s="61"/>
      <c r="O582" s="61"/>
      <c r="P582" s="61"/>
      <c r="Q582" s="61"/>
      <c r="R582" s="61"/>
      <c r="S582" s="61"/>
    </row>
    <row r="583" spans="1:19" ht="24" x14ac:dyDescent="0.2">
      <c r="A583" s="106"/>
      <c r="B583" s="110" t="s">
        <v>270</v>
      </c>
      <c r="C583" s="151"/>
      <c r="D583" s="151"/>
      <c r="E583" s="151"/>
      <c r="F583" s="151"/>
      <c r="G583" s="341"/>
      <c r="H583" s="61"/>
      <c r="I583" s="59"/>
      <c r="J583" s="60">
        <v>168.85</v>
      </c>
      <c r="K583" s="60"/>
      <c r="L583" s="61"/>
      <c r="M583" s="61"/>
      <c r="N583" s="61"/>
      <c r="O583" s="61"/>
      <c r="P583" s="61"/>
      <c r="Q583" s="61"/>
      <c r="R583" s="61"/>
      <c r="S583" s="61"/>
    </row>
    <row r="584" spans="1:19" ht="48" x14ac:dyDescent="0.2">
      <c r="A584" s="106"/>
      <c r="B584" s="110" t="s">
        <v>495</v>
      </c>
      <c r="C584" s="151"/>
      <c r="D584" s="151"/>
      <c r="E584" s="151"/>
      <c r="F584" s="151"/>
      <c r="G584" s="341"/>
      <c r="H584" s="61"/>
      <c r="I584" s="59"/>
      <c r="J584" s="62"/>
      <c r="K584" s="60"/>
      <c r="L584" s="61"/>
      <c r="M584" s="61"/>
      <c r="N584" s="61"/>
      <c r="O584" s="61"/>
      <c r="P584" s="61"/>
      <c r="Q584" s="61"/>
      <c r="R584" s="61"/>
      <c r="S584" s="61"/>
    </row>
    <row r="585" spans="1:19" ht="60" x14ac:dyDescent="0.2">
      <c r="A585" s="106"/>
      <c r="B585" s="110" t="s">
        <v>496</v>
      </c>
      <c r="C585" s="151"/>
      <c r="D585" s="151"/>
      <c r="E585" s="151"/>
      <c r="F585" s="151"/>
      <c r="G585" s="341"/>
      <c r="H585" s="61"/>
      <c r="I585" s="63"/>
      <c r="J585" s="60">
        <v>139</v>
      </c>
      <c r="K585" s="64"/>
      <c r="L585" s="61"/>
      <c r="M585" s="61"/>
      <c r="N585" s="61"/>
      <c r="O585" s="61"/>
      <c r="P585" s="61"/>
      <c r="Q585" s="61"/>
      <c r="R585" s="61"/>
      <c r="S585" s="61"/>
    </row>
    <row r="586" spans="1:19" x14ac:dyDescent="0.2">
      <c r="A586" s="301" t="s">
        <v>149</v>
      </c>
      <c r="B586" s="302" t="s">
        <v>65</v>
      </c>
      <c r="C586" s="303"/>
      <c r="D586" s="304"/>
      <c r="E586" s="278"/>
      <c r="F586" s="210"/>
      <c r="G586" s="211"/>
      <c r="I586" s="60"/>
      <c r="J586" s="64"/>
      <c r="K586" s="60"/>
    </row>
    <row r="587" spans="1:19" ht="24" x14ac:dyDescent="0.2">
      <c r="A587" s="85"/>
      <c r="B587" s="342" t="s">
        <v>431</v>
      </c>
      <c r="C587" s="343" t="s">
        <v>482</v>
      </c>
      <c r="D587" s="99">
        <f>D370</f>
        <v>325.10000000000002</v>
      </c>
      <c r="E587" s="89"/>
      <c r="F587" s="101"/>
      <c r="G587" s="102">
        <f>(D587*E587)+(D587*F587)</f>
        <v>0</v>
      </c>
      <c r="I587" s="60"/>
      <c r="J587" s="62"/>
      <c r="K587" s="60"/>
    </row>
    <row r="588" spans="1:19" ht="24" x14ac:dyDescent="0.2">
      <c r="A588" s="85"/>
      <c r="B588" s="342" t="s">
        <v>432</v>
      </c>
      <c r="C588" s="343" t="s">
        <v>482</v>
      </c>
      <c r="D588" s="99">
        <f>D373</f>
        <v>650.55999999999995</v>
      </c>
      <c r="E588" s="89"/>
      <c r="F588" s="101"/>
      <c r="G588" s="102">
        <f>(D588*E588)+(D588*F588)</f>
        <v>0</v>
      </c>
      <c r="I588" s="60"/>
      <c r="J588" s="60">
        <v>143.19999999999999</v>
      </c>
      <c r="K588" s="60"/>
    </row>
    <row r="589" spans="1:19" ht="13.5" x14ac:dyDescent="0.2">
      <c r="A589" s="85"/>
      <c r="B589" s="342" t="s">
        <v>433</v>
      </c>
      <c r="C589" s="343" t="s">
        <v>482</v>
      </c>
      <c r="D589" s="99">
        <v>423.3</v>
      </c>
      <c r="E589" s="89"/>
      <c r="F589" s="101"/>
      <c r="G589" s="102">
        <f>(D589*E589)+(D589*F589)</f>
        <v>0</v>
      </c>
      <c r="I589" s="60">
        <f>D411+D412+D413+D414+D415+D417+D416</f>
        <v>427.78000000000003</v>
      </c>
      <c r="J589" s="62">
        <f>I589-4.5</f>
        <v>423.28000000000003</v>
      </c>
      <c r="K589" s="60"/>
    </row>
    <row r="590" spans="1:19" x14ac:dyDescent="0.2">
      <c r="A590" s="85"/>
      <c r="B590" s="342"/>
      <c r="C590" s="343"/>
      <c r="D590" s="99"/>
      <c r="E590" s="89"/>
      <c r="F590" s="101"/>
      <c r="G590" s="102"/>
      <c r="I590" s="64"/>
      <c r="J590" s="60"/>
      <c r="K590" s="60"/>
    </row>
    <row r="591" spans="1:19" x14ac:dyDescent="0.2">
      <c r="A591" s="301" t="s">
        <v>150</v>
      </c>
      <c r="B591" s="302" t="s">
        <v>67</v>
      </c>
      <c r="C591" s="303"/>
      <c r="D591" s="304"/>
      <c r="E591" s="278"/>
      <c r="F591" s="210"/>
      <c r="G591" s="211"/>
      <c r="I591" s="60"/>
      <c r="J591" s="64"/>
      <c r="K591" s="60"/>
    </row>
    <row r="592" spans="1:19" ht="24" x14ac:dyDescent="0.2">
      <c r="A592" s="85"/>
      <c r="B592" s="342" t="s">
        <v>431</v>
      </c>
      <c r="C592" s="343" t="s">
        <v>482</v>
      </c>
      <c r="D592" s="99">
        <f>D377</f>
        <v>354.42</v>
      </c>
      <c r="E592" s="89"/>
      <c r="F592" s="101"/>
      <c r="G592" s="102">
        <f>(D592*E592)+(D592*F592)</f>
        <v>0</v>
      </c>
      <c r="I592" s="60"/>
      <c r="J592" s="62"/>
      <c r="K592" s="60"/>
    </row>
    <row r="593" spans="1:11" ht="24" x14ac:dyDescent="0.2">
      <c r="A593" s="85"/>
      <c r="B593" s="342" t="s">
        <v>432</v>
      </c>
      <c r="C593" s="343" t="s">
        <v>482</v>
      </c>
      <c r="D593" s="99">
        <f>D379</f>
        <v>703.7</v>
      </c>
      <c r="E593" s="89"/>
      <c r="F593" s="101"/>
      <c r="G593" s="102">
        <f>(D593*E593)+(D593*F593)</f>
        <v>0</v>
      </c>
      <c r="I593" s="60"/>
      <c r="J593" s="60">
        <v>143.19999999999999</v>
      </c>
      <c r="K593" s="60"/>
    </row>
    <row r="594" spans="1:11" ht="13.5" x14ac:dyDescent="0.2">
      <c r="A594" s="85"/>
      <c r="B594" s="342" t="s">
        <v>433</v>
      </c>
      <c r="C594" s="343" t="s">
        <v>482</v>
      </c>
      <c r="D594" s="99">
        <v>107.4</v>
      </c>
      <c r="E594" s="89"/>
      <c r="F594" s="101"/>
      <c r="G594" s="102">
        <f>(D594*E594)+(D594*F594)</f>
        <v>0</v>
      </c>
      <c r="I594" s="42">
        <f>D419+D420+D421+D422+D423+4.28*3</f>
        <v>376.68</v>
      </c>
      <c r="J594" s="62">
        <f>I594-I542</f>
        <v>107.32999999999998</v>
      </c>
      <c r="K594" s="60"/>
    </row>
    <row r="595" spans="1:11" x14ac:dyDescent="0.2">
      <c r="A595" s="301" t="s">
        <v>56</v>
      </c>
      <c r="B595" s="302" t="s">
        <v>262</v>
      </c>
      <c r="C595" s="303"/>
      <c r="D595" s="304"/>
      <c r="E595" s="278"/>
      <c r="F595" s="210"/>
      <c r="G595" s="211"/>
      <c r="J595" s="60"/>
    </row>
    <row r="596" spans="1:11" ht="24" x14ac:dyDescent="0.2">
      <c r="A596" s="85"/>
      <c r="B596" s="342" t="s">
        <v>431</v>
      </c>
      <c r="C596" s="343" t="s">
        <v>482</v>
      </c>
      <c r="D596" s="99">
        <f>D383</f>
        <v>24.6</v>
      </c>
      <c r="E596" s="89"/>
      <c r="F596" s="101"/>
      <c r="G596" s="102">
        <f>(D596*E596)+(D596*F596)</f>
        <v>0</v>
      </c>
      <c r="J596" s="60"/>
    </row>
    <row r="597" spans="1:11" ht="24" x14ac:dyDescent="0.2">
      <c r="A597" s="85"/>
      <c r="B597" s="342" t="s">
        <v>432</v>
      </c>
      <c r="C597" s="343" t="s">
        <v>482</v>
      </c>
      <c r="D597" s="99">
        <f>D385</f>
        <v>24.6</v>
      </c>
      <c r="E597" s="89"/>
      <c r="F597" s="101"/>
      <c r="G597" s="102">
        <f>(D597*E597)+(D597*F597)</f>
        <v>0</v>
      </c>
      <c r="J597" s="60"/>
    </row>
    <row r="598" spans="1:11" ht="13.5" x14ac:dyDescent="0.2">
      <c r="A598" s="85"/>
      <c r="B598" s="342" t="s">
        <v>434</v>
      </c>
      <c r="C598" s="343" t="s">
        <v>482</v>
      </c>
      <c r="D598" s="99">
        <f>D547</f>
        <v>59.9</v>
      </c>
      <c r="E598" s="89"/>
      <c r="F598" s="101"/>
      <c r="G598" s="102">
        <f>(D598*E598)+(D598*F598)</f>
        <v>0</v>
      </c>
      <c r="J598" s="60"/>
    </row>
    <row r="599" spans="1:11" x14ac:dyDescent="0.2">
      <c r="A599" s="85"/>
      <c r="B599" s="342"/>
      <c r="C599" s="343"/>
      <c r="D599" s="99"/>
      <c r="E599" s="89"/>
      <c r="F599" s="101"/>
      <c r="G599" s="102"/>
      <c r="J599" s="65"/>
    </row>
    <row r="600" spans="1:11" x14ac:dyDescent="0.2">
      <c r="A600" s="85"/>
      <c r="B600" s="342"/>
      <c r="C600" s="343"/>
      <c r="D600" s="99"/>
      <c r="E600" s="89"/>
      <c r="F600" s="101"/>
      <c r="G600" s="102"/>
      <c r="J600" s="65"/>
    </row>
    <row r="601" spans="1:11" x14ac:dyDescent="0.2">
      <c r="A601" s="85"/>
      <c r="B601" s="342"/>
      <c r="C601" s="343"/>
      <c r="D601" s="99"/>
      <c r="E601" s="89"/>
      <c r="F601" s="101"/>
      <c r="G601" s="102"/>
      <c r="J601" s="65"/>
    </row>
    <row r="602" spans="1:11" x14ac:dyDescent="0.2">
      <c r="A602" s="85"/>
      <c r="B602" s="342"/>
      <c r="C602" s="343"/>
      <c r="D602" s="99"/>
      <c r="E602" s="89"/>
      <c r="F602" s="101"/>
      <c r="G602" s="102"/>
      <c r="J602" s="65"/>
    </row>
    <row r="603" spans="1:11" x14ac:dyDescent="0.2">
      <c r="A603" s="85"/>
      <c r="B603" s="342"/>
      <c r="C603" s="343"/>
      <c r="D603" s="99"/>
      <c r="E603" s="89"/>
      <c r="F603" s="101"/>
      <c r="G603" s="102"/>
      <c r="J603" s="65"/>
    </row>
    <row r="604" spans="1:11" x14ac:dyDescent="0.2">
      <c r="A604" s="85"/>
      <c r="B604" s="342"/>
      <c r="C604" s="343"/>
      <c r="D604" s="99"/>
      <c r="E604" s="89"/>
      <c r="F604" s="101"/>
      <c r="G604" s="102"/>
      <c r="J604" s="65"/>
    </row>
    <row r="605" spans="1:11" x14ac:dyDescent="0.2">
      <c r="A605" s="85"/>
      <c r="B605" s="342"/>
      <c r="C605" s="343"/>
      <c r="D605" s="99"/>
      <c r="E605" s="89"/>
      <c r="F605" s="101"/>
      <c r="G605" s="102"/>
      <c r="J605" s="65"/>
    </row>
    <row r="606" spans="1:11" x14ac:dyDescent="0.2">
      <c r="A606" s="85"/>
      <c r="B606" s="342"/>
      <c r="C606" s="343"/>
      <c r="D606" s="99"/>
      <c r="E606" s="89"/>
      <c r="F606" s="101"/>
      <c r="G606" s="102"/>
      <c r="J606" s="65"/>
    </row>
    <row r="607" spans="1:11" x14ac:dyDescent="0.2">
      <c r="A607" s="85"/>
      <c r="B607" s="342"/>
      <c r="C607" s="343"/>
      <c r="D607" s="99"/>
      <c r="E607" s="89"/>
      <c r="F607" s="101"/>
      <c r="G607" s="102"/>
      <c r="J607" s="65"/>
    </row>
    <row r="608" spans="1:11" x14ac:dyDescent="0.2">
      <c r="A608" s="85"/>
      <c r="B608" s="342"/>
      <c r="C608" s="343"/>
      <c r="D608" s="99"/>
      <c r="E608" s="89"/>
      <c r="F608" s="101"/>
      <c r="G608" s="102"/>
      <c r="J608" s="65"/>
    </row>
    <row r="609" spans="1:19" x14ac:dyDescent="0.2">
      <c r="A609" s="85"/>
      <c r="B609" s="342"/>
      <c r="C609" s="343"/>
      <c r="D609" s="99"/>
      <c r="E609" s="89"/>
      <c r="F609" s="101"/>
      <c r="G609" s="102"/>
      <c r="J609" s="65"/>
    </row>
    <row r="610" spans="1:19" x14ac:dyDescent="0.2">
      <c r="A610" s="85"/>
      <c r="B610" s="342"/>
      <c r="C610" s="343"/>
      <c r="D610" s="99"/>
      <c r="E610" s="89"/>
      <c r="F610" s="101"/>
      <c r="G610" s="102"/>
      <c r="J610" s="65"/>
    </row>
    <row r="611" spans="1:19" x14ac:dyDescent="0.2">
      <c r="A611" s="85"/>
      <c r="B611" s="342"/>
      <c r="C611" s="343"/>
      <c r="D611" s="99"/>
      <c r="E611" s="89"/>
      <c r="F611" s="101"/>
      <c r="G611" s="102"/>
      <c r="J611" s="65"/>
    </row>
    <row r="612" spans="1:19" x14ac:dyDescent="0.2">
      <c r="A612" s="85"/>
      <c r="B612" s="342"/>
      <c r="C612" s="343"/>
      <c r="D612" s="99"/>
      <c r="E612" s="89"/>
      <c r="F612" s="101"/>
      <c r="G612" s="102"/>
      <c r="J612" s="65"/>
    </row>
    <row r="613" spans="1:19" ht="12.75" thickBot="1" x14ac:dyDescent="0.25">
      <c r="A613" s="85"/>
      <c r="B613" s="342"/>
      <c r="C613" s="343"/>
      <c r="D613" s="99"/>
      <c r="E613" s="89"/>
      <c r="F613" s="101"/>
      <c r="G613" s="102"/>
      <c r="J613" s="65"/>
    </row>
    <row r="614" spans="1:19" ht="12" customHeight="1" x14ac:dyDescent="0.2">
      <c r="A614" s="78"/>
      <c r="B614" s="111" t="s">
        <v>194</v>
      </c>
      <c r="C614" s="154"/>
      <c r="D614" s="113"/>
      <c r="E614" s="82"/>
      <c r="F614" s="240"/>
      <c r="G614" s="231"/>
    </row>
    <row r="615" spans="1:19" ht="12" customHeight="1" thickBot="1" x14ac:dyDescent="0.25">
      <c r="A615" s="115"/>
      <c r="B615" s="116" t="s">
        <v>116</v>
      </c>
      <c r="C615" s="155"/>
      <c r="D615" s="118"/>
      <c r="E615" s="119"/>
      <c r="F615" s="192"/>
      <c r="G615" s="241">
        <f>SUM(G587:G594)</f>
        <v>0</v>
      </c>
    </row>
    <row r="616" spans="1:19" ht="12" customHeight="1" x14ac:dyDescent="0.2">
      <c r="A616" s="85"/>
      <c r="B616" s="242" t="s">
        <v>117</v>
      </c>
      <c r="C616" s="98"/>
      <c r="D616" s="99"/>
      <c r="E616" s="89"/>
      <c r="F616" s="101"/>
      <c r="G616" s="102"/>
    </row>
    <row r="617" spans="1:19" ht="12" customHeight="1" x14ac:dyDescent="0.2">
      <c r="A617" s="85"/>
      <c r="B617" s="86" t="s">
        <v>94</v>
      </c>
      <c r="C617" s="98"/>
      <c r="D617" s="99"/>
      <c r="E617" s="89"/>
      <c r="F617" s="101"/>
      <c r="G617" s="102"/>
    </row>
    <row r="618" spans="1:19" ht="12" customHeight="1" x14ac:dyDescent="0.2">
      <c r="A618" s="243" t="s">
        <v>118</v>
      </c>
      <c r="B618" s="140" t="s">
        <v>41</v>
      </c>
      <c r="C618" s="98"/>
      <c r="D618" s="99"/>
      <c r="E618" s="89"/>
      <c r="F618" s="101"/>
      <c r="G618" s="102"/>
    </row>
    <row r="619" spans="1:19" ht="63.75" customHeight="1" x14ac:dyDescent="0.2">
      <c r="A619" s="106"/>
      <c r="B619" s="110" t="s">
        <v>141</v>
      </c>
      <c r="C619" s="110"/>
      <c r="D619" s="110"/>
      <c r="E619" s="110"/>
      <c r="F619" s="110"/>
      <c r="G619" s="196"/>
      <c r="H619" s="61"/>
      <c r="I619" s="61"/>
      <c r="J619" s="61"/>
      <c r="K619" s="61"/>
      <c r="L619" s="61"/>
      <c r="M619" s="61"/>
      <c r="N619" s="61"/>
      <c r="O619" s="61"/>
      <c r="P619" s="61"/>
      <c r="Q619" s="61"/>
      <c r="R619" s="61"/>
      <c r="S619" s="61"/>
    </row>
    <row r="620" spans="1:19" x14ac:dyDescent="0.2">
      <c r="A620" s="158" t="s">
        <v>171</v>
      </c>
      <c r="B620" s="159" t="s">
        <v>122</v>
      </c>
      <c r="C620" s="170"/>
      <c r="D620" s="161"/>
      <c r="E620" s="162"/>
      <c r="F620" s="161"/>
      <c r="G620" s="252"/>
    </row>
    <row r="621" spans="1:19" x14ac:dyDescent="0.2">
      <c r="A621" s="301" t="s">
        <v>149</v>
      </c>
      <c r="B621" s="344" t="s">
        <v>65</v>
      </c>
      <c r="C621" s="345"/>
      <c r="D621" s="304"/>
      <c r="E621" s="278"/>
      <c r="F621" s="304"/>
      <c r="G621" s="346"/>
    </row>
    <row r="622" spans="1:19" s="45" customFormat="1" ht="14.25" customHeight="1" x14ac:dyDescent="0.2">
      <c r="A622" s="347" t="s">
        <v>164</v>
      </c>
      <c r="B622" s="348" t="s">
        <v>255</v>
      </c>
      <c r="C622" s="349" t="s">
        <v>111</v>
      </c>
      <c r="D622" s="350"/>
      <c r="E622" s="351"/>
      <c r="F622" s="183"/>
      <c r="G622" s="184"/>
      <c r="H622" s="28"/>
      <c r="I622" s="28"/>
      <c r="J622" s="28"/>
      <c r="K622" s="28"/>
      <c r="L622" s="28"/>
      <c r="M622" s="28"/>
      <c r="N622" s="28"/>
      <c r="O622" s="28"/>
      <c r="P622" s="28"/>
      <c r="Q622" s="28"/>
      <c r="R622" s="28"/>
      <c r="S622" s="28"/>
    </row>
    <row r="623" spans="1:19" s="45" customFormat="1" ht="25.5" customHeight="1" x14ac:dyDescent="0.2">
      <c r="A623" s="243"/>
      <c r="B623" s="312" t="s">
        <v>369</v>
      </c>
      <c r="C623" s="313" t="s">
        <v>123</v>
      </c>
      <c r="D623" s="99">
        <v>7.4</v>
      </c>
      <c r="E623" s="89"/>
      <c r="F623" s="101"/>
      <c r="G623" s="102">
        <f>(D623*E623)+(D623*F623)</f>
        <v>0</v>
      </c>
      <c r="H623" s="28"/>
      <c r="I623" s="28"/>
      <c r="J623" s="28"/>
      <c r="K623" s="28"/>
      <c r="L623" s="28"/>
      <c r="M623" s="28"/>
      <c r="N623" s="28"/>
      <c r="O623" s="28"/>
      <c r="P623" s="28"/>
      <c r="Q623" s="28"/>
      <c r="R623" s="28"/>
      <c r="S623" s="28"/>
    </row>
    <row r="624" spans="1:19" s="45" customFormat="1" ht="39" customHeight="1" x14ac:dyDescent="0.2">
      <c r="A624" s="243"/>
      <c r="B624" s="312" t="s">
        <v>370</v>
      </c>
      <c r="C624" s="313" t="s">
        <v>123</v>
      </c>
      <c r="D624" s="99">
        <v>6.6</v>
      </c>
      <c r="E624" s="89"/>
      <c r="F624" s="101"/>
      <c r="G624" s="102">
        <f>(D624*E624)+(D624*F624)</f>
        <v>0</v>
      </c>
      <c r="H624" s="28"/>
      <c r="I624" s="28">
        <f>3.6*4</f>
        <v>14.4</v>
      </c>
      <c r="J624" s="28"/>
      <c r="K624" s="28"/>
      <c r="L624" s="28"/>
      <c r="M624" s="28"/>
      <c r="N624" s="28"/>
      <c r="O624" s="28"/>
      <c r="P624" s="28"/>
      <c r="Q624" s="28"/>
      <c r="R624" s="28"/>
      <c r="S624" s="28"/>
    </row>
    <row r="625" spans="1:10" ht="12" customHeight="1" x14ac:dyDescent="0.2">
      <c r="A625" s="301" t="s">
        <v>150</v>
      </c>
      <c r="B625" s="344" t="s">
        <v>67</v>
      </c>
      <c r="C625" s="345"/>
      <c r="D625" s="304"/>
      <c r="E625" s="278"/>
      <c r="F625" s="304"/>
      <c r="G625" s="346"/>
    </row>
    <row r="626" spans="1:10" ht="12" customHeight="1" x14ac:dyDescent="0.2">
      <c r="A626" s="347" t="s">
        <v>164</v>
      </c>
      <c r="B626" s="348" t="s">
        <v>330</v>
      </c>
      <c r="C626" s="349" t="s">
        <v>111</v>
      </c>
      <c r="D626" s="350"/>
      <c r="E626" s="351"/>
      <c r="F626" s="183"/>
      <c r="G626" s="184"/>
    </row>
    <row r="627" spans="1:10" ht="41.25" customHeight="1" x14ac:dyDescent="0.2">
      <c r="A627" s="243"/>
      <c r="B627" s="312" t="s">
        <v>435</v>
      </c>
      <c r="C627" s="313" t="s">
        <v>123</v>
      </c>
      <c r="D627" s="99">
        <v>39.6</v>
      </c>
      <c r="E627" s="89"/>
      <c r="F627" s="101"/>
      <c r="G627" s="102">
        <f>(D627*E627)+(D627*F627)</f>
        <v>0</v>
      </c>
      <c r="I627" s="28">
        <f>3*12+1.8*2</f>
        <v>39.6</v>
      </c>
    </row>
    <row r="628" spans="1:10" ht="12" customHeight="1" x14ac:dyDescent="0.2">
      <c r="A628" s="158" t="s">
        <v>171</v>
      </c>
      <c r="B628" s="159" t="s">
        <v>332</v>
      </c>
      <c r="C628" s="170"/>
      <c r="D628" s="161"/>
      <c r="E628" s="162"/>
      <c r="F628" s="161"/>
      <c r="G628" s="252"/>
    </row>
    <row r="629" spans="1:10" ht="48.75" customHeight="1" x14ac:dyDescent="0.2">
      <c r="A629" s="85" t="s">
        <v>164</v>
      </c>
      <c r="B629" s="312" t="s">
        <v>436</v>
      </c>
      <c r="C629" s="313"/>
      <c r="D629" s="99"/>
      <c r="E629" s="89"/>
      <c r="F629" s="101"/>
      <c r="G629" s="102">
        <f t="shared" ref="G629:G638" si="21">(D629*E629)+(D629*F629)</f>
        <v>0</v>
      </c>
    </row>
    <row r="630" spans="1:10" ht="13.5" customHeight="1" x14ac:dyDescent="0.2">
      <c r="A630" s="243"/>
      <c r="B630" s="312" t="s">
        <v>331</v>
      </c>
      <c r="C630" s="313" t="s">
        <v>111</v>
      </c>
      <c r="D630" s="99">
        <v>26</v>
      </c>
      <c r="E630" s="89"/>
      <c r="F630" s="101"/>
      <c r="G630" s="102">
        <f t="shared" si="21"/>
        <v>0</v>
      </c>
    </row>
    <row r="631" spans="1:10" ht="36.75" customHeight="1" x14ac:dyDescent="0.2">
      <c r="A631" s="85" t="s">
        <v>165</v>
      </c>
      <c r="B631" s="312" t="s">
        <v>350</v>
      </c>
      <c r="C631" s="313" t="s">
        <v>333</v>
      </c>
      <c r="D631" s="99">
        <v>38.6</v>
      </c>
      <c r="E631" s="89"/>
      <c r="F631" s="101"/>
      <c r="G631" s="102">
        <f t="shared" si="21"/>
        <v>0</v>
      </c>
    </row>
    <row r="632" spans="1:10" ht="26.25" customHeight="1" x14ac:dyDescent="0.2">
      <c r="A632" s="85" t="s">
        <v>334</v>
      </c>
      <c r="B632" s="312" t="s">
        <v>342</v>
      </c>
      <c r="C632" s="313" t="s">
        <v>333</v>
      </c>
      <c r="D632" s="99">
        <v>648.5</v>
      </c>
      <c r="E632" s="89"/>
      <c r="F632" s="101"/>
      <c r="G632" s="102">
        <f t="shared" si="21"/>
        <v>0</v>
      </c>
      <c r="I632" s="28">
        <f>38.6*8*2</f>
        <v>617.6</v>
      </c>
      <c r="J632" s="28">
        <f>I632*105%</f>
        <v>648.48</v>
      </c>
    </row>
    <row r="633" spans="1:10" ht="24" x14ac:dyDescent="0.2">
      <c r="A633" s="85" t="s">
        <v>335</v>
      </c>
      <c r="B633" s="312" t="s">
        <v>341</v>
      </c>
      <c r="C633" s="343" t="s">
        <v>482</v>
      </c>
      <c r="D633" s="99">
        <v>510.76</v>
      </c>
      <c r="E633" s="89"/>
      <c r="F633" s="101"/>
      <c r="G633" s="102">
        <f t="shared" si="21"/>
        <v>0</v>
      </c>
      <c r="I633" s="28">
        <f>38.6*6.616*2</f>
        <v>510.7552</v>
      </c>
    </row>
    <row r="634" spans="1:10" ht="36" x14ac:dyDescent="0.2">
      <c r="A634" s="85" t="s">
        <v>337</v>
      </c>
      <c r="B634" s="312" t="s">
        <v>336</v>
      </c>
      <c r="C634" s="343" t="s">
        <v>482</v>
      </c>
      <c r="D634" s="99">
        <f>D633</f>
        <v>510.76</v>
      </c>
      <c r="E634" s="89"/>
      <c r="F634" s="101"/>
      <c r="G634" s="102">
        <f t="shared" si="21"/>
        <v>0</v>
      </c>
    </row>
    <row r="635" spans="1:10" ht="24" x14ac:dyDescent="0.2">
      <c r="A635" s="85" t="s">
        <v>338</v>
      </c>
      <c r="B635" s="312" t="s">
        <v>339</v>
      </c>
      <c r="C635" s="343" t="s">
        <v>482</v>
      </c>
      <c r="D635" s="99">
        <f>D633</f>
        <v>510.76</v>
      </c>
      <c r="E635" s="89"/>
      <c r="F635" s="101"/>
      <c r="G635" s="102">
        <f t="shared" si="21"/>
        <v>0</v>
      </c>
    </row>
    <row r="636" spans="1:10" ht="24" x14ac:dyDescent="0.2">
      <c r="A636" s="85" t="s">
        <v>340</v>
      </c>
      <c r="B636" s="312" t="s">
        <v>343</v>
      </c>
      <c r="C636" s="343" t="s">
        <v>344</v>
      </c>
      <c r="D636" s="99">
        <v>39</v>
      </c>
      <c r="E636" s="89"/>
      <c r="F636" s="101"/>
      <c r="G636" s="102">
        <f t="shared" si="21"/>
        <v>0</v>
      </c>
    </row>
    <row r="637" spans="1:10" ht="24" x14ac:dyDescent="0.2">
      <c r="A637" s="85" t="s">
        <v>181</v>
      </c>
      <c r="B637" s="312" t="s">
        <v>345</v>
      </c>
      <c r="C637" s="343" t="s">
        <v>344</v>
      </c>
      <c r="D637" s="99">
        <v>27</v>
      </c>
      <c r="E637" s="89"/>
      <c r="F637" s="101"/>
      <c r="G637" s="102">
        <f t="shared" si="21"/>
        <v>0</v>
      </c>
      <c r="I637" s="28">
        <f>6.7*4</f>
        <v>26.8</v>
      </c>
    </row>
    <row r="638" spans="1:10" ht="12" customHeight="1" x14ac:dyDescent="0.2">
      <c r="A638" s="85" t="s">
        <v>182</v>
      </c>
      <c r="B638" s="312" t="s">
        <v>346</v>
      </c>
      <c r="C638" s="343" t="s">
        <v>344</v>
      </c>
      <c r="D638" s="99">
        <v>78</v>
      </c>
      <c r="E638" s="89"/>
      <c r="F638" s="101"/>
      <c r="G638" s="102">
        <f t="shared" si="21"/>
        <v>0</v>
      </c>
      <c r="I638" s="28">
        <f>39*2</f>
        <v>78</v>
      </c>
    </row>
    <row r="639" spans="1:10" x14ac:dyDescent="0.2">
      <c r="A639" s="85"/>
      <c r="B639" s="312"/>
      <c r="C639" s="343"/>
      <c r="D639" s="99"/>
      <c r="E639" s="89"/>
      <c r="F639" s="101"/>
      <c r="G639" s="102"/>
    </row>
    <row r="640" spans="1:10" ht="12" customHeight="1" x14ac:dyDescent="0.2">
      <c r="A640" s="85"/>
      <c r="B640" s="312"/>
      <c r="C640" s="343"/>
      <c r="D640" s="99"/>
      <c r="E640" s="89"/>
      <c r="F640" s="101"/>
      <c r="G640" s="102"/>
    </row>
    <row r="641" spans="1:7" ht="12" customHeight="1" x14ac:dyDescent="0.2">
      <c r="A641" s="85"/>
      <c r="B641" s="312"/>
      <c r="C641" s="343"/>
      <c r="D641" s="99"/>
      <c r="E641" s="89"/>
      <c r="F641" s="101"/>
      <c r="G641" s="102"/>
    </row>
    <row r="642" spans="1:7" ht="12" customHeight="1" x14ac:dyDescent="0.2">
      <c r="A642" s="85"/>
      <c r="B642" s="312"/>
      <c r="C642" s="343"/>
      <c r="D642" s="99"/>
      <c r="E642" s="89"/>
      <c r="F642" s="101"/>
      <c r="G642" s="102"/>
    </row>
    <row r="643" spans="1:7" ht="12" customHeight="1" x14ac:dyDescent="0.2">
      <c r="A643" s="85"/>
      <c r="B643" s="312"/>
      <c r="C643" s="343"/>
      <c r="D643" s="99"/>
      <c r="E643" s="89"/>
      <c r="F643" s="101"/>
      <c r="G643" s="102"/>
    </row>
    <row r="644" spans="1:7" ht="12" customHeight="1" x14ac:dyDescent="0.2">
      <c r="A644" s="85"/>
      <c r="B644" s="312"/>
      <c r="C644" s="343"/>
      <c r="D644" s="99"/>
      <c r="E644" s="89"/>
      <c r="F644" s="101"/>
      <c r="G644" s="102"/>
    </row>
    <row r="645" spans="1:7" ht="12" customHeight="1" x14ac:dyDescent="0.2">
      <c r="A645" s="85"/>
      <c r="B645" s="312"/>
      <c r="C645" s="343"/>
      <c r="D645" s="99"/>
      <c r="E645" s="89"/>
      <c r="F645" s="101"/>
      <c r="G645" s="102"/>
    </row>
    <row r="646" spans="1:7" ht="12" customHeight="1" x14ac:dyDescent="0.2">
      <c r="A646" s="85"/>
      <c r="B646" s="312"/>
      <c r="C646" s="343"/>
      <c r="D646" s="99"/>
      <c r="E646" s="89"/>
      <c r="F646" s="101"/>
      <c r="G646" s="102"/>
    </row>
    <row r="647" spans="1:7" ht="12" customHeight="1" x14ac:dyDescent="0.2">
      <c r="A647" s="85"/>
      <c r="B647" s="312"/>
      <c r="C647" s="343"/>
      <c r="D647" s="99"/>
      <c r="E647" s="89"/>
      <c r="F647" s="101"/>
      <c r="G647" s="102"/>
    </row>
    <row r="648" spans="1:7" ht="12" customHeight="1" x14ac:dyDescent="0.2">
      <c r="A648" s="85"/>
      <c r="B648" s="312"/>
      <c r="C648" s="343"/>
      <c r="D648" s="99"/>
      <c r="E648" s="89"/>
      <c r="F648" s="101"/>
      <c r="G648" s="102"/>
    </row>
    <row r="649" spans="1:7" ht="12" customHeight="1" thickBot="1" x14ac:dyDescent="0.25">
      <c r="A649" s="85"/>
      <c r="B649" s="312"/>
      <c r="C649" s="343"/>
      <c r="D649" s="99"/>
      <c r="E649" s="89"/>
      <c r="F649" s="101"/>
      <c r="G649" s="102"/>
    </row>
    <row r="650" spans="1:7" x14ac:dyDescent="0.2">
      <c r="A650" s="319"/>
      <c r="B650" s="111" t="s">
        <v>195</v>
      </c>
      <c r="C650" s="154"/>
      <c r="D650" s="113"/>
      <c r="E650" s="82"/>
      <c r="F650" s="240"/>
      <c r="G650" s="231"/>
    </row>
    <row r="651" spans="1:7" ht="12.75" thickBot="1" x14ac:dyDescent="0.25">
      <c r="A651" s="320"/>
      <c r="B651" s="116" t="s">
        <v>119</v>
      </c>
      <c r="C651" s="155"/>
      <c r="D651" s="118"/>
      <c r="E651" s="119"/>
      <c r="F651" s="192"/>
      <c r="G651" s="241">
        <f>SUM(G623:G650)</f>
        <v>0</v>
      </c>
    </row>
    <row r="652" spans="1:7" x14ac:dyDescent="0.2">
      <c r="A652" s="243"/>
      <c r="B652" s="122"/>
      <c r="C652" s="98"/>
      <c r="D652" s="99"/>
      <c r="E652" s="89"/>
      <c r="F652" s="101"/>
      <c r="G652" s="102"/>
    </row>
    <row r="653" spans="1:7" x14ac:dyDescent="0.2">
      <c r="A653" s="85"/>
      <c r="B653" s="242" t="s">
        <v>120</v>
      </c>
      <c r="C653" s="98"/>
      <c r="D653" s="99"/>
      <c r="E653" s="89"/>
      <c r="F653" s="101"/>
      <c r="G653" s="102"/>
    </row>
    <row r="654" spans="1:7" ht="13.5" customHeight="1" x14ac:dyDescent="0.2">
      <c r="A654" s="85"/>
      <c r="B654" s="86" t="s">
        <v>126</v>
      </c>
      <c r="C654" s="98"/>
      <c r="D654" s="99"/>
      <c r="E654" s="89"/>
      <c r="F654" s="101"/>
      <c r="G654" s="102"/>
    </row>
    <row r="655" spans="1:7" x14ac:dyDescent="0.2">
      <c r="A655" s="243" t="s">
        <v>121</v>
      </c>
      <c r="B655" s="140" t="s">
        <v>41</v>
      </c>
      <c r="C655" s="98"/>
      <c r="D655" s="99"/>
      <c r="E655" s="89"/>
      <c r="F655" s="101"/>
      <c r="G655" s="102"/>
    </row>
    <row r="656" spans="1:7" ht="36" x14ac:dyDescent="0.2">
      <c r="A656" s="85"/>
      <c r="B656" s="105" t="s">
        <v>160</v>
      </c>
      <c r="C656" s="244"/>
      <c r="D656" s="244"/>
      <c r="E656" s="244"/>
      <c r="F656" s="244"/>
      <c r="G656" s="245"/>
    </row>
    <row r="657" spans="1:7" ht="48" x14ac:dyDescent="0.2">
      <c r="A657" s="143"/>
      <c r="B657" s="105" t="s">
        <v>159</v>
      </c>
      <c r="C657" s="244"/>
      <c r="D657" s="244"/>
      <c r="E657" s="244"/>
      <c r="F657" s="244"/>
      <c r="G657" s="245"/>
    </row>
    <row r="658" spans="1:7" ht="24" x14ac:dyDescent="0.2">
      <c r="A658" s="85"/>
      <c r="B658" s="105" t="s">
        <v>253</v>
      </c>
      <c r="C658" s="244"/>
      <c r="D658" s="244"/>
      <c r="E658" s="244"/>
      <c r="F658" s="244"/>
      <c r="G658" s="245"/>
    </row>
    <row r="659" spans="1:7" ht="84" x14ac:dyDescent="0.2">
      <c r="A659" s="85"/>
      <c r="B659" s="105" t="s">
        <v>158</v>
      </c>
      <c r="C659" s="244"/>
      <c r="D659" s="244"/>
      <c r="E659" s="244"/>
      <c r="F659" s="244"/>
      <c r="G659" s="245"/>
    </row>
    <row r="660" spans="1:7" ht="24" x14ac:dyDescent="0.2">
      <c r="A660" s="85"/>
      <c r="B660" s="105" t="s">
        <v>254</v>
      </c>
      <c r="C660" s="244"/>
      <c r="D660" s="244"/>
      <c r="E660" s="244"/>
      <c r="F660" s="244"/>
      <c r="G660" s="245"/>
    </row>
    <row r="661" spans="1:7" x14ac:dyDescent="0.2">
      <c r="A661" s="352" t="s">
        <v>149</v>
      </c>
      <c r="B661" s="353" t="s">
        <v>65</v>
      </c>
      <c r="C661" s="354"/>
      <c r="D661" s="355"/>
      <c r="E661" s="338"/>
      <c r="F661" s="210"/>
      <c r="G661" s="211">
        <f>D661*E661</f>
        <v>0</v>
      </c>
    </row>
    <row r="662" spans="1:7" x14ac:dyDescent="0.2">
      <c r="A662" s="356" t="s">
        <v>164</v>
      </c>
      <c r="B662" s="357" t="s">
        <v>128</v>
      </c>
      <c r="C662" s="275"/>
      <c r="D662" s="358"/>
      <c r="E662" s="263"/>
      <c r="F662" s="276"/>
      <c r="G662" s="359"/>
    </row>
    <row r="663" spans="1:7" x14ac:dyDescent="0.2">
      <c r="A663" s="360" t="s">
        <v>185</v>
      </c>
      <c r="B663" s="237" t="s">
        <v>206</v>
      </c>
      <c r="C663" s="123" t="s">
        <v>15</v>
      </c>
      <c r="D663" s="238">
        <v>1</v>
      </c>
      <c r="E663" s="89"/>
      <c r="F663" s="101"/>
      <c r="G663" s="102">
        <f>(D663*E663)+(D663*F663)</f>
        <v>0</v>
      </c>
    </row>
    <row r="664" spans="1:7" ht="24" x14ac:dyDescent="0.2">
      <c r="A664" s="360" t="s">
        <v>186</v>
      </c>
      <c r="B664" s="237" t="s">
        <v>207</v>
      </c>
      <c r="C664" s="123" t="s">
        <v>15</v>
      </c>
      <c r="D664" s="238">
        <v>1</v>
      </c>
      <c r="E664" s="89"/>
      <c r="F664" s="101"/>
      <c r="G664" s="102">
        <f>(D664*E664)+(D664*F664)</f>
        <v>0</v>
      </c>
    </row>
    <row r="665" spans="1:7" ht="36" x14ac:dyDescent="0.2">
      <c r="A665" s="360" t="s">
        <v>188</v>
      </c>
      <c r="B665" s="237" t="s">
        <v>236</v>
      </c>
      <c r="C665" s="123" t="s">
        <v>111</v>
      </c>
      <c r="D665" s="238">
        <v>1</v>
      </c>
      <c r="E665" s="89"/>
      <c r="F665" s="101"/>
      <c r="G665" s="102">
        <f>(D665*E665)+(D665*F665)</f>
        <v>0</v>
      </c>
    </row>
    <row r="666" spans="1:7" x14ac:dyDescent="0.2">
      <c r="A666" s="356" t="s">
        <v>165</v>
      </c>
      <c r="B666" s="361" t="s">
        <v>129</v>
      </c>
      <c r="C666" s="275"/>
      <c r="D666" s="358"/>
      <c r="E666" s="263"/>
      <c r="F666" s="264"/>
      <c r="G666" s="265">
        <f>D666*E666</f>
        <v>0</v>
      </c>
    </row>
    <row r="667" spans="1:7" x14ac:dyDescent="0.2">
      <c r="A667" s="360" t="s">
        <v>164</v>
      </c>
      <c r="B667" s="237" t="s">
        <v>437</v>
      </c>
      <c r="C667" s="123" t="s">
        <v>111</v>
      </c>
      <c r="D667" s="238">
        <v>3</v>
      </c>
      <c r="E667" s="89"/>
      <c r="F667" s="101"/>
      <c r="G667" s="102">
        <f>(D667*E667)+(D667*F667)</f>
        <v>0</v>
      </c>
    </row>
    <row r="668" spans="1:7" x14ac:dyDescent="0.2">
      <c r="A668" s="360" t="s">
        <v>165</v>
      </c>
      <c r="B668" s="237" t="s">
        <v>438</v>
      </c>
      <c r="C668" s="123" t="s">
        <v>111</v>
      </c>
      <c r="D668" s="238">
        <v>1</v>
      </c>
      <c r="E668" s="89"/>
      <c r="F668" s="101"/>
      <c r="G668" s="102">
        <f t="shared" ref="G668:G680" si="22">(D668*E668)+(D668*F668)</f>
        <v>0</v>
      </c>
    </row>
    <row r="669" spans="1:7" x14ac:dyDescent="0.2">
      <c r="A669" s="360" t="s">
        <v>176</v>
      </c>
      <c r="B669" s="237" t="s">
        <v>439</v>
      </c>
      <c r="C669" s="123" t="s">
        <v>111</v>
      </c>
      <c r="D669" s="238">
        <v>1</v>
      </c>
      <c r="E669" s="89"/>
      <c r="F669" s="101"/>
      <c r="G669" s="102">
        <f t="shared" si="22"/>
        <v>0</v>
      </c>
    </row>
    <row r="670" spans="1:7" x14ac:dyDescent="0.2">
      <c r="A670" s="360" t="s">
        <v>177</v>
      </c>
      <c r="B670" s="237" t="s">
        <v>130</v>
      </c>
      <c r="C670" s="123" t="s">
        <v>111</v>
      </c>
      <c r="D670" s="238">
        <f>D667</f>
        <v>3</v>
      </c>
      <c r="E670" s="89"/>
      <c r="F670" s="101"/>
      <c r="G670" s="102">
        <f t="shared" si="22"/>
        <v>0</v>
      </c>
    </row>
    <row r="671" spans="1:7" x14ac:dyDescent="0.2">
      <c r="A671" s="360" t="s">
        <v>178</v>
      </c>
      <c r="B671" s="237" t="s">
        <v>131</v>
      </c>
      <c r="C671" s="123" t="s">
        <v>111</v>
      </c>
      <c r="D671" s="238">
        <f>D667</f>
        <v>3</v>
      </c>
      <c r="E671" s="89"/>
      <c r="F671" s="101"/>
      <c r="G671" s="102">
        <f t="shared" si="22"/>
        <v>0</v>
      </c>
    </row>
    <row r="672" spans="1:7" x14ac:dyDescent="0.2">
      <c r="A672" s="360" t="s">
        <v>179</v>
      </c>
      <c r="B672" s="237" t="s">
        <v>440</v>
      </c>
      <c r="C672" s="123" t="s">
        <v>111</v>
      </c>
      <c r="D672" s="238">
        <f>D667</f>
        <v>3</v>
      </c>
      <c r="E672" s="89"/>
      <c r="F672" s="101"/>
      <c r="G672" s="102">
        <f t="shared" si="22"/>
        <v>0</v>
      </c>
    </row>
    <row r="673" spans="1:10" x14ac:dyDescent="0.2">
      <c r="A673" s="360" t="s">
        <v>180</v>
      </c>
      <c r="B673" s="237" t="s">
        <v>441</v>
      </c>
      <c r="C673" s="123" t="s">
        <v>111</v>
      </c>
      <c r="D673" s="238">
        <v>5</v>
      </c>
      <c r="E673" s="89"/>
      <c r="F673" s="101"/>
      <c r="G673" s="102">
        <f t="shared" si="22"/>
        <v>0</v>
      </c>
    </row>
    <row r="674" spans="1:10" x14ac:dyDescent="0.2">
      <c r="A674" s="360" t="s">
        <v>181</v>
      </c>
      <c r="B674" s="237" t="s">
        <v>442</v>
      </c>
      <c r="C674" s="123" t="s">
        <v>111</v>
      </c>
      <c r="D674" s="238">
        <f>D667</f>
        <v>3</v>
      </c>
      <c r="E674" s="89"/>
      <c r="F674" s="101"/>
      <c r="G674" s="102">
        <f t="shared" si="22"/>
        <v>0</v>
      </c>
    </row>
    <row r="675" spans="1:10" x14ac:dyDescent="0.2">
      <c r="A675" s="360" t="s">
        <v>182</v>
      </c>
      <c r="B675" s="237" t="s">
        <v>251</v>
      </c>
      <c r="C675" s="123" t="s">
        <v>111</v>
      </c>
      <c r="D675" s="238">
        <v>4</v>
      </c>
      <c r="E675" s="89"/>
      <c r="F675" s="101"/>
      <c r="G675" s="102">
        <f t="shared" si="22"/>
        <v>0</v>
      </c>
    </row>
    <row r="676" spans="1:10" x14ac:dyDescent="0.2">
      <c r="A676" s="360" t="s">
        <v>443</v>
      </c>
      <c r="B676" s="237" t="s">
        <v>465</v>
      </c>
      <c r="C676" s="123" t="s">
        <v>111</v>
      </c>
      <c r="D676" s="238">
        <v>3</v>
      </c>
      <c r="E676" s="89"/>
      <c r="F676" s="101"/>
      <c r="G676" s="102">
        <f>(D676*E676)+(D676*F676)</f>
        <v>0</v>
      </c>
    </row>
    <row r="677" spans="1:10" x14ac:dyDescent="0.2">
      <c r="A677" s="356" t="s">
        <v>165</v>
      </c>
      <c r="B677" s="362" t="s">
        <v>208</v>
      </c>
      <c r="C677" s="363"/>
      <c r="D677" s="358"/>
      <c r="E677" s="263"/>
      <c r="F677" s="264"/>
      <c r="G677" s="265">
        <f t="shared" si="22"/>
        <v>0</v>
      </c>
    </row>
    <row r="678" spans="1:10" ht="48" x14ac:dyDescent="0.2">
      <c r="A678" s="360" t="s">
        <v>164</v>
      </c>
      <c r="B678" s="237" t="s">
        <v>497</v>
      </c>
      <c r="C678" s="123" t="s">
        <v>15</v>
      </c>
      <c r="D678" s="238">
        <v>1</v>
      </c>
      <c r="E678" s="89"/>
      <c r="F678" s="101"/>
      <c r="G678" s="102">
        <f t="shared" si="22"/>
        <v>0</v>
      </c>
    </row>
    <row r="679" spans="1:10" ht="36" x14ac:dyDescent="0.2">
      <c r="A679" s="360" t="s">
        <v>165</v>
      </c>
      <c r="B679" s="237" t="s">
        <v>498</v>
      </c>
      <c r="C679" s="123" t="s">
        <v>15</v>
      </c>
      <c r="D679" s="238">
        <v>1</v>
      </c>
      <c r="E679" s="89"/>
      <c r="F679" s="101"/>
      <c r="G679" s="102">
        <f t="shared" si="22"/>
        <v>0</v>
      </c>
    </row>
    <row r="680" spans="1:10" ht="62.25" customHeight="1" x14ac:dyDescent="0.2">
      <c r="A680" s="360" t="s">
        <v>176</v>
      </c>
      <c r="B680" s="237" t="s">
        <v>499</v>
      </c>
      <c r="C680" s="187" t="s">
        <v>481</v>
      </c>
      <c r="D680" s="238">
        <v>1.8</v>
      </c>
      <c r="E680" s="89"/>
      <c r="F680" s="101"/>
      <c r="G680" s="102">
        <f t="shared" si="22"/>
        <v>0</v>
      </c>
      <c r="I680" s="39"/>
      <c r="J680" s="39"/>
    </row>
    <row r="681" spans="1:10" ht="12" customHeight="1" x14ac:dyDescent="0.2">
      <c r="A681" s="360"/>
      <c r="B681" s="237"/>
      <c r="C681" s="187"/>
      <c r="D681" s="238"/>
      <c r="E681" s="89"/>
      <c r="F681" s="101"/>
      <c r="G681" s="102"/>
      <c r="I681" s="39"/>
      <c r="J681" s="39"/>
    </row>
    <row r="682" spans="1:10" ht="12" customHeight="1" x14ac:dyDescent="0.2">
      <c r="A682" s="360"/>
      <c r="B682" s="237"/>
      <c r="C682" s="187"/>
      <c r="D682" s="238"/>
      <c r="E682" s="89"/>
      <c r="F682" s="101"/>
      <c r="G682" s="102"/>
      <c r="I682" s="39"/>
      <c r="J682" s="39"/>
    </row>
    <row r="683" spans="1:10" ht="12" customHeight="1" x14ac:dyDescent="0.2">
      <c r="A683" s="360"/>
      <c r="B683" s="237"/>
      <c r="C683" s="187"/>
      <c r="D683" s="238"/>
      <c r="E683" s="89"/>
      <c r="F683" s="101"/>
      <c r="G683" s="102"/>
      <c r="I683" s="39"/>
      <c r="J683" s="39"/>
    </row>
    <row r="684" spans="1:10" ht="12.75" customHeight="1" x14ac:dyDescent="0.2">
      <c r="A684" s="360"/>
      <c r="B684" s="237"/>
      <c r="C684" s="187"/>
      <c r="D684" s="238"/>
      <c r="E684" s="89"/>
      <c r="F684" s="101"/>
      <c r="G684" s="102"/>
      <c r="I684" s="39"/>
      <c r="J684" s="39"/>
    </row>
    <row r="685" spans="1:10" ht="12.75" customHeight="1" thickBot="1" x14ac:dyDescent="0.25">
      <c r="A685" s="364"/>
      <c r="B685" s="365"/>
      <c r="C685" s="190"/>
      <c r="D685" s="366"/>
      <c r="E685" s="119"/>
      <c r="F685" s="192"/>
      <c r="G685" s="193"/>
      <c r="I685" s="39"/>
      <c r="J685" s="39"/>
    </row>
    <row r="686" spans="1:10" ht="12" customHeight="1" x14ac:dyDescent="0.2">
      <c r="A686" s="360"/>
      <c r="B686" s="237"/>
      <c r="C686" s="123"/>
      <c r="D686" s="238"/>
      <c r="E686" s="89"/>
      <c r="F686" s="101"/>
      <c r="G686" s="102"/>
      <c r="I686" s="39"/>
      <c r="J686" s="39"/>
    </row>
    <row r="687" spans="1:10" ht="13.5" customHeight="1" x14ac:dyDescent="0.2">
      <c r="A687" s="352" t="s">
        <v>150</v>
      </c>
      <c r="B687" s="353" t="s">
        <v>67</v>
      </c>
      <c r="C687" s="354"/>
      <c r="D687" s="355"/>
      <c r="E687" s="338"/>
      <c r="F687" s="210"/>
      <c r="G687" s="211"/>
    </row>
    <row r="688" spans="1:10" x14ac:dyDescent="0.2">
      <c r="A688" s="356" t="s">
        <v>164</v>
      </c>
      <c r="B688" s="357" t="s">
        <v>128</v>
      </c>
      <c r="C688" s="275"/>
      <c r="D688" s="358"/>
      <c r="E688" s="263"/>
      <c r="F688" s="276"/>
      <c r="G688" s="359"/>
      <c r="I688" s="39"/>
      <c r="J688" s="39"/>
    </row>
    <row r="689" spans="1:7" x14ac:dyDescent="0.2">
      <c r="A689" s="360" t="s">
        <v>185</v>
      </c>
      <c r="B689" s="237" t="s">
        <v>206</v>
      </c>
      <c r="C689" s="123" t="s">
        <v>15</v>
      </c>
      <c r="D689" s="238">
        <v>1</v>
      </c>
      <c r="E689" s="89"/>
      <c r="F689" s="101"/>
      <c r="G689" s="102">
        <f>(D689*E689)+(D689*F689)</f>
        <v>0</v>
      </c>
    </row>
    <row r="690" spans="1:7" ht="24" x14ac:dyDescent="0.2">
      <c r="A690" s="360" t="s">
        <v>186</v>
      </c>
      <c r="B690" s="237" t="s">
        <v>207</v>
      </c>
      <c r="C690" s="123" t="s">
        <v>15</v>
      </c>
      <c r="D690" s="238">
        <v>1</v>
      </c>
      <c r="E690" s="89"/>
      <c r="F690" s="101"/>
      <c r="G690" s="102">
        <f>(D690*E690)+(D690*F690)</f>
        <v>0</v>
      </c>
    </row>
    <row r="691" spans="1:7" x14ac:dyDescent="0.2">
      <c r="A691" s="356" t="s">
        <v>165</v>
      </c>
      <c r="B691" s="361" t="s">
        <v>129</v>
      </c>
      <c r="C691" s="275"/>
      <c r="D691" s="358"/>
      <c r="E691" s="263"/>
      <c r="F691" s="264"/>
      <c r="G691" s="265"/>
    </row>
    <row r="692" spans="1:7" x14ac:dyDescent="0.2">
      <c r="A692" s="360" t="s">
        <v>164</v>
      </c>
      <c r="B692" s="237" t="s">
        <v>437</v>
      </c>
      <c r="C692" s="123" t="s">
        <v>111</v>
      </c>
      <c r="D692" s="238">
        <v>3</v>
      </c>
      <c r="E692" s="89"/>
      <c r="F692" s="101"/>
      <c r="G692" s="102">
        <f>(D692*E692)+(D692*F692)</f>
        <v>0</v>
      </c>
    </row>
    <row r="693" spans="1:7" x14ac:dyDescent="0.2">
      <c r="A693" s="360" t="s">
        <v>165</v>
      </c>
      <c r="B693" s="237" t="s">
        <v>438</v>
      </c>
      <c r="C693" s="123" t="s">
        <v>111</v>
      </c>
      <c r="D693" s="238">
        <v>1</v>
      </c>
      <c r="E693" s="89"/>
      <c r="F693" s="101"/>
      <c r="G693" s="102">
        <f t="shared" ref="G693:G701" si="23">(D693*E693)+(D693*F693)</f>
        <v>0</v>
      </c>
    </row>
    <row r="694" spans="1:7" x14ac:dyDescent="0.2">
      <c r="A694" s="360" t="s">
        <v>176</v>
      </c>
      <c r="B694" s="237" t="s">
        <v>439</v>
      </c>
      <c r="C694" s="123" t="s">
        <v>111</v>
      </c>
      <c r="D694" s="238">
        <v>1</v>
      </c>
      <c r="E694" s="89"/>
      <c r="F694" s="101"/>
      <c r="G694" s="102">
        <f t="shared" si="23"/>
        <v>0</v>
      </c>
    </row>
    <row r="695" spans="1:7" x14ac:dyDescent="0.2">
      <c r="A695" s="360" t="s">
        <v>177</v>
      </c>
      <c r="B695" s="237" t="s">
        <v>130</v>
      </c>
      <c r="C695" s="123" t="s">
        <v>111</v>
      </c>
      <c r="D695" s="238">
        <f>D692</f>
        <v>3</v>
      </c>
      <c r="E695" s="89"/>
      <c r="F695" s="101"/>
      <c r="G695" s="102">
        <f t="shared" si="23"/>
        <v>0</v>
      </c>
    </row>
    <row r="696" spans="1:7" x14ac:dyDescent="0.2">
      <c r="A696" s="360" t="s">
        <v>178</v>
      </c>
      <c r="B696" s="237" t="s">
        <v>131</v>
      </c>
      <c r="C696" s="123" t="s">
        <v>111</v>
      </c>
      <c r="D696" s="238">
        <f>D692</f>
        <v>3</v>
      </c>
      <c r="E696" s="89"/>
      <c r="F696" s="101"/>
      <c r="G696" s="102">
        <f t="shared" si="23"/>
        <v>0</v>
      </c>
    </row>
    <row r="697" spans="1:7" x14ac:dyDescent="0.2">
      <c r="A697" s="360" t="s">
        <v>179</v>
      </c>
      <c r="B697" s="237" t="s">
        <v>440</v>
      </c>
      <c r="C697" s="123" t="s">
        <v>111</v>
      </c>
      <c r="D697" s="238">
        <f>D692</f>
        <v>3</v>
      </c>
      <c r="E697" s="89"/>
      <c r="F697" s="101"/>
      <c r="G697" s="102">
        <f t="shared" si="23"/>
        <v>0</v>
      </c>
    </row>
    <row r="698" spans="1:7" x14ac:dyDescent="0.2">
      <c r="A698" s="360" t="s">
        <v>180</v>
      </c>
      <c r="B698" s="237" t="s">
        <v>441</v>
      </c>
      <c r="C698" s="123" t="s">
        <v>111</v>
      </c>
      <c r="D698" s="238">
        <v>5</v>
      </c>
      <c r="E698" s="89"/>
      <c r="F698" s="101"/>
      <c r="G698" s="102">
        <f t="shared" si="23"/>
        <v>0</v>
      </c>
    </row>
    <row r="699" spans="1:7" x14ac:dyDescent="0.2">
      <c r="A699" s="360" t="s">
        <v>181</v>
      </c>
      <c r="B699" s="237" t="s">
        <v>442</v>
      </c>
      <c r="C699" s="123" t="s">
        <v>111</v>
      </c>
      <c r="D699" s="238">
        <f>D692</f>
        <v>3</v>
      </c>
      <c r="E699" s="89"/>
      <c r="F699" s="101"/>
      <c r="G699" s="102">
        <f t="shared" si="23"/>
        <v>0</v>
      </c>
    </row>
    <row r="700" spans="1:7" x14ac:dyDescent="0.2">
      <c r="A700" s="360" t="s">
        <v>182</v>
      </c>
      <c r="B700" s="237" t="s">
        <v>251</v>
      </c>
      <c r="C700" s="123" t="s">
        <v>111</v>
      </c>
      <c r="D700" s="238">
        <v>4</v>
      </c>
      <c r="E700" s="89"/>
      <c r="F700" s="101"/>
      <c r="G700" s="102">
        <f t="shared" si="23"/>
        <v>0</v>
      </c>
    </row>
    <row r="701" spans="1:7" x14ac:dyDescent="0.2">
      <c r="A701" s="360" t="s">
        <v>443</v>
      </c>
      <c r="B701" s="237" t="s">
        <v>465</v>
      </c>
      <c r="C701" s="123" t="s">
        <v>111</v>
      </c>
      <c r="D701" s="238">
        <v>3</v>
      </c>
      <c r="E701" s="89"/>
      <c r="F701" s="101"/>
      <c r="G701" s="102">
        <f t="shared" si="23"/>
        <v>0</v>
      </c>
    </row>
    <row r="702" spans="1:7" x14ac:dyDescent="0.2">
      <c r="A702" s="356" t="s">
        <v>176</v>
      </c>
      <c r="B702" s="362" t="s">
        <v>208</v>
      </c>
      <c r="C702" s="363"/>
      <c r="D702" s="358"/>
      <c r="E702" s="263"/>
      <c r="F702" s="264"/>
      <c r="G702" s="265">
        <f>(D702*E702)+(D702*F702)</f>
        <v>0</v>
      </c>
    </row>
    <row r="703" spans="1:7" ht="48" x14ac:dyDescent="0.2">
      <c r="A703" s="360" t="s">
        <v>164</v>
      </c>
      <c r="B703" s="237" t="s">
        <v>497</v>
      </c>
      <c r="C703" s="123" t="s">
        <v>15</v>
      </c>
      <c r="D703" s="238">
        <v>1</v>
      </c>
      <c r="E703" s="89"/>
      <c r="F703" s="101"/>
      <c r="G703" s="102">
        <f>(D703*E703)+(D703*F703)</f>
        <v>0</v>
      </c>
    </row>
    <row r="704" spans="1:7" x14ac:dyDescent="0.2">
      <c r="A704" s="85"/>
      <c r="B704" s="312"/>
      <c r="C704" s="343"/>
      <c r="D704" s="99"/>
      <c r="E704" s="89"/>
      <c r="F704" s="101"/>
      <c r="G704" s="102"/>
    </row>
    <row r="705" spans="1:7" x14ac:dyDescent="0.2">
      <c r="A705" s="352" t="s">
        <v>56</v>
      </c>
      <c r="B705" s="353" t="s">
        <v>262</v>
      </c>
      <c r="C705" s="354"/>
      <c r="D705" s="355"/>
      <c r="E705" s="338"/>
      <c r="F705" s="210"/>
      <c r="G705" s="211"/>
    </row>
    <row r="706" spans="1:7" x14ac:dyDescent="0.2">
      <c r="A706" s="356" t="s">
        <v>164</v>
      </c>
      <c r="B706" s="362" t="s">
        <v>208</v>
      </c>
      <c r="C706" s="363"/>
      <c r="D706" s="358"/>
      <c r="E706" s="263"/>
      <c r="F706" s="264"/>
      <c r="G706" s="265">
        <f>(D706*E706)+(D706*F706)</f>
        <v>0</v>
      </c>
    </row>
    <row r="707" spans="1:7" ht="36" x14ac:dyDescent="0.2">
      <c r="A707" s="360" t="s">
        <v>164</v>
      </c>
      <c r="B707" s="237" t="s">
        <v>500</v>
      </c>
      <c r="C707" s="123" t="s">
        <v>15</v>
      </c>
      <c r="D707" s="238">
        <v>1</v>
      </c>
      <c r="E707" s="89"/>
      <c r="F707" s="101"/>
      <c r="G707" s="102">
        <f>(D707*E707)+(D707*F707)</f>
        <v>0</v>
      </c>
    </row>
    <row r="708" spans="1:7" x14ac:dyDescent="0.2">
      <c r="A708" s="85"/>
      <c r="B708" s="312"/>
      <c r="C708" s="343"/>
      <c r="D708" s="99"/>
      <c r="E708" s="89"/>
      <c r="F708" s="101"/>
      <c r="G708" s="102"/>
    </row>
    <row r="709" spans="1:7" x14ac:dyDescent="0.2">
      <c r="A709" s="85"/>
      <c r="B709" s="312"/>
      <c r="C709" s="343"/>
      <c r="D709" s="99"/>
      <c r="E709" s="89"/>
      <c r="F709" s="101"/>
      <c r="G709" s="102"/>
    </row>
    <row r="710" spans="1:7" x14ac:dyDescent="0.2">
      <c r="A710" s="85"/>
      <c r="B710" s="312"/>
      <c r="C710" s="343"/>
      <c r="D710" s="99"/>
      <c r="E710" s="89"/>
      <c r="F710" s="101"/>
      <c r="G710" s="102"/>
    </row>
    <row r="711" spans="1:7" x14ac:dyDescent="0.2">
      <c r="A711" s="85"/>
      <c r="B711" s="312"/>
      <c r="C711" s="343"/>
      <c r="D711" s="99"/>
      <c r="E711" s="89"/>
      <c r="F711" s="101"/>
      <c r="G711" s="102"/>
    </row>
    <row r="712" spans="1:7" x14ac:dyDescent="0.2">
      <c r="A712" s="85"/>
      <c r="B712" s="312"/>
      <c r="C712" s="343"/>
      <c r="D712" s="99"/>
      <c r="E712" s="89"/>
      <c r="F712" s="101"/>
      <c r="G712" s="102"/>
    </row>
    <row r="713" spans="1:7" x14ac:dyDescent="0.2">
      <c r="A713" s="85"/>
      <c r="B713" s="312"/>
      <c r="C713" s="343"/>
      <c r="D713" s="99"/>
      <c r="E713" s="89"/>
      <c r="F713" s="101"/>
      <c r="G713" s="102"/>
    </row>
    <row r="714" spans="1:7" x14ac:dyDescent="0.2">
      <c r="A714" s="85"/>
      <c r="B714" s="312"/>
      <c r="C714" s="343"/>
      <c r="D714" s="99"/>
      <c r="E714" s="89"/>
      <c r="F714" s="101"/>
      <c r="G714" s="102"/>
    </row>
    <row r="715" spans="1:7" x14ac:dyDescent="0.2">
      <c r="A715" s="85"/>
      <c r="B715" s="312"/>
      <c r="C715" s="343"/>
      <c r="D715" s="99"/>
      <c r="E715" s="89"/>
      <c r="F715" s="101"/>
      <c r="G715" s="102"/>
    </row>
    <row r="716" spans="1:7" x14ac:dyDescent="0.2">
      <c r="A716" s="85"/>
      <c r="B716" s="312"/>
      <c r="C716" s="343"/>
      <c r="D716" s="99"/>
      <c r="E716" s="89"/>
      <c r="F716" s="101"/>
      <c r="G716" s="102"/>
    </row>
    <row r="717" spans="1:7" x14ac:dyDescent="0.2">
      <c r="A717" s="85"/>
      <c r="B717" s="312"/>
      <c r="C717" s="343"/>
      <c r="D717" s="99"/>
      <c r="E717" s="89"/>
      <c r="F717" s="101"/>
      <c r="G717" s="102"/>
    </row>
    <row r="718" spans="1:7" x14ac:dyDescent="0.2">
      <c r="A718" s="85"/>
      <c r="B718" s="312"/>
      <c r="C718" s="343"/>
      <c r="D718" s="99"/>
      <c r="E718" s="89"/>
      <c r="F718" s="101"/>
      <c r="G718" s="102"/>
    </row>
    <row r="719" spans="1:7" x14ac:dyDescent="0.2">
      <c r="A719" s="85"/>
      <c r="B719" s="312"/>
      <c r="C719" s="343"/>
      <c r="D719" s="99"/>
      <c r="E719" s="89"/>
      <c r="F719" s="101"/>
      <c r="G719" s="102"/>
    </row>
    <row r="720" spans="1:7" x14ac:dyDescent="0.2">
      <c r="A720" s="85"/>
      <c r="B720" s="312"/>
      <c r="C720" s="343"/>
      <c r="D720" s="99"/>
      <c r="E720" s="89"/>
      <c r="F720" s="101"/>
      <c r="G720" s="102"/>
    </row>
    <row r="721" spans="1:19" x14ac:dyDescent="0.2">
      <c r="A721" s="85"/>
      <c r="B721" s="312"/>
      <c r="C721" s="343"/>
      <c r="D721" s="99"/>
      <c r="E721" s="89"/>
      <c r="F721" s="101"/>
      <c r="G721" s="102"/>
    </row>
    <row r="722" spans="1:19" x14ac:dyDescent="0.2">
      <c r="A722" s="85"/>
      <c r="B722" s="312"/>
      <c r="C722" s="343"/>
      <c r="D722" s="99"/>
      <c r="E722" s="89"/>
      <c r="F722" s="101"/>
      <c r="G722" s="102"/>
    </row>
    <row r="723" spans="1:19" x14ac:dyDescent="0.2">
      <c r="A723" s="85"/>
      <c r="B723" s="312"/>
      <c r="C723" s="343"/>
      <c r="D723" s="99"/>
      <c r="E723" s="89"/>
      <c r="F723" s="101"/>
      <c r="G723" s="102"/>
    </row>
    <row r="724" spans="1:19" x14ac:dyDescent="0.2">
      <c r="A724" s="85"/>
      <c r="B724" s="312"/>
      <c r="C724" s="343"/>
      <c r="D724" s="99"/>
      <c r="E724" s="89"/>
      <c r="F724" s="101"/>
      <c r="G724" s="102"/>
    </row>
    <row r="725" spans="1:19" x14ac:dyDescent="0.2">
      <c r="A725" s="85"/>
      <c r="B725" s="312"/>
      <c r="C725" s="343"/>
      <c r="D725" s="99"/>
      <c r="E725" s="89"/>
      <c r="F725" s="101"/>
      <c r="G725" s="102"/>
    </row>
    <row r="726" spans="1:19" x14ac:dyDescent="0.2">
      <c r="A726" s="85"/>
      <c r="B726" s="312"/>
      <c r="C726" s="343"/>
      <c r="D726" s="99"/>
      <c r="E726" s="89"/>
      <c r="F726" s="101"/>
      <c r="G726" s="102"/>
    </row>
    <row r="727" spans="1:19" x14ac:dyDescent="0.2">
      <c r="A727" s="85"/>
      <c r="B727" s="312"/>
      <c r="C727" s="343"/>
      <c r="D727" s="99"/>
      <c r="E727" s="89"/>
      <c r="F727" s="101"/>
      <c r="G727" s="102"/>
    </row>
    <row r="728" spans="1:19" x14ac:dyDescent="0.2">
      <c r="A728" s="85"/>
      <c r="B728" s="312"/>
      <c r="C728" s="343"/>
      <c r="D728" s="99"/>
      <c r="E728" s="89"/>
      <c r="F728" s="101"/>
      <c r="G728" s="102"/>
    </row>
    <row r="729" spans="1:19" x14ac:dyDescent="0.2">
      <c r="A729" s="85"/>
      <c r="B729" s="312"/>
      <c r="C729" s="343"/>
      <c r="D729" s="99"/>
      <c r="E729" s="89"/>
      <c r="F729" s="101"/>
      <c r="G729" s="102"/>
    </row>
    <row r="730" spans="1:19" ht="12" customHeight="1" x14ac:dyDescent="0.2">
      <c r="A730" s="85"/>
      <c r="B730" s="312"/>
      <c r="C730" s="343"/>
      <c r="D730" s="99"/>
      <c r="E730" s="89"/>
      <c r="F730" s="101"/>
      <c r="G730" s="102"/>
    </row>
    <row r="731" spans="1:19" ht="12" customHeight="1" x14ac:dyDescent="0.2">
      <c r="A731" s="85"/>
      <c r="B731" s="312"/>
      <c r="C731" s="343"/>
      <c r="D731" s="99"/>
      <c r="E731" s="89"/>
      <c r="F731" s="101"/>
      <c r="G731" s="102"/>
    </row>
    <row r="732" spans="1:19" s="61" customFormat="1" ht="12" customHeight="1" x14ac:dyDescent="0.2">
      <c r="A732" s="85"/>
      <c r="B732" s="312"/>
      <c r="C732" s="343"/>
      <c r="D732" s="99"/>
      <c r="E732" s="89"/>
      <c r="F732" s="101"/>
      <c r="G732" s="102"/>
      <c r="H732" s="28"/>
      <c r="I732" s="28"/>
      <c r="J732" s="28"/>
      <c r="K732" s="28"/>
      <c r="L732" s="28"/>
      <c r="M732" s="28"/>
      <c r="N732" s="28"/>
      <c r="O732" s="28"/>
      <c r="P732" s="28"/>
      <c r="Q732" s="28"/>
      <c r="R732" s="28"/>
      <c r="S732" s="28"/>
    </row>
    <row r="733" spans="1:19" s="61" customFormat="1" ht="12" customHeight="1" x14ac:dyDescent="0.2">
      <c r="A733" s="85"/>
      <c r="B733" s="312"/>
      <c r="C733" s="343"/>
      <c r="D733" s="99"/>
      <c r="E733" s="89"/>
      <c r="F733" s="101"/>
      <c r="G733" s="102"/>
      <c r="H733" s="28"/>
      <c r="I733" s="28"/>
      <c r="J733" s="28"/>
      <c r="K733" s="28"/>
      <c r="L733" s="28"/>
      <c r="M733" s="28"/>
      <c r="N733" s="28"/>
      <c r="O733" s="28"/>
      <c r="P733" s="28"/>
      <c r="Q733" s="28"/>
      <c r="R733" s="28"/>
      <c r="S733" s="28"/>
    </row>
    <row r="734" spans="1:19" s="61" customFormat="1" ht="12" customHeight="1" x14ac:dyDescent="0.2">
      <c r="A734" s="85"/>
      <c r="B734" s="312"/>
      <c r="C734" s="343"/>
      <c r="D734" s="99"/>
      <c r="E734" s="89"/>
      <c r="F734" s="101"/>
      <c r="G734" s="102"/>
      <c r="H734" s="28"/>
      <c r="I734" s="28"/>
      <c r="J734" s="28"/>
      <c r="K734" s="28"/>
      <c r="L734" s="28"/>
      <c r="M734" s="28"/>
      <c r="N734" s="28"/>
      <c r="O734" s="28"/>
      <c r="P734" s="28"/>
      <c r="Q734" s="28"/>
      <c r="R734" s="28"/>
      <c r="S734" s="28"/>
    </row>
    <row r="735" spans="1:19" s="61" customFormat="1" ht="12" customHeight="1" x14ac:dyDescent="0.2">
      <c r="A735" s="85"/>
      <c r="B735" s="312"/>
      <c r="C735" s="343"/>
      <c r="D735" s="99"/>
      <c r="E735" s="89"/>
      <c r="F735" s="101"/>
      <c r="G735" s="102"/>
      <c r="H735" s="28"/>
      <c r="I735" s="28"/>
      <c r="J735" s="28"/>
      <c r="K735" s="28"/>
      <c r="L735" s="28"/>
      <c r="M735" s="28"/>
      <c r="N735" s="28"/>
      <c r="O735" s="28"/>
      <c r="P735" s="28"/>
      <c r="Q735" s="28"/>
      <c r="R735" s="28"/>
      <c r="S735" s="28"/>
    </row>
    <row r="736" spans="1:19" ht="12" customHeight="1" thickBot="1" x14ac:dyDescent="0.25">
      <c r="A736" s="85"/>
      <c r="B736" s="312"/>
      <c r="C736" s="343"/>
      <c r="D736" s="99"/>
      <c r="E736" s="89"/>
      <c r="F736" s="101"/>
      <c r="G736" s="102"/>
    </row>
    <row r="737" spans="1:19" x14ac:dyDescent="0.2">
      <c r="A737" s="78"/>
      <c r="B737" s="111" t="s">
        <v>196</v>
      </c>
      <c r="C737" s="154"/>
      <c r="D737" s="113"/>
      <c r="E737" s="82"/>
      <c r="F737" s="240"/>
      <c r="G737" s="231"/>
    </row>
    <row r="738" spans="1:19" ht="12.75" thickBot="1" x14ac:dyDescent="0.25">
      <c r="A738" s="115"/>
      <c r="B738" s="116" t="s">
        <v>124</v>
      </c>
      <c r="C738" s="155"/>
      <c r="D738" s="118"/>
      <c r="E738" s="119"/>
      <c r="F738" s="192"/>
      <c r="G738" s="241">
        <f>SUM(G663:G737)</f>
        <v>0</v>
      </c>
    </row>
    <row r="739" spans="1:19" x14ac:dyDescent="0.2">
      <c r="A739" s="185"/>
      <c r="B739" s="249"/>
      <c r="C739" s="187"/>
      <c r="D739" s="133"/>
      <c r="E739" s="134"/>
      <c r="F739" s="101"/>
      <c r="G739" s="102"/>
    </row>
    <row r="740" spans="1:19" x14ac:dyDescent="0.2">
      <c r="A740" s="85"/>
      <c r="B740" s="242" t="s">
        <v>125</v>
      </c>
      <c r="C740" s="98"/>
      <c r="D740" s="99"/>
      <c r="E740" s="89"/>
      <c r="F740" s="101"/>
      <c r="G740" s="102"/>
    </row>
    <row r="741" spans="1:19" x14ac:dyDescent="0.2">
      <c r="A741" s="85"/>
      <c r="B741" s="86" t="s">
        <v>97</v>
      </c>
      <c r="C741" s="98"/>
      <c r="D741" s="99"/>
      <c r="E741" s="89"/>
      <c r="F741" s="101"/>
      <c r="G741" s="102"/>
    </row>
    <row r="742" spans="1:19" x14ac:dyDescent="0.2">
      <c r="A742" s="367" t="s">
        <v>127</v>
      </c>
      <c r="B742" s="140" t="s">
        <v>41</v>
      </c>
      <c r="C742" s="98"/>
      <c r="D742" s="99"/>
      <c r="E742" s="368"/>
      <c r="F742" s="101"/>
      <c r="G742" s="102"/>
    </row>
    <row r="743" spans="1:19" ht="48" x14ac:dyDescent="0.2">
      <c r="A743" s="369"/>
      <c r="B743" s="105" t="s">
        <v>268</v>
      </c>
      <c r="C743" s="244"/>
      <c r="D743" s="244"/>
      <c r="E743" s="244"/>
      <c r="F743" s="244"/>
      <c r="G743" s="245"/>
    </row>
    <row r="744" spans="1:19" ht="48" x14ac:dyDescent="0.2">
      <c r="A744" s="369"/>
      <c r="B744" s="105" t="s">
        <v>269</v>
      </c>
      <c r="C744" s="244"/>
      <c r="D744" s="244"/>
      <c r="E744" s="244"/>
      <c r="F744" s="244"/>
      <c r="G744" s="245"/>
    </row>
    <row r="745" spans="1:19" ht="60" x14ac:dyDescent="0.2">
      <c r="A745" s="369"/>
      <c r="B745" s="105" t="s">
        <v>267</v>
      </c>
      <c r="C745" s="244"/>
      <c r="D745" s="244"/>
      <c r="E745" s="244"/>
      <c r="F745" s="244"/>
      <c r="G745" s="245"/>
    </row>
    <row r="746" spans="1:19" ht="48" x14ac:dyDescent="0.2">
      <c r="A746" s="370"/>
      <c r="B746" s="105" t="s">
        <v>183</v>
      </c>
      <c r="C746" s="244"/>
      <c r="D746" s="244"/>
      <c r="E746" s="244"/>
      <c r="F746" s="244"/>
      <c r="G746" s="245"/>
    </row>
    <row r="747" spans="1:19" ht="24" x14ac:dyDescent="0.2">
      <c r="A747" s="369"/>
      <c r="B747" s="371" t="s">
        <v>266</v>
      </c>
      <c r="C747" s="244"/>
      <c r="D747" s="244"/>
      <c r="E747" s="244"/>
      <c r="F747" s="244"/>
      <c r="G747" s="245"/>
    </row>
    <row r="748" spans="1:19" x14ac:dyDescent="0.2">
      <c r="A748" s="372" t="s">
        <v>149</v>
      </c>
      <c r="B748" s="373" t="s">
        <v>65</v>
      </c>
      <c r="C748" s="374"/>
      <c r="D748" s="375"/>
      <c r="E748" s="376"/>
      <c r="F748" s="377"/>
      <c r="G748" s="378"/>
    </row>
    <row r="749" spans="1:19" s="61" customFormat="1" ht="15.75" customHeight="1" x14ac:dyDescent="0.2">
      <c r="A749" s="379" t="s">
        <v>164</v>
      </c>
      <c r="B749" s="380" t="s">
        <v>214</v>
      </c>
      <c r="C749" s="268"/>
      <c r="D749" s="269"/>
      <c r="E749" s="257"/>
      <c r="F749" s="223"/>
      <c r="G749" s="224">
        <f>D749*E749</f>
        <v>0</v>
      </c>
      <c r="H749" s="28"/>
      <c r="I749" s="28"/>
      <c r="J749" s="28"/>
      <c r="K749" s="28"/>
      <c r="L749" s="28"/>
      <c r="M749" s="28"/>
      <c r="N749" s="28"/>
      <c r="O749" s="28"/>
      <c r="P749" s="28"/>
      <c r="Q749" s="28"/>
      <c r="R749" s="28"/>
      <c r="S749" s="28"/>
    </row>
    <row r="750" spans="1:19" ht="38.25" customHeight="1" x14ac:dyDescent="0.2">
      <c r="A750" s="381" t="s">
        <v>468</v>
      </c>
      <c r="B750" s="382" t="s">
        <v>529</v>
      </c>
      <c r="C750" s="383" t="s">
        <v>8</v>
      </c>
      <c r="D750" s="384">
        <v>1</v>
      </c>
      <c r="E750" s="385"/>
      <c r="F750" s="385"/>
      <c r="G750" s="386">
        <f>+D750*E750+D750*F750</f>
        <v>0</v>
      </c>
    </row>
    <row r="751" spans="1:19" ht="25.5" x14ac:dyDescent="0.2">
      <c r="A751" s="381" t="s">
        <v>469</v>
      </c>
      <c r="B751" s="387" t="s">
        <v>444</v>
      </c>
      <c r="C751" s="383"/>
      <c r="D751" s="384"/>
      <c r="E751" s="257"/>
      <c r="F751" s="385"/>
      <c r="G751" s="386"/>
    </row>
    <row r="752" spans="1:19" ht="12.75" x14ac:dyDescent="0.2">
      <c r="A752" s="381" t="s">
        <v>470</v>
      </c>
      <c r="B752" s="387" t="s">
        <v>472</v>
      </c>
      <c r="C752" s="383" t="s">
        <v>8</v>
      </c>
      <c r="D752" s="384">
        <v>1</v>
      </c>
      <c r="E752" s="257"/>
      <c r="F752" s="385"/>
      <c r="G752" s="386">
        <f>+D752*E752+D752*F752</f>
        <v>0</v>
      </c>
    </row>
    <row r="753" spans="1:7" ht="12.75" x14ac:dyDescent="0.2">
      <c r="A753" s="381" t="s">
        <v>471</v>
      </c>
      <c r="B753" s="387" t="s">
        <v>473</v>
      </c>
      <c r="C753" s="383" t="s">
        <v>8</v>
      </c>
      <c r="D753" s="384">
        <v>1</v>
      </c>
      <c r="E753" s="257"/>
      <c r="F753" s="385"/>
      <c r="G753" s="386">
        <f>+D753*E753+D753*F753</f>
        <v>0</v>
      </c>
    </row>
    <row r="754" spans="1:7" ht="12.75" x14ac:dyDescent="0.2">
      <c r="A754" s="381"/>
      <c r="B754" s="387"/>
      <c r="C754" s="383"/>
      <c r="D754" s="384"/>
      <c r="E754" s="257"/>
      <c r="F754" s="385"/>
      <c r="G754" s="386">
        <f t="shared" ref="G754:G789" si="24">+D754*E754+D754*F754</f>
        <v>0</v>
      </c>
    </row>
    <row r="755" spans="1:7" ht="12.75" x14ac:dyDescent="0.2">
      <c r="A755" s="379" t="s">
        <v>165</v>
      </c>
      <c r="B755" s="380" t="s">
        <v>215</v>
      </c>
      <c r="C755" s="388"/>
      <c r="D755" s="389"/>
      <c r="E755" s="257"/>
      <c r="F755" s="385"/>
      <c r="G755" s="390">
        <f t="shared" si="24"/>
        <v>0</v>
      </c>
    </row>
    <row r="756" spans="1:7" ht="12" customHeight="1" x14ac:dyDescent="0.2">
      <c r="A756" s="381"/>
      <c r="B756" s="387" t="s">
        <v>352</v>
      </c>
      <c r="C756" s="268" t="s">
        <v>8</v>
      </c>
      <c r="D756" s="269">
        <v>40</v>
      </c>
      <c r="E756" s="257"/>
      <c r="F756" s="385"/>
      <c r="G756" s="390">
        <f t="shared" si="24"/>
        <v>0</v>
      </c>
    </row>
    <row r="757" spans="1:7" ht="12" customHeight="1" x14ac:dyDescent="0.2">
      <c r="A757" s="381"/>
      <c r="B757" s="387" t="s">
        <v>353</v>
      </c>
      <c r="C757" s="268" t="s">
        <v>8</v>
      </c>
      <c r="D757" s="269">
        <v>12</v>
      </c>
      <c r="E757" s="257"/>
      <c r="F757" s="385"/>
      <c r="G757" s="390">
        <f t="shared" si="24"/>
        <v>0</v>
      </c>
    </row>
    <row r="758" spans="1:7" ht="12" customHeight="1" x14ac:dyDescent="0.2">
      <c r="A758" s="381"/>
      <c r="B758" s="387" t="s">
        <v>274</v>
      </c>
      <c r="C758" s="268" t="s">
        <v>8</v>
      </c>
      <c r="D758" s="269">
        <v>11</v>
      </c>
      <c r="E758" s="257"/>
      <c r="F758" s="385"/>
      <c r="G758" s="390">
        <f t="shared" si="24"/>
        <v>0</v>
      </c>
    </row>
    <row r="759" spans="1:7" ht="12" customHeight="1" x14ac:dyDescent="0.2">
      <c r="A759" s="381"/>
      <c r="B759" s="387" t="s">
        <v>275</v>
      </c>
      <c r="C759" s="268" t="s">
        <v>8</v>
      </c>
      <c r="D759" s="269">
        <v>13</v>
      </c>
      <c r="E759" s="257"/>
      <c r="F759" s="385"/>
      <c r="G759" s="390">
        <f t="shared" si="24"/>
        <v>0</v>
      </c>
    </row>
    <row r="760" spans="1:7" ht="12.75" customHeight="1" x14ac:dyDescent="0.2">
      <c r="A760" s="381"/>
      <c r="B760" s="387" t="s">
        <v>258</v>
      </c>
      <c r="C760" s="268" t="s">
        <v>8</v>
      </c>
      <c r="D760" s="269">
        <v>20</v>
      </c>
      <c r="E760" s="257"/>
      <c r="F760" s="385"/>
      <c r="G760" s="390">
        <f t="shared" si="24"/>
        <v>0</v>
      </c>
    </row>
    <row r="761" spans="1:7" ht="12" customHeight="1" x14ac:dyDescent="0.2">
      <c r="A761" s="381"/>
      <c r="B761" s="387" t="s">
        <v>445</v>
      </c>
      <c r="C761" s="268" t="s">
        <v>8</v>
      </c>
      <c r="D761" s="269">
        <v>3</v>
      </c>
      <c r="E761" s="257"/>
      <c r="F761" s="385"/>
      <c r="G761" s="390">
        <f t="shared" si="24"/>
        <v>0</v>
      </c>
    </row>
    <row r="762" spans="1:7" ht="12" customHeight="1" x14ac:dyDescent="0.2">
      <c r="A762" s="381"/>
      <c r="B762" s="387" t="s">
        <v>368</v>
      </c>
      <c r="C762" s="383" t="s">
        <v>8</v>
      </c>
      <c r="D762" s="384">
        <v>7</v>
      </c>
      <c r="E762" s="257"/>
      <c r="F762" s="385"/>
      <c r="G762" s="390">
        <f t="shared" si="24"/>
        <v>0</v>
      </c>
    </row>
    <row r="763" spans="1:7" ht="12" customHeight="1" x14ac:dyDescent="0.2">
      <c r="A763" s="381"/>
      <c r="B763" s="387" t="s">
        <v>446</v>
      </c>
      <c r="C763" s="383" t="s">
        <v>8</v>
      </c>
      <c r="D763" s="384">
        <v>27</v>
      </c>
      <c r="E763" s="257"/>
      <c r="F763" s="385"/>
      <c r="G763" s="390">
        <f t="shared" si="24"/>
        <v>0</v>
      </c>
    </row>
    <row r="764" spans="1:7" ht="12" customHeight="1" x14ac:dyDescent="0.2">
      <c r="A764" s="381"/>
      <c r="B764" s="387" t="s">
        <v>447</v>
      </c>
      <c r="C764" s="383" t="s">
        <v>8</v>
      </c>
      <c r="D764" s="384">
        <v>7</v>
      </c>
      <c r="E764" s="257"/>
      <c r="F764" s="385"/>
      <c r="G764" s="390">
        <f t="shared" si="24"/>
        <v>0</v>
      </c>
    </row>
    <row r="765" spans="1:7" ht="12" customHeight="1" x14ac:dyDescent="0.2">
      <c r="A765" s="381"/>
      <c r="B765" s="387" t="s">
        <v>356</v>
      </c>
      <c r="C765" s="383" t="s">
        <v>8</v>
      </c>
      <c r="D765" s="384">
        <v>20</v>
      </c>
      <c r="E765" s="257"/>
      <c r="F765" s="385"/>
      <c r="G765" s="390">
        <f t="shared" si="24"/>
        <v>0</v>
      </c>
    </row>
    <row r="766" spans="1:7" ht="12" customHeight="1" x14ac:dyDescent="0.2">
      <c r="A766" s="381"/>
      <c r="B766" s="387" t="s">
        <v>467</v>
      </c>
      <c r="C766" s="268" t="s">
        <v>8</v>
      </c>
      <c r="D766" s="269">
        <v>5</v>
      </c>
      <c r="E766" s="257"/>
      <c r="F766" s="385"/>
      <c r="G766" s="390">
        <f>+D766*E766+D766*F766</f>
        <v>0</v>
      </c>
    </row>
    <row r="767" spans="1:7" ht="12" customHeight="1" x14ac:dyDescent="0.2">
      <c r="A767" s="381"/>
      <c r="B767" s="387" t="s">
        <v>357</v>
      </c>
      <c r="C767" s="268" t="s">
        <v>8</v>
      </c>
      <c r="D767" s="269">
        <v>2</v>
      </c>
      <c r="E767" s="257"/>
      <c r="F767" s="385"/>
      <c r="G767" s="390">
        <f t="shared" si="24"/>
        <v>0</v>
      </c>
    </row>
    <row r="768" spans="1:7" ht="12" customHeight="1" x14ac:dyDescent="0.2">
      <c r="A768" s="381"/>
      <c r="B768" s="387" t="s">
        <v>358</v>
      </c>
      <c r="C768" s="268" t="s">
        <v>8</v>
      </c>
      <c r="D768" s="269">
        <v>3</v>
      </c>
      <c r="E768" s="257"/>
      <c r="F768" s="385"/>
      <c r="G768" s="390">
        <f t="shared" si="24"/>
        <v>0</v>
      </c>
    </row>
    <row r="769" spans="1:7" ht="12" customHeight="1" x14ac:dyDescent="0.2">
      <c r="A769" s="381"/>
      <c r="B769" s="387" t="s">
        <v>359</v>
      </c>
      <c r="C769" s="268" t="s">
        <v>8</v>
      </c>
      <c r="D769" s="269">
        <v>15</v>
      </c>
      <c r="E769" s="257"/>
      <c r="F769" s="385"/>
      <c r="G769" s="390">
        <f t="shared" si="24"/>
        <v>0</v>
      </c>
    </row>
    <row r="770" spans="1:7" ht="12" customHeight="1" x14ac:dyDescent="0.2">
      <c r="A770" s="381"/>
      <c r="B770" s="387" t="s">
        <v>360</v>
      </c>
      <c r="C770" s="268" t="s">
        <v>8</v>
      </c>
      <c r="D770" s="269">
        <f>D760</f>
        <v>20</v>
      </c>
      <c r="E770" s="257"/>
      <c r="F770" s="385"/>
      <c r="G770" s="390">
        <f t="shared" si="24"/>
        <v>0</v>
      </c>
    </row>
    <row r="771" spans="1:7" ht="12.75" x14ac:dyDescent="0.2">
      <c r="A771" s="381"/>
      <c r="B771" s="387" t="s">
        <v>361</v>
      </c>
      <c r="C771" s="268" t="s">
        <v>8</v>
      </c>
      <c r="D771" s="269">
        <v>5</v>
      </c>
      <c r="E771" s="257"/>
      <c r="F771" s="385"/>
      <c r="G771" s="390">
        <f t="shared" si="24"/>
        <v>0</v>
      </c>
    </row>
    <row r="772" spans="1:7" ht="12.75" x14ac:dyDescent="0.2">
      <c r="A772" s="381"/>
      <c r="B772" s="387" t="s">
        <v>362</v>
      </c>
      <c r="C772" s="268" t="s">
        <v>8</v>
      </c>
      <c r="D772" s="269">
        <v>5</v>
      </c>
      <c r="E772" s="257"/>
      <c r="F772" s="385"/>
      <c r="G772" s="390">
        <f t="shared" si="24"/>
        <v>0</v>
      </c>
    </row>
    <row r="773" spans="1:7" ht="12.75" x14ac:dyDescent="0.2">
      <c r="A773" s="381"/>
      <c r="B773" s="387" t="s">
        <v>363</v>
      </c>
      <c r="C773" s="268" t="s">
        <v>8</v>
      </c>
      <c r="D773" s="269">
        <v>5</v>
      </c>
      <c r="E773" s="257"/>
      <c r="F773" s="385"/>
      <c r="G773" s="390">
        <f t="shared" si="24"/>
        <v>0</v>
      </c>
    </row>
    <row r="774" spans="1:7" ht="12.75" x14ac:dyDescent="0.2">
      <c r="A774" s="381"/>
      <c r="B774" s="387" t="s">
        <v>391</v>
      </c>
      <c r="C774" s="268" t="s">
        <v>8</v>
      </c>
      <c r="D774" s="269">
        <v>11</v>
      </c>
      <c r="E774" s="257"/>
      <c r="F774" s="385"/>
      <c r="G774" s="390">
        <f t="shared" si="24"/>
        <v>0</v>
      </c>
    </row>
    <row r="775" spans="1:7" ht="12.75" x14ac:dyDescent="0.2">
      <c r="A775" s="381"/>
      <c r="B775" s="387" t="s">
        <v>365</v>
      </c>
      <c r="C775" s="268" t="s">
        <v>8</v>
      </c>
      <c r="D775" s="269">
        <v>10</v>
      </c>
      <c r="E775" s="257"/>
      <c r="F775" s="385"/>
      <c r="G775" s="390">
        <f t="shared" si="24"/>
        <v>0</v>
      </c>
    </row>
    <row r="776" spans="1:7" ht="12.75" x14ac:dyDescent="0.2">
      <c r="A776" s="381"/>
      <c r="B776" s="387" t="s">
        <v>392</v>
      </c>
      <c r="C776" s="268" t="s">
        <v>8</v>
      </c>
      <c r="D776" s="269">
        <v>5</v>
      </c>
      <c r="E776" s="257"/>
      <c r="F776" s="385"/>
      <c r="G776" s="390">
        <f t="shared" si="24"/>
        <v>0</v>
      </c>
    </row>
    <row r="777" spans="1:7" ht="12.75" x14ac:dyDescent="0.2">
      <c r="A777" s="381"/>
      <c r="B777" s="387"/>
      <c r="C777" s="268"/>
      <c r="D777" s="269"/>
      <c r="E777" s="257"/>
      <c r="F777" s="385"/>
      <c r="G777" s="390"/>
    </row>
    <row r="778" spans="1:7" ht="12.75" x14ac:dyDescent="0.2">
      <c r="A778" s="381"/>
      <c r="B778" s="387"/>
      <c r="C778" s="268"/>
      <c r="D778" s="269"/>
      <c r="E778" s="257"/>
      <c r="F778" s="385"/>
      <c r="G778" s="390"/>
    </row>
    <row r="779" spans="1:7" ht="13.5" thickBot="1" x14ac:dyDescent="0.25">
      <c r="A779" s="454"/>
      <c r="B779" s="455"/>
      <c r="C779" s="282"/>
      <c r="D779" s="283"/>
      <c r="E779" s="456"/>
      <c r="F779" s="457"/>
      <c r="G779" s="458"/>
    </row>
    <row r="780" spans="1:7" ht="12.75" x14ac:dyDescent="0.2">
      <c r="A780" s="391"/>
      <c r="B780" s="392"/>
      <c r="C780" s="393"/>
      <c r="D780" s="394"/>
      <c r="E780" s="395"/>
      <c r="F780" s="396"/>
      <c r="G780" s="397"/>
    </row>
    <row r="781" spans="1:7" ht="12.75" x14ac:dyDescent="0.2">
      <c r="A781" s="379" t="s">
        <v>176</v>
      </c>
      <c r="B781" s="380" t="s">
        <v>216</v>
      </c>
      <c r="C781" s="388"/>
      <c r="D781" s="389"/>
      <c r="E781" s="257"/>
      <c r="F781" s="385"/>
      <c r="G781" s="390">
        <f t="shared" si="24"/>
        <v>0</v>
      </c>
    </row>
    <row r="782" spans="1:7" ht="13.5" x14ac:dyDescent="0.2">
      <c r="A782" s="85" t="s">
        <v>164</v>
      </c>
      <c r="B782" s="312" t="s">
        <v>501</v>
      </c>
      <c r="C782" s="343" t="s">
        <v>217</v>
      </c>
      <c r="D782" s="99">
        <f>D756+D759+D760+D758+D757+D761</f>
        <v>99</v>
      </c>
      <c r="E782" s="89"/>
      <c r="F782" s="385"/>
      <c r="G782" s="390">
        <f t="shared" si="24"/>
        <v>0</v>
      </c>
    </row>
    <row r="783" spans="1:7" ht="13.5" x14ac:dyDescent="0.2">
      <c r="A783" s="85" t="s">
        <v>165</v>
      </c>
      <c r="B783" s="312" t="s">
        <v>502</v>
      </c>
      <c r="C783" s="343" t="s">
        <v>217</v>
      </c>
      <c r="D783" s="99">
        <f>D762+D763+D764+D765</f>
        <v>61</v>
      </c>
      <c r="E783" s="89"/>
      <c r="F783" s="385"/>
      <c r="G783" s="390">
        <f t="shared" si="24"/>
        <v>0</v>
      </c>
    </row>
    <row r="784" spans="1:7" ht="13.5" x14ac:dyDescent="0.2">
      <c r="A784" s="85" t="s">
        <v>176</v>
      </c>
      <c r="B784" s="312" t="s">
        <v>503</v>
      </c>
      <c r="C784" s="343" t="s">
        <v>111</v>
      </c>
      <c r="D784" s="99">
        <v>2</v>
      </c>
      <c r="E784" s="89"/>
      <c r="F784" s="385"/>
      <c r="G784" s="390">
        <f t="shared" si="24"/>
        <v>0</v>
      </c>
    </row>
    <row r="785" spans="1:7" x14ac:dyDescent="0.2">
      <c r="A785" s="85" t="s">
        <v>177</v>
      </c>
      <c r="B785" s="312" t="s">
        <v>448</v>
      </c>
      <c r="C785" s="343" t="s">
        <v>111</v>
      </c>
      <c r="D785" s="99">
        <f>D773</f>
        <v>5</v>
      </c>
      <c r="E785" s="89"/>
      <c r="F785" s="385"/>
      <c r="G785" s="390">
        <f t="shared" si="24"/>
        <v>0</v>
      </c>
    </row>
    <row r="786" spans="1:7" x14ac:dyDescent="0.2">
      <c r="A786" s="85" t="s">
        <v>178</v>
      </c>
      <c r="B786" s="312" t="s">
        <v>449</v>
      </c>
      <c r="C786" s="343" t="s">
        <v>111</v>
      </c>
      <c r="D786" s="99">
        <f>D771</f>
        <v>5</v>
      </c>
      <c r="E786" s="89"/>
      <c r="F786" s="385"/>
      <c r="G786" s="390">
        <f t="shared" si="24"/>
        <v>0</v>
      </c>
    </row>
    <row r="787" spans="1:7" x14ac:dyDescent="0.2">
      <c r="A787" s="85" t="s">
        <v>179</v>
      </c>
      <c r="B787" s="312" t="s">
        <v>450</v>
      </c>
      <c r="C787" s="343" t="s">
        <v>111</v>
      </c>
      <c r="D787" s="99">
        <f>D772</f>
        <v>5</v>
      </c>
      <c r="E787" s="89"/>
      <c r="F787" s="385"/>
      <c r="G787" s="390">
        <f t="shared" si="24"/>
        <v>0</v>
      </c>
    </row>
    <row r="788" spans="1:7" x14ac:dyDescent="0.2">
      <c r="A788" s="85" t="s">
        <v>180</v>
      </c>
      <c r="B788" s="312" t="s">
        <v>476</v>
      </c>
      <c r="C788" s="343" t="s">
        <v>111</v>
      </c>
      <c r="D788" s="99">
        <f>D776</f>
        <v>5</v>
      </c>
      <c r="E788" s="89"/>
      <c r="F788" s="385"/>
      <c r="G788" s="390">
        <f t="shared" si="24"/>
        <v>0</v>
      </c>
    </row>
    <row r="789" spans="1:7" x14ac:dyDescent="0.2">
      <c r="A789" s="85" t="s">
        <v>181</v>
      </c>
      <c r="B789" s="312" t="s">
        <v>451</v>
      </c>
      <c r="C789" s="343" t="s">
        <v>111</v>
      </c>
      <c r="D789" s="99">
        <f>D774</f>
        <v>11</v>
      </c>
      <c r="E789" s="89"/>
      <c r="F789" s="385"/>
      <c r="G789" s="390">
        <f t="shared" si="24"/>
        <v>0</v>
      </c>
    </row>
    <row r="790" spans="1:7" x14ac:dyDescent="0.2">
      <c r="A790" s="85"/>
      <c r="B790" s="312"/>
      <c r="C790" s="343"/>
      <c r="D790" s="99"/>
      <c r="E790" s="89"/>
      <c r="F790" s="223"/>
      <c r="G790" s="390"/>
    </row>
    <row r="791" spans="1:7" ht="12.75" customHeight="1" x14ac:dyDescent="0.2">
      <c r="A791" s="372" t="s">
        <v>150</v>
      </c>
      <c r="B791" s="373" t="s">
        <v>67</v>
      </c>
      <c r="C791" s="374"/>
      <c r="D791" s="375"/>
      <c r="E791" s="376"/>
      <c r="F791" s="377"/>
      <c r="G791" s="378"/>
    </row>
    <row r="792" spans="1:7" ht="12.75" customHeight="1" x14ac:dyDescent="0.2">
      <c r="A792" s="379" t="s">
        <v>164</v>
      </c>
      <c r="B792" s="380" t="s">
        <v>214</v>
      </c>
      <c r="C792" s="268"/>
      <c r="D792" s="269"/>
      <c r="E792" s="257"/>
      <c r="F792" s="223"/>
      <c r="G792" s="224">
        <f>D792*E792</f>
        <v>0</v>
      </c>
    </row>
    <row r="793" spans="1:7" ht="28.5" customHeight="1" x14ac:dyDescent="0.2">
      <c r="A793" s="381" t="s">
        <v>468</v>
      </c>
      <c r="B793" s="387" t="s">
        <v>444</v>
      </c>
      <c r="C793" s="383"/>
      <c r="D793" s="384"/>
      <c r="E793" s="257"/>
      <c r="F793" s="385"/>
      <c r="G793" s="386"/>
    </row>
    <row r="794" spans="1:7" ht="12.75" customHeight="1" x14ac:dyDescent="0.2">
      <c r="A794" s="381" t="s">
        <v>474</v>
      </c>
      <c r="B794" s="387" t="s">
        <v>472</v>
      </c>
      <c r="C794" s="383" t="s">
        <v>8</v>
      </c>
      <c r="D794" s="384">
        <v>1</v>
      </c>
      <c r="E794" s="257"/>
      <c r="F794" s="385"/>
      <c r="G794" s="386">
        <f>+D794*E794+D794*F794</f>
        <v>0</v>
      </c>
    </row>
    <row r="795" spans="1:7" ht="12.75" customHeight="1" x14ac:dyDescent="0.2">
      <c r="A795" s="381" t="s">
        <v>475</v>
      </c>
      <c r="B795" s="387" t="s">
        <v>473</v>
      </c>
      <c r="C795" s="383" t="s">
        <v>8</v>
      </c>
      <c r="D795" s="384">
        <v>1</v>
      </c>
      <c r="E795" s="257"/>
      <c r="F795" s="385"/>
      <c r="G795" s="386">
        <f>+D795*E795+D795*F795</f>
        <v>0</v>
      </c>
    </row>
    <row r="796" spans="1:7" ht="12.75" customHeight="1" x14ac:dyDescent="0.2">
      <c r="A796" s="379" t="s">
        <v>165</v>
      </c>
      <c r="B796" s="380" t="s">
        <v>215</v>
      </c>
      <c r="C796" s="388"/>
      <c r="D796" s="389"/>
      <c r="E796" s="257"/>
      <c r="F796" s="385"/>
      <c r="G796" s="390">
        <f t="shared" ref="G796:G827" si="25">+D796*E796+D796*F796</f>
        <v>0</v>
      </c>
    </row>
    <row r="797" spans="1:7" ht="12.75" customHeight="1" x14ac:dyDescent="0.2">
      <c r="A797" s="381"/>
      <c r="B797" s="387" t="s">
        <v>352</v>
      </c>
      <c r="C797" s="268" t="s">
        <v>8</v>
      </c>
      <c r="D797" s="269">
        <v>40</v>
      </c>
      <c r="E797" s="257"/>
      <c r="F797" s="385"/>
      <c r="G797" s="390">
        <f t="shared" si="25"/>
        <v>0</v>
      </c>
    </row>
    <row r="798" spans="1:7" ht="12.75" customHeight="1" x14ac:dyDescent="0.2">
      <c r="A798" s="381"/>
      <c r="B798" s="387" t="s">
        <v>367</v>
      </c>
      <c r="C798" s="268" t="s">
        <v>8</v>
      </c>
      <c r="D798" s="269">
        <v>2</v>
      </c>
      <c r="E798" s="257"/>
      <c r="F798" s="385"/>
      <c r="G798" s="390">
        <f t="shared" si="25"/>
        <v>0</v>
      </c>
    </row>
    <row r="799" spans="1:7" ht="12.75" customHeight="1" x14ac:dyDescent="0.2">
      <c r="A799" s="381"/>
      <c r="B799" s="387" t="s">
        <v>353</v>
      </c>
      <c r="C799" s="268" t="s">
        <v>8</v>
      </c>
      <c r="D799" s="269">
        <v>12</v>
      </c>
      <c r="E799" s="257"/>
      <c r="F799" s="385"/>
      <c r="G799" s="390">
        <f t="shared" si="25"/>
        <v>0</v>
      </c>
    </row>
    <row r="800" spans="1:7" ht="12.75" customHeight="1" x14ac:dyDescent="0.2">
      <c r="A800" s="381"/>
      <c r="B800" s="387" t="s">
        <v>274</v>
      </c>
      <c r="C800" s="268" t="s">
        <v>8</v>
      </c>
      <c r="D800" s="269">
        <v>11</v>
      </c>
      <c r="E800" s="257"/>
      <c r="F800" s="385"/>
      <c r="G800" s="390">
        <f t="shared" si="25"/>
        <v>0</v>
      </c>
    </row>
    <row r="801" spans="1:7" ht="12.75" customHeight="1" x14ac:dyDescent="0.2">
      <c r="A801" s="381"/>
      <c r="B801" s="387" t="s">
        <v>258</v>
      </c>
      <c r="C801" s="268" t="s">
        <v>8</v>
      </c>
      <c r="D801" s="269">
        <v>21</v>
      </c>
      <c r="E801" s="257"/>
      <c r="F801" s="385"/>
      <c r="G801" s="390">
        <f t="shared" si="25"/>
        <v>0</v>
      </c>
    </row>
    <row r="802" spans="1:7" ht="12.75" customHeight="1" x14ac:dyDescent="0.2">
      <c r="A802" s="381"/>
      <c r="B802" s="387" t="s">
        <v>452</v>
      </c>
      <c r="C802" s="268" t="s">
        <v>8</v>
      </c>
      <c r="D802" s="269">
        <v>3</v>
      </c>
      <c r="E802" s="257"/>
      <c r="F802" s="385"/>
      <c r="G802" s="390">
        <f t="shared" si="25"/>
        <v>0</v>
      </c>
    </row>
    <row r="803" spans="1:7" ht="12.75" customHeight="1" x14ac:dyDescent="0.2">
      <c r="A803" s="381"/>
      <c r="B803" s="387" t="s">
        <v>354</v>
      </c>
      <c r="C803" s="383" t="s">
        <v>8</v>
      </c>
      <c r="D803" s="384">
        <v>5</v>
      </c>
      <c r="E803" s="257"/>
      <c r="F803" s="385"/>
      <c r="G803" s="390">
        <f t="shared" si="25"/>
        <v>0</v>
      </c>
    </row>
    <row r="804" spans="1:7" ht="12.75" customHeight="1" x14ac:dyDescent="0.2">
      <c r="A804" s="381"/>
      <c r="B804" s="387" t="s">
        <v>355</v>
      </c>
      <c r="C804" s="383" t="s">
        <v>8</v>
      </c>
      <c r="D804" s="384">
        <v>31</v>
      </c>
      <c r="E804" s="257"/>
      <c r="F804" s="385"/>
      <c r="G804" s="390">
        <f t="shared" si="25"/>
        <v>0</v>
      </c>
    </row>
    <row r="805" spans="1:7" ht="12.75" customHeight="1" x14ac:dyDescent="0.2">
      <c r="A805" s="381"/>
      <c r="B805" s="387" t="s">
        <v>356</v>
      </c>
      <c r="C805" s="383" t="s">
        <v>8</v>
      </c>
      <c r="D805" s="384">
        <v>20</v>
      </c>
      <c r="E805" s="257"/>
      <c r="F805" s="385"/>
      <c r="G805" s="390">
        <f t="shared" si="25"/>
        <v>0</v>
      </c>
    </row>
    <row r="806" spans="1:7" ht="12.75" customHeight="1" x14ac:dyDescent="0.2">
      <c r="A806" s="381"/>
      <c r="B806" s="387" t="s">
        <v>447</v>
      </c>
      <c r="C806" s="383" t="s">
        <v>8</v>
      </c>
      <c r="D806" s="384">
        <v>7</v>
      </c>
      <c r="E806" s="257"/>
      <c r="F806" s="385"/>
      <c r="G806" s="390">
        <f t="shared" si="25"/>
        <v>0</v>
      </c>
    </row>
    <row r="807" spans="1:7" ht="12.75" customHeight="1" x14ac:dyDescent="0.2">
      <c r="A807" s="381"/>
      <c r="B807" s="387" t="s">
        <v>467</v>
      </c>
      <c r="C807" s="268" t="s">
        <v>8</v>
      </c>
      <c r="D807" s="269">
        <v>5</v>
      </c>
      <c r="E807" s="257"/>
      <c r="F807" s="385"/>
      <c r="G807" s="390">
        <f t="shared" si="25"/>
        <v>0</v>
      </c>
    </row>
    <row r="808" spans="1:7" ht="12.75" customHeight="1" x14ac:dyDescent="0.2">
      <c r="A808" s="381"/>
      <c r="B808" s="387" t="s">
        <v>357</v>
      </c>
      <c r="C808" s="268" t="s">
        <v>8</v>
      </c>
      <c r="D808" s="269">
        <v>2</v>
      </c>
      <c r="E808" s="257"/>
      <c r="F808" s="385"/>
      <c r="G808" s="390">
        <f t="shared" si="25"/>
        <v>0</v>
      </c>
    </row>
    <row r="809" spans="1:7" ht="12.75" customHeight="1" x14ac:dyDescent="0.2">
      <c r="A809" s="381"/>
      <c r="B809" s="387" t="s">
        <v>358</v>
      </c>
      <c r="C809" s="268" t="s">
        <v>8</v>
      </c>
      <c r="D809" s="269">
        <v>0</v>
      </c>
      <c r="E809" s="257"/>
      <c r="F809" s="385"/>
      <c r="G809" s="390">
        <f t="shared" si="25"/>
        <v>0</v>
      </c>
    </row>
    <row r="810" spans="1:7" ht="12.75" customHeight="1" x14ac:dyDescent="0.2">
      <c r="A810" s="381"/>
      <c r="B810" s="387" t="s">
        <v>359</v>
      </c>
      <c r="C810" s="268" t="s">
        <v>8</v>
      </c>
      <c r="D810" s="269">
        <v>14</v>
      </c>
      <c r="E810" s="257"/>
      <c r="F810" s="385"/>
      <c r="G810" s="390">
        <f t="shared" si="25"/>
        <v>0</v>
      </c>
    </row>
    <row r="811" spans="1:7" ht="12.75" customHeight="1" x14ac:dyDescent="0.2">
      <c r="A811" s="381"/>
      <c r="B811" s="387" t="s">
        <v>360</v>
      </c>
      <c r="C811" s="268" t="s">
        <v>8</v>
      </c>
      <c r="D811" s="269">
        <f>D801</f>
        <v>21</v>
      </c>
      <c r="E811" s="257"/>
      <c r="F811" s="385"/>
      <c r="G811" s="390">
        <f t="shared" si="25"/>
        <v>0</v>
      </c>
    </row>
    <row r="812" spans="1:7" ht="12.75" customHeight="1" x14ac:dyDescent="0.2">
      <c r="A812" s="381"/>
      <c r="B812" s="387" t="s">
        <v>361</v>
      </c>
      <c r="C812" s="268" t="s">
        <v>8</v>
      </c>
      <c r="D812" s="269">
        <v>5</v>
      </c>
      <c r="E812" s="257"/>
      <c r="F812" s="385"/>
      <c r="G812" s="390">
        <f t="shared" si="25"/>
        <v>0</v>
      </c>
    </row>
    <row r="813" spans="1:7" ht="12.75" customHeight="1" x14ac:dyDescent="0.2">
      <c r="A813" s="381"/>
      <c r="B813" s="387" t="s">
        <v>362</v>
      </c>
      <c r="C813" s="268" t="s">
        <v>8</v>
      </c>
      <c r="D813" s="269">
        <v>5</v>
      </c>
      <c r="E813" s="257"/>
      <c r="F813" s="385"/>
      <c r="G813" s="390">
        <f t="shared" si="25"/>
        <v>0</v>
      </c>
    </row>
    <row r="814" spans="1:7" ht="12.75" customHeight="1" x14ac:dyDescent="0.2">
      <c r="A814" s="381"/>
      <c r="B814" s="387" t="s">
        <v>363</v>
      </c>
      <c r="C814" s="268" t="s">
        <v>8</v>
      </c>
      <c r="D814" s="269">
        <v>5</v>
      </c>
      <c r="E814" s="257"/>
      <c r="F814" s="385"/>
      <c r="G814" s="390">
        <f t="shared" si="25"/>
        <v>0</v>
      </c>
    </row>
    <row r="815" spans="1:7" ht="12.75" customHeight="1" x14ac:dyDescent="0.2">
      <c r="A815" s="381"/>
      <c r="B815" s="387" t="s">
        <v>364</v>
      </c>
      <c r="C815" s="268" t="s">
        <v>8</v>
      </c>
      <c r="D815" s="269">
        <v>11</v>
      </c>
      <c r="E815" s="257"/>
      <c r="F815" s="385"/>
      <c r="G815" s="390">
        <f t="shared" si="25"/>
        <v>0</v>
      </c>
    </row>
    <row r="816" spans="1:7" ht="12.75" customHeight="1" x14ac:dyDescent="0.2">
      <c r="A816" s="381"/>
      <c r="B816" s="387" t="s">
        <v>365</v>
      </c>
      <c r="C816" s="268" t="s">
        <v>8</v>
      </c>
      <c r="D816" s="269">
        <v>10</v>
      </c>
      <c r="E816" s="257"/>
      <c r="F816" s="385"/>
      <c r="G816" s="390">
        <f t="shared" si="25"/>
        <v>0</v>
      </c>
    </row>
    <row r="817" spans="1:7" ht="12.75" customHeight="1" x14ac:dyDescent="0.2">
      <c r="A817" s="381"/>
      <c r="B817" s="387" t="s">
        <v>366</v>
      </c>
      <c r="C817" s="268" t="s">
        <v>8</v>
      </c>
      <c r="D817" s="269">
        <v>5</v>
      </c>
      <c r="E817" s="257"/>
      <c r="F817" s="385"/>
      <c r="G817" s="390">
        <f t="shared" si="25"/>
        <v>0</v>
      </c>
    </row>
    <row r="818" spans="1:7" ht="12.75" customHeight="1" x14ac:dyDescent="0.2">
      <c r="A818" s="381"/>
      <c r="B818" s="387"/>
      <c r="C818" s="268"/>
      <c r="D818" s="269"/>
      <c r="E818" s="257"/>
      <c r="F818" s="385"/>
      <c r="G818" s="390"/>
    </row>
    <row r="819" spans="1:7" ht="12.75" customHeight="1" x14ac:dyDescent="0.2">
      <c r="A819" s="379" t="s">
        <v>176</v>
      </c>
      <c r="B819" s="380" t="s">
        <v>216</v>
      </c>
      <c r="C819" s="388"/>
      <c r="D819" s="389"/>
      <c r="E819" s="257"/>
      <c r="F819" s="385"/>
      <c r="G819" s="390">
        <f t="shared" si="25"/>
        <v>0</v>
      </c>
    </row>
    <row r="820" spans="1:7" ht="12.75" customHeight="1" x14ac:dyDescent="0.2">
      <c r="A820" s="85" t="s">
        <v>164</v>
      </c>
      <c r="B820" s="312" t="s">
        <v>501</v>
      </c>
      <c r="C820" s="343" t="s">
        <v>217</v>
      </c>
      <c r="D820" s="99">
        <f>D797+D798+D801+D800+D799+D802</f>
        <v>89</v>
      </c>
      <c r="E820" s="89"/>
      <c r="F820" s="385"/>
      <c r="G820" s="390">
        <f t="shared" si="25"/>
        <v>0</v>
      </c>
    </row>
    <row r="821" spans="1:7" ht="12.75" customHeight="1" x14ac:dyDescent="0.2">
      <c r="A821" s="85" t="s">
        <v>165</v>
      </c>
      <c r="B821" s="312" t="s">
        <v>502</v>
      </c>
      <c r="C821" s="343" t="s">
        <v>217</v>
      </c>
      <c r="D821" s="99">
        <f>D803+D804+D805+D806</f>
        <v>63</v>
      </c>
      <c r="E821" s="89"/>
      <c r="F821" s="385"/>
      <c r="G821" s="390">
        <f t="shared" si="25"/>
        <v>0</v>
      </c>
    </row>
    <row r="822" spans="1:7" ht="12.75" customHeight="1" x14ac:dyDescent="0.2">
      <c r="A822" s="85" t="s">
        <v>176</v>
      </c>
      <c r="B822" s="312" t="s">
        <v>503</v>
      </c>
      <c r="C822" s="343" t="s">
        <v>111</v>
      </c>
      <c r="D822" s="99">
        <v>2</v>
      </c>
      <c r="E822" s="89"/>
      <c r="F822" s="385"/>
      <c r="G822" s="390">
        <f t="shared" si="25"/>
        <v>0</v>
      </c>
    </row>
    <row r="823" spans="1:7" ht="12.75" customHeight="1" x14ac:dyDescent="0.2">
      <c r="A823" s="85" t="s">
        <v>177</v>
      </c>
      <c r="B823" s="312" t="s">
        <v>448</v>
      </c>
      <c r="C823" s="343" t="s">
        <v>111</v>
      </c>
      <c r="D823" s="99">
        <f>D814</f>
        <v>5</v>
      </c>
      <c r="E823" s="89"/>
      <c r="F823" s="385"/>
      <c r="G823" s="390">
        <f t="shared" si="25"/>
        <v>0</v>
      </c>
    </row>
    <row r="824" spans="1:7" ht="12.75" customHeight="1" x14ac:dyDescent="0.2">
      <c r="A824" s="85" t="s">
        <v>178</v>
      </c>
      <c r="B824" s="312" t="s">
        <v>449</v>
      </c>
      <c r="C824" s="343" t="s">
        <v>111</v>
      </c>
      <c r="D824" s="99">
        <f>D813</f>
        <v>5</v>
      </c>
      <c r="E824" s="89"/>
      <c r="F824" s="385"/>
      <c r="G824" s="390">
        <f t="shared" si="25"/>
        <v>0</v>
      </c>
    </row>
    <row r="825" spans="1:7" ht="12.75" customHeight="1" x14ac:dyDescent="0.2">
      <c r="A825" s="85" t="s">
        <v>179</v>
      </c>
      <c r="B825" s="312" t="s">
        <v>450</v>
      </c>
      <c r="C825" s="343" t="s">
        <v>111</v>
      </c>
      <c r="D825" s="99">
        <f>D813</f>
        <v>5</v>
      </c>
      <c r="E825" s="89"/>
      <c r="F825" s="385"/>
      <c r="G825" s="390">
        <f t="shared" si="25"/>
        <v>0</v>
      </c>
    </row>
    <row r="826" spans="1:7" ht="13.5" customHeight="1" x14ac:dyDescent="0.2">
      <c r="A826" s="85" t="s">
        <v>180</v>
      </c>
      <c r="B826" s="312" t="s">
        <v>476</v>
      </c>
      <c r="C826" s="343" t="s">
        <v>111</v>
      </c>
      <c r="D826" s="99">
        <f>D817</f>
        <v>5</v>
      </c>
      <c r="E826" s="89"/>
      <c r="F826" s="385"/>
      <c r="G826" s="390">
        <f t="shared" si="25"/>
        <v>0</v>
      </c>
    </row>
    <row r="827" spans="1:7" ht="12.75" customHeight="1" x14ac:dyDescent="0.2">
      <c r="A827" s="85" t="s">
        <v>181</v>
      </c>
      <c r="B827" s="312" t="s">
        <v>451</v>
      </c>
      <c r="C827" s="343" t="s">
        <v>111</v>
      </c>
      <c r="D827" s="99">
        <f>D815</f>
        <v>11</v>
      </c>
      <c r="E827" s="89"/>
      <c r="F827" s="385"/>
      <c r="G827" s="390">
        <f t="shared" si="25"/>
        <v>0</v>
      </c>
    </row>
    <row r="828" spans="1:7" ht="12.75" customHeight="1" x14ac:dyDescent="0.2">
      <c r="A828" s="85"/>
      <c r="B828" s="312"/>
      <c r="C828" s="343"/>
      <c r="D828" s="99"/>
      <c r="E828" s="89"/>
      <c r="F828" s="385"/>
      <c r="G828" s="390"/>
    </row>
    <row r="829" spans="1:7" ht="12.75" customHeight="1" x14ac:dyDescent="0.2">
      <c r="A829" s="381"/>
      <c r="B829" s="387"/>
      <c r="C829" s="383"/>
      <c r="D829" s="384"/>
      <c r="E829" s="257"/>
      <c r="F829" s="385"/>
      <c r="G829" s="390"/>
    </row>
    <row r="830" spans="1:7" ht="12.75" customHeight="1" x14ac:dyDescent="0.2">
      <c r="A830" s="381"/>
      <c r="B830" s="387"/>
      <c r="C830" s="383"/>
      <c r="D830" s="384"/>
      <c r="E830" s="257"/>
      <c r="F830" s="385"/>
      <c r="G830" s="390"/>
    </row>
    <row r="831" spans="1:7" ht="12.75" customHeight="1" thickBot="1" x14ac:dyDescent="0.25">
      <c r="A831" s="381"/>
      <c r="B831" s="387"/>
      <c r="C831" s="383"/>
      <c r="D831" s="384"/>
      <c r="E831" s="257"/>
      <c r="F831" s="385"/>
      <c r="G831" s="390"/>
    </row>
    <row r="832" spans="1:7" ht="15" customHeight="1" x14ac:dyDescent="0.2">
      <c r="A832" s="78"/>
      <c r="B832" s="111" t="s">
        <v>184</v>
      </c>
      <c r="C832" s="427"/>
      <c r="D832" s="428"/>
      <c r="E832" s="428"/>
      <c r="F832" s="429"/>
      <c r="G832" s="231"/>
    </row>
    <row r="833" spans="1:9" ht="15.75" customHeight="1" thickBot="1" x14ac:dyDescent="0.25">
      <c r="A833" s="115"/>
      <c r="B833" s="116" t="s">
        <v>132</v>
      </c>
      <c r="C833" s="463"/>
      <c r="D833" s="464"/>
      <c r="E833" s="464"/>
      <c r="F833" s="465"/>
      <c r="G833" s="241">
        <f>SUM(G750:G832)</f>
        <v>0</v>
      </c>
      <c r="I833" s="42"/>
    </row>
    <row r="834" spans="1:9" x14ac:dyDescent="0.2">
      <c r="A834" s="400"/>
      <c r="B834" s="242" t="s">
        <v>373</v>
      </c>
      <c r="C834" s="98"/>
      <c r="D834" s="238"/>
      <c r="E834" s="89"/>
      <c r="F834" s="101"/>
      <c r="G834" s="102"/>
    </row>
    <row r="835" spans="1:9" x14ac:dyDescent="0.2">
      <c r="A835" s="400"/>
      <c r="B835" s="86" t="s">
        <v>372</v>
      </c>
      <c r="C835" s="98"/>
      <c r="D835" s="238"/>
      <c r="E835" s="89"/>
      <c r="F835" s="101"/>
      <c r="G835" s="102"/>
    </row>
    <row r="836" spans="1:9" x14ac:dyDescent="0.2">
      <c r="A836" s="401">
        <v>12.1</v>
      </c>
      <c r="B836" s="340" t="s">
        <v>374</v>
      </c>
      <c r="C836" s="402"/>
      <c r="D836" s="403"/>
      <c r="E836" s="162"/>
      <c r="F836" s="289"/>
      <c r="G836" s="290"/>
    </row>
    <row r="837" spans="1:9" ht="72" x14ac:dyDescent="0.2">
      <c r="A837" s="400"/>
      <c r="B837" s="312" t="s">
        <v>375</v>
      </c>
      <c r="C837" s="343"/>
      <c r="D837" s="238"/>
      <c r="E837" s="89"/>
      <c r="F837" s="101"/>
      <c r="G837" s="102"/>
    </row>
    <row r="838" spans="1:9" ht="36" x14ac:dyDescent="0.2">
      <c r="A838" s="400"/>
      <c r="B838" s="312" t="s">
        <v>376</v>
      </c>
      <c r="C838" s="343"/>
      <c r="D838" s="238"/>
      <c r="E838" s="89"/>
      <c r="F838" s="101"/>
      <c r="G838" s="102"/>
    </row>
    <row r="839" spans="1:9" ht="24" x14ac:dyDescent="0.2">
      <c r="A839" s="400"/>
      <c r="B839" s="312" t="s">
        <v>377</v>
      </c>
      <c r="C839" s="343"/>
      <c r="D839" s="238"/>
      <c r="E839" s="89"/>
      <c r="F839" s="101"/>
      <c r="G839" s="102"/>
    </row>
    <row r="840" spans="1:9" ht="41.25" customHeight="1" x14ac:dyDescent="0.2">
      <c r="A840" s="400"/>
      <c r="B840" s="312" t="s">
        <v>378</v>
      </c>
      <c r="C840" s="343"/>
      <c r="D840" s="238"/>
      <c r="E840" s="89"/>
      <c r="F840" s="101"/>
      <c r="G840" s="102"/>
    </row>
    <row r="841" spans="1:9" x14ac:dyDescent="0.2">
      <c r="A841" s="404">
        <v>12.2</v>
      </c>
      <c r="B841" s="405" t="s">
        <v>379</v>
      </c>
      <c r="C841" s="406"/>
      <c r="D841" s="407"/>
      <c r="E841" s="351"/>
      <c r="F841" s="183"/>
      <c r="G841" s="184"/>
    </row>
    <row r="842" spans="1:9" ht="24" x14ac:dyDescent="0.2">
      <c r="A842" s="400"/>
      <c r="B842" s="312" t="s">
        <v>380</v>
      </c>
      <c r="C842" s="343"/>
      <c r="D842" s="238"/>
      <c r="E842" s="89"/>
      <c r="F842" s="101"/>
      <c r="G842" s="102"/>
    </row>
    <row r="843" spans="1:9" x14ac:dyDescent="0.2">
      <c r="A843" s="408">
        <v>1</v>
      </c>
      <c r="B843" s="409" t="s">
        <v>65</v>
      </c>
      <c r="C843" s="410"/>
      <c r="D843" s="411"/>
      <c r="E843" s="412"/>
      <c r="F843" s="413"/>
      <c r="G843" s="414"/>
    </row>
    <row r="844" spans="1:9" x14ac:dyDescent="0.2">
      <c r="A844" s="415" t="s">
        <v>185</v>
      </c>
      <c r="B844" s="416" t="s">
        <v>379</v>
      </c>
      <c r="C844" s="406"/>
      <c r="D844" s="407"/>
      <c r="E844" s="351"/>
      <c r="F844" s="253"/>
      <c r="G844" s="390">
        <f t="shared" ref="G844:G852" si="26">+D844*E844+D844*F844</f>
        <v>0</v>
      </c>
    </row>
    <row r="845" spans="1:9" x14ac:dyDescent="0.2">
      <c r="A845" s="400" t="s">
        <v>164</v>
      </c>
      <c r="B845" s="312" t="s">
        <v>381</v>
      </c>
      <c r="C845" s="343" t="s">
        <v>111</v>
      </c>
      <c r="D845" s="238">
        <v>1</v>
      </c>
      <c r="E845" s="89"/>
      <c r="F845" s="101"/>
      <c r="G845" s="390">
        <f t="shared" si="26"/>
        <v>0</v>
      </c>
    </row>
    <row r="846" spans="1:9" x14ac:dyDescent="0.2">
      <c r="A846" s="400" t="s">
        <v>165</v>
      </c>
      <c r="B846" s="312" t="s">
        <v>382</v>
      </c>
      <c r="C846" s="343" t="s">
        <v>111</v>
      </c>
      <c r="D846" s="238">
        <v>1</v>
      </c>
      <c r="E846" s="89"/>
      <c r="F846" s="101"/>
      <c r="G846" s="390">
        <f t="shared" si="26"/>
        <v>0</v>
      </c>
    </row>
    <row r="847" spans="1:9" x14ac:dyDescent="0.2">
      <c r="A847" s="400" t="s">
        <v>176</v>
      </c>
      <c r="B847" s="312" t="s">
        <v>383</v>
      </c>
      <c r="C847" s="343" t="s">
        <v>111</v>
      </c>
      <c r="D847" s="238">
        <v>11</v>
      </c>
      <c r="E847" s="89"/>
      <c r="F847" s="101"/>
      <c r="G847" s="390">
        <f t="shared" si="26"/>
        <v>0</v>
      </c>
    </row>
    <row r="848" spans="1:9" ht="24" x14ac:dyDescent="0.2">
      <c r="A848" s="400" t="s">
        <v>177</v>
      </c>
      <c r="B848" s="312" t="s">
        <v>384</v>
      </c>
      <c r="C848" s="343" t="s">
        <v>111</v>
      </c>
      <c r="D848" s="238">
        <v>1</v>
      </c>
      <c r="E848" s="89"/>
      <c r="F848" s="101"/>
      <c r="G848" s="390">
        <f t="shared" si="26"/>
        <v>0</v>
      </c>
    </row>
    <row r="849" spans="1:7" x14ac:dyDescent="0.2">
      <c r="A849" s="400" t="s">
        <v>178</v>
      </c>
      <c r="B849" s="312" t="s">
        <v>385</v>
      </c>
      <c r="C849" s="343" t="s">
        <v>111</v>
      </c>
      <c r="D849" s="238">
        <v>1</v>
      </c>
      <c r="E849" s="89"/>
      <c r="F849" s="101"/>
      <c r="G849" s="390">
        <f t="shared" si="26"/>
        <v>0</v>
      </c>
    </row>
    <row r="850" spans="1:7" x14ac:dyDescent="0.2">
      <c r="A850" s="400" t="s">
        <v>179</v>
      </c>
      <c r="B850" s="312" t="s">
        <v>386</v>
      </c>
      <c r="C850" s="343" t="s">
        <v>111</v>
      </c>
      <c r="D850" s="238">
        <v>12</v>
      </c>
      <c r="E850" s="89"/>
      <c r="F850" s="101"/>
      <c r="G850" s="390">
        <f t="shared" si="26"/>
        <v>0</v>
      </c>
    </row>
    <row r="851" spans="1:7" x14ac:dyDescent="0.2">
      <c r="A851" s="400" t="s">
        <v>180</v>
      </c>
      <c r="B851" s="312" t="s">
        <v>387</v>
      </c>
      <c r="C851" s="343" t="s">
        <v>111</v>
      </c>
      <c r="D851" s="238">
        <v>2</v>
      </c>
      <c r="E851" s="89"/>
      <c r="F851" s="101"/>
      <c r="G851" s="390">
        <f t="shared" si="26"/>
        <v>0</v>
      </c>
    </row>
    <row r="852" spans="1:7" x14ac:dyDescent="0.2">
      <c r="A852" s="400" t="s">
        <v>181</v>
      </c>
      <c r="B852" s="312" t="s">
        <v>388</v>
      </c>
      <c r="C852" s="343" t="s">
        <v>111</v>
      </c>
      <c r="D852" s="238">
        <v>2</v>
      </c>
      <c r="E852" s="89"/>
      <c r="F852" s="101"/>
      <c r="G852" s="390">
        <f t="shared" si="26"/>
        <v>0</v>
      </c>
    </row>
    <row r="853" spans="1:7" x14ac:dyDescent="0.2">
      <c r="A853" s="417"/>
      <c r="B853" s="418"/>
      <c r="C853" s="419"/>
      <c r="D853" s="407"/>
      <c r="E853" s="420"/>
      <c r="F853" s="421"/>
      <c r="G853" s="390"/>
    </row>
    <row r="854" spans="1:7" x14ac:dyDescent="0.2">
      <c r="A854" s="408">
        <v>2</v>
      </c>
      <c r="B854" s="409" t="s">
        <v>67</v>
      </c>
      <c r="C854" s="410"/>
      <c r="D854" s="411"/>
      <c r="E854" s="412"/>
      <c r="F854" s="413"/>
      <c r="G854" s="414"/>
    </row>
    <row r="855" spans="1:7" x14ac:dyDescent="0.2">
      <c r="A855" s="415" t="s">
        <v>185</v>
      </c>
      <c r="B855" s="416" t="s">
        <v>379</v>
      </c>
      <c r="C855" s="406"/>
      <c r="D855" s="407"/>
      <c r="E855" s="351"/>
      <c r="F855" s="253"/>
      <c r="G855" s="390">
        <f t="shared" ref="G855:G862" si="27">+D855*E855+D855*F855</f>
        <v>0</v>
      </c>
    </row>
    <row r="856" spans="1:7" x14ac:dyDescent="0.2">
      <c r="A856" s="400" t="s">
        <v>164</v>
      </c>
      <c r="B856" s="312" t="s">
        <v>382</v>
      </c>
      <c r="C856" s="343" t="s">
        <v>111</v>
      </c>
      <c r="D856" s="238">
        <v>1</v>
      </c>
      <c r="E856" s="89"/>
      <c r="F856" s="101"/>
      <c r="G856" s="390">
        <f t="shared" si="27"/>
        <v>0</v>
      </c>
    </row>
    <row r="857" spans="1:7" x14ac:dyDescent="0.2">
      <c r="A857" s="400" t="s">
        <v>165</v>
      </c>
      <c r="B857" s="312" t="s">
        <v>383</v>
      </c>
      <c r="C857" s="343" t="s">
        <v>111</v>
      </c>
      <c r="D857" s="238">
        <v>11</v>
      </c>
      <c r="E857" s="89"/>
      <c r="F857" s="101"/>
      <c r="G857" s="390">
        <f t="shared" si="27"/>
        <v>0</v>
      </c>
    </row>
    <row r="858" spans="1:7" ht="24" x14ac:dyDescent="0.2">
      <c r="A858" s="400" t="s">
        <v>176</v>
      </c>
      <c r="B858" s="312" t="s">
        <v>384</v>
      </c>
      <c r="C858" s="343" t="s">
        <v>111</v>
      </c>
      <c r="D858" s="238">
        <v>1</v>
      </c>
      <c r="E858" s="89"/>
      <c r="F858" s="101"/>
      <c r="G858" s="390">
        <f t="shared" si="27"/>
        <v>0</v>
      </c>
    </row>
    <row r="859" spans="1:7" x14ac:dyDescent="0.2">
      <c r="A859" s="400" t="s">
        <v>177</v>
      </c>
      <c r="B859" s="312" t="s">
        <v>385</v>
      </c>
      <c r="C859" s="343" t="s">
        <v>111</v>
      </c>
      <c r="D859" s="238">
        <v>1</v>
      </c>
      <c r="E859" s="89"/>
      <c r="F859" s="101"/>
      <c r="G859" s="390">
        <f t="shared" si="27"/>
        <v>0</v>
      </c>
    </row>
    <row r="860" spans="1:7" x14ac:dyDescent="0.2">
      <c r="A860" s="400" t="s">
        <v>178</v>
      </c>
      <c r="B860" s="312" t="s">
        <v>386</v>
      </c>
      <c r="C860" s="343" t="s">
        <v>111</v>
      </c>
      <c r="D860" s="238">
        <v>11</v>
      </c>
      <c r="E860" s="89"/>
      <c r="F860" s="101"/>
      <c r="G860" s="390">
        <f t="shared" si="27"/>
        <v>0</v>
      </c>
    </row>
    <row r="861" spans="1:7" x14ac:dyDescent="0.2">
      <c r="A861" s="400" t="s">
        <v>179</v>
      </c>
      <c r="B861" s="312" t="s">
        <v>387</v>
      </c>
      <c r="C861" s="343" t="s">
        <v>111</v>
      </c>
      <c r="D861" s="238">
        <v>2</v>
      </c>
      <c r="E861" s="89"/>
      <c r="F861" s="101"/>
      <c r="G861" s="390">
        <f t="shared" si="27"/>
        <v>0</v>
      </c>
    </row>
    <row r="862" spans="1:7" x14ac:dyDescent="0.2">
      <c r="A862" s="400" t="s">
        <v>180</v>
      </c>
      <c r="B862" s="312" t="s">
        <v>388</v>
      </c>
      <c r="C862" s="343" t="s">
        <v>111</v>
      </c>
      <c r="D862" s="238">
        <v>2</v>
      </c>
      <c r="E862" s="89"/>
      <c r="F862" s="101"/>
      <c r="G862" s="390">
        <f t="shared" si="27"/>
        <v>0</v>
      </c>
    </row>
    <row r="863" spans="1:7" ht="12.75" customHeight="1" x14ac:dyDescent="0.2">
      <c r="A863" s="417"/>
      <c r="B863" s="418"/>
      <c r="C863" s="419"/>
      <c r="D863" s="407"/>
      <c r="E863" s="420"/>
      <c r="F863" s="421"/>
      <c r="G863" s="390"/>
    </row>
    <row r="864" spans="1:7" ht="12.75" customHeight="1" x14ac:dyDescent="0.2">
      <c r="A864" s="417"/>
      <c r="B864" s="418"/>
      <c r="C864" s="419"/>
      <c r="D864" s="407"/>
      <c r="E864" s="420"/>
      <c r="F864" s="421"/>
      <c r="G864" s="390"/>
    </row>
    <row r="865" spans="1:7" ht="12.75" customHeight="1" x14ac:dyDescent="0.2">
      <c r="A865" s="417"/>
      <c r="B865" s="418"/>
      <c r="C865" s="419"/>
      <c r="D865" s="407"/>
      <c r="E865" s="420"/>
      <c r="F865" s="421"/>
      <c r="G865" s="390"/>
    </row>
    <row r="866" spans="1:7" ht="12.75" customHeight="1" x14ac:dyDescent="0.2">
      <c r="A866" s="417"/>
      <c r="B866" s="418"/>
      <c r="C866" s="419"/>
      <c r="D866" s="407"/>
      <c r="E866" s="420"/>
      <c r="F866" s="421"/>
      <c r="G866" s="390"/>
    </row>
    <row r="867" spans="1:7" ht="12.75" customHeight="1" x14ac:dyDescent="0.2">
      <c r="A867" s="417"/>
      <c r="B867" s="418"/>
      <c r="C867" s="419"/>
      <c r="D867" s="407"/>
      <c r="E867" s="420"/>
      <c r="F867" s="421"/>
      <c r="G867" s="390"/>
    </row>
    <row r="868" spans="1:7" ht="12.75" customHeight="1" x14ac:dyDescent="0.2">
      <c r="A868" s="417"/>
      <c r="B868" s="418"/>
      <c r="C868" s="419"/>
      <c r="D868" s="407"/>
      <c r="E868" s="420"/>
      <c r="F868" s="421"/>
      <c r="G868" s="390"/>
    </row>
    <row r="869" spans="1:7" ht="12.75" customHeight="1" x14ac:dyDescent="0.2">
      <c r="A869" s="417"/>
      <c r="B869" s="418"/>
      <c r="C869" s="419"/>
      <c r="D869" s="407"/>
      <c r="E869" s="420"/>
      <c r="F869" s="421"/>
      <c r="G869" s="390"/>
    </row>
    <row r="870" spans="1:7" ht="12.75" customHeight="1" x14ac:dyDescent="0.2">
      <c r="A870" s="417"/>
      <c r="B870" s="418"/>
      <c r="C870" s="419"/>
      <c r="D870" s="407"/>
      <c r="E870" s="420"/>
      <c r="F870" s="421"/>
      <c r="G870" s="390"/>
    </row>
    <row r="871" spans="1:7" ht="12.75" customHeight="1" x14ac:dyDescent="0.2">
      <c r="A871" s="417"/>
      <c r="B871" s="418"/>
      <c r="C871" s="419"/>
      <c r="D871" s="407"/>
      <c r="E871" s="420"/>
      <c r="F871" s="421"/>
      <c r="G871" s="390"/>
    </row>
    <row r="872" spans="1:7" ht="12.75" customHeight="1" x14ac:dyDescent="0.2">
      <c r="A872" s="417"/>
      <c r="B872" s="418"/>
      <c r="C872" s="419"/>
      <c r="D872" s="407"/>
      <c r="E872" s="420"/>
      <c r="F872" s="421"/>
      <c r="G872" s="390"/>
    </row>
    <row r="873" spans="1:7" ht="12.75" customHeight="1" x14ac:dyDescent="0.2">
      <c r="A873" s="417"/>
      <c r="B873" s="418"/>
      <c r="C873" s="419"/>
      <c r="D873" s="407"/>
      <c r="E873" s="420"/>
      <c r="F873" s="421"/>
      <c r="G873" s="390"/>
    </row>
    <row r="874" spans="1:7" ht="12.75" customHeight="1" x14ac:dyDescent="0.2">
      <c r="A874" s="417"/>
      <c r="B874" s="418"/>
      <c r="C874" s="419"/>
      <c r="D874" s="407"/>
      <c r="E874" s="420"/>
      <c r="F874" s="421"/>
      <c r="G874" s="390"/>
    </row>
    <row r="875" spans="1:7" ht="12.75" customHeight="1" x14ac:dyDescent="0.2">
      <c r="A875" s="417"/>
      <c r="B875" s="418"/>
      <c r="C875" s="419"/>
      <c r="D875" s="407"/>
      <c r="E875" s="420"/>
      <c r="F875" s="421"/>
      <c r="G875" s="390"/>
    </row>
    <row r="876" spans="1:7" ht="12.75" customHeight="1" thickBot="1" x14ac:dyDescent="0.25">
      <c r="A876" s="417"/>
      <c r="B876" s="418"/>
      <c r="C876" s="419"/>
      <c r="D876" s="407"/>
      <c r="E876" s="420"/>
      <c r="F876" s="421"/>
      <c r="G876" s="390"/>
    </row>
    <row r="877" spans="1:7" ht="12.75" customHeight="1" x14ac:dyDescent="0.2">
      <c r="A877" s="422"/>
      <c r="B877" s="111" t="s">
        <v>389</v>
      </c>
      <c r="C877" s="398"/>
      <c r="D877" s="240"/>
      <c r="E877" s="399"/>
      <c r="F877" s="240"/>
      <c r="G877" s="231"/>
    </row>
    <row r="878" spans="1:7" ht="12.75" customHeight="1" thickBot="1" x14ac:dyDescent="0.25">
      <c r="A878" s="423"/>
      <c r="B878" s="116" t="s">
        <v>390</v>
      </c>
      <c r="C878" s="190"/>
      <c r="D878" s="192"/>
      <c r="E878" s="232"/>
      <c r="F878" s="192"/>
      <c r="G878" s="241">
        <f>SUM(G837:G877)</f>
        <v>0</v>
      </c>
    </row>
    <row r="879" spans="1:7" ht="12.75" customHeight="1" x14ac:dyDescent="0.2">
      <c r="A879" s="400"/>
      <c r="B879" s="242" t="s">
        <v>405</v>
      </c>
      <c r="C879" s="98"/>
      <c r="D879" s="238"/>
      <c r="E879" s="89"/>
      <c r="F879" s="101"/>
      <c r="G879" s="102"/>
    </row>
    <row r="880" spans="1:7" ht="12.75" customHeight="1" x14ac:dyDescent="0.2">
      <c r="A880" s="400"/>
      <c r="B880" s="86" t="s">
        <v>402</v>
      </c>
      <c r="C880" s="98"/>
      <c r="D880" s="238"/>
      <c r="E880" s="89"/>
      <c r="F880" s="101"/>
      <c r="G880" s="102"/>
    </row>
    <row r="881" spans="1:7" ht="12.75" customHeight="1" x14ac:dyDescent="0.2">
      <c r="A881" s="401">
        <v>13.1</v>
      </c>
      <c r="B881" s="340" t="s">
        <v>41</v>
      </c>
      <c r="C881" s="402"/>
      <c r="D881" s="403"/>
      <c r="E881" s="162"/>
      <c r="F881" s="289"/>
      <c r="G881" s="290"/>
    </row>
    <row r="882" spans="1:7" ht="12.75" customHeight="1" x14ac:dyDescent="0.2">
      <c r="A882" s="424"/>
      <c r="B882" s="340" t="s">
        <v>404</v>
      </c>
      <c r="C882" s="402"/>
      <c r="D882" s="403"/>
      <c r="E882" s="162"/>
      <c r="F882" s="289"/>
      <c r="G882" s="290"/>
    </row>
    <row r="883" spans="1:7" ht="12.75" customHeight="1" x14ac:dyDescent="0.2">
      <c r="A883" s="400"/>
      <c r="B883" s="312"/>
      <c r="C883" s="343"/>
      <c r="D883" s="238"/>
      <c r="E883" s="89"/>
      <c r="F883" s="101"/>
      <c r="G883" s="102"/>
    </row>
    <row r="884" spans="1:7" ht="12.75" customHeight="1" x14ac:dyDescent="0.2">
      <c r="A884" s="400"/>
      <c r="B884" s="312"/>
      <c r="C884" s="343"/>
      <c r="D884" s="238"/>
      <c r="E884" s="89"/>
      <c r="F884" s="101"/>
      <c r="G884" s="102"/>
    </row>
    <row r="885" spans="1:7" ht="12.75" customHeight="1" x14ac:dyDescent="0.2">
      <c r="A885" s="400"/>
      <c r="B885" s="312"/>
      <c r="C885" s="343"/>
      <c r="D885" s="238"/>
      <c r="E885" s="89"/>
      <c r="F885" s="101"/>
      <c r="G885" s="102"/>
    </row>
    <row r="886" spans="1:7" ht="12.75" customHeight="1" x14ac:dyDescent="0.2">
      <c r="A886" s="400"/>
      <c r="B886" s="312"/>
      <c r="C886" s="343"/>
      <c r="D886" s="238"/>
      <c r="E886" s="89"/>
      <c r="F886" s="101"/>
      <c r="G886" s="102"/>
    </row>
    <row r="887" spans="1:7" ht="12.75" customHeight="1" x14ac:dyDescent="0.2">
      <c r="A887" s="400"/>
      <c r="B887" s="312"/>
      <c r="C887" s="343"/>
      <c r="D887" s="238"/>
      <c r="E887" s="89"/>
      <c r="F887" s="101"/>
      <c r="G887" s="102"/>
    </row>
    <row r="888" spans="1:7" ht="12.75" customHeight="1" x14ac:dyDescent="0.2">
      <c r="A888" s="400"/>
      <c r="B888" s="312"/>
      <c r="C888" s="343"/>
      <c r="D888" s="238"/>
      <c r="E888" s="89"/>
      <c r="F888" s="101"/>
      <c r="G888" s="390">
        <f>+D888*E888+D888*F888</f>
        <v>0</v>
      </c>
    </row>
    <row r="889" spans="1:7" ht="12.75" customHeight="1" x14ac:dyDescent="0.2">
      <c r="A889" s="400"/>
      <c r="B889" s="312"/>
      <c r="C889" s="343"/>
      <c r="D889" s="238"/>
      <c r="E889" s="89"/>
      <c r="F889" s="101"/>
      <c r="G889" s="102"/>
    </row>
    <row r="890" spans="1:7" ht="12.75" customHeight="1" x14ac:dyDescent="0.2">
      <c r="A890" s="400"/>
      <c r="B890" s="312"/>
      <c r="C890" s="343"/>
      <c r="D890" s="238"/>
      <c r="E890" s="89"/>
      <c r="F890" s="101"/>
      <c r="G890" s="102"/>
    </row>
    <row r="891" spans="1:7" ht="12.75" customHeight="1" x14ac:dyDescent="0.2">
      <c r="A891" s="400"/>
      <c r="B891" s="312"/>
      <c r="C891" s="343"/>
      <c r="D891" s="238"/>
      <c r="E891" s="89"/>
      <c r="F891" s="101"/>
      <c r="G891" s="102"/>
    </row>
    <row r="892" spans="1:7" ht="12.75" customHeight="1" x14ac:dyDescent="0.2">
      <c r="A892" s="400"/>
      <c r="B892" s="312"/>
      <c r="C892" s="343"/>
      <c r="D892" s="238"/>
      <c r="E892" s="89"/>
      <c r="F892" s="101"/>
      <c r="G892" s="102"/>
    </row>
    <row r="893" spans="1:7" ht="12.75" customHeight="1" x14ac:dyDescent="0.2">
      <c r="A893" s="400"/>
      <c r="B893" s="312"/>
      <c r="C893" s="343"/>
      <c r="D893" s="238"/>
      <c r="E893" s="89"/>
      <c r="F893" s="101"/>
      <c r="G893" s="102"/>
    </row>
    <row r="894" spans="1:7" ht="12.75" customHeight="1" x14ac:dyDescent="0.2">
      <c r="A894" s="400"/>
      <c r="B894" s="312"/>
      <c r="C894" s="343"/>
      <c r="D894" s="238"/>
      <c r="E894" s="89"/>
      <c r="F894" s="101"/>
      <c r="G894" s="102"/>
    </row>
    <row r="895" spans="1:7" ht="12.75" customHeight="1" x14ac:dyDescent="0.2">
      <c r="A895" s="400"/>
      <c r="B895" s="312"/>
      <c r="C895" s="343"/>
      <c r="D895" s="238"/>
      <c r="E895" s="89"/>
      <c r="F895" s="101"/>
      <c r="G895" s="102"/>
    </row>
    <row r="896" spans="1:7" ht="12.75" customHeight="1" x14ac:dyDescent="0.2">
      <c r="A896" s="400"/>
      <c r="B896" s="312"/>
      <c r="C896" s="343"/>
      <c r="D896" s="238"/>
      <c r="E896" s="89"/>
      <c r="F896" s="101"/>
      <c r="G896" s="102"/>
    </row>
    <row r="897" spans="1:7" ht="12.75" customHeight="1" x14ac:dyDescent="0.2">
      <c r="A897" s="400"/>
      <c r="B897" s="312"/>
      <c r="C897" s="343"/>
      <c r="D897" s="238"/>
      <c r="E897" s="89"/>
      <c r="F897" s="101"/>
      <c r="G897" s="102"/>
    </row>
    <row r="898" spans="1:7" ht="12.75" customHeight="1" x14ac:dyDescent="0.2">
      <c r="A898" s="400"/>
      <c r="B898" s="312"/>
      <c r="C898" s="343"/>
      <c r="D898" s="238"/>
      <c r="E898" s="89"/>
      <c r="F898" s="101"/>
      <c r="G898" s="102"/>
    </row>
    <row r="899" spans="1:7" ht="12.75" customHeight="1" x14ac:dyDescent="0.2">
      <c r="A899" s="400"/>
      <c r="B899" s="312"/>
      <c r="C899" s="343"/>
      <c r="D899" s="238"/>
      <c r="E899" s="89"/>
      <c r="F899" s="101"/>
      <c r="G899" s="102"/>
    </row>
    <row r="900" spans="1:7" ht="12.75" customHeight="1" x14ac:dyDescent="0.2">
      <c r="A900" s="400"/>
      <c r="B900" s="312"/>
      <c r="C900" s="343"/>
      <c r="D900" s="238"/>
      <c r="E900" s="89"/>
      <c r="F900" s="101"/>
      <c r="G900" s="102"/>
    </row>
    <row r="901" spans="1:7" ht="12.75" customHeight="1" x14ac:dyDescent="0.2">
      <c r="A901" s="400"/>
      <c r="B901" s="312"/>
      <c r="C901" s="343"/>
      <c r="D901" s="238"/>
      <c r="E901" s="89"/>
      <c r="F901" s="101"/>
      <c r="G901" s="102"/>
    </row>
    <row r="902" spans="1:7" ht="12.75" customHeight="1" x14ac:dyDescent="0.2">
      <c r="A902" s="400"/>
      <c r="B902" s="312"/>
      <c r="C902" s="343"/>
      <c r="D902" s="238"/>
      <c r="E902" s="89"/>
      <c r="F902" s="101"/>
      <c r="G902" s="102"/>
    </row>
    <row r="903" spans="1:7" ht="12.75" customHeight="1" x14ac:dyDescent="0.2">
      <c r="A903" s="400"/>
      <c r="B903" s="312"/>
      <c r="C903" s="343"/>
      <c r="D903" s="238"/>
      <c r="E903" s="89"/>
      <c r="F903" s="101"/>
      <c r="G903" s="102"/>
    </row>
    <row r="904" spans="1:7" ht="12.75" customHeight="1" x14ac:dyDescent="0.2">
      <c r="A904" s="400"/>
      <c r="B904" s="312"/>
      <c r="C904" s="343"/>
      <c r="D904" s="238"/>
      <c r="E904" s="89"/>
      <c r="F904" s="101"/>
      <c r="G904" s="102"/>
    </row>
    <row r="905" spans="1:7" ht="12.75" customHeight="1" x14ac:dyDescent="0.2">
      <c r="A905" s="400"/>
      <c r="B905" s="312"/>
      <c r="C905" s="343"/>
      <c r="D905" s="238"/>
      <c r="E905" s="89"/>
      <c r="F905" s="101"/>
      <c r="G905" s="102"/>
    </row>
    <row r="906" spans="1:7" ht="12.75" customHeight="1" x14ac:dyDescent="0.2">
      <c r="A906" s="400"/>
      <c r="B906" s="312"/>
      <c r="C906" s="343"/>
      <c r="D906" s="238"/>
      <c r="E906" s="89"/>
      <c r="F906" s="101"/>
      <c r="G906" s="102"/>
    </row>
    <row r="907" spans="1:7" ht="12.75" customHeight="1" x14ac:dyDescent="0.2">
      <c r="A907" s="400"/>
      <c r="B907" s="312"/>
      <c r="C907" s="343"/>
      <c r="D907" s="238"/>
      <c r="E907" s="89"/>
      <c r="F907" s="101"/>
      <c r="G907" s="102"/>
    </row>
    <row r="908" spans="1:7" ht="12.75" customHeight="1" x14ac:dyDescent="0.2">
      <c r="A908" s="400"/>
      <c r="B908" s="312"/>
      <c r="C908" s="343"/>
      <c r="D908" s="238"/>
      <c r="E908" s="89"/>
      <c r="F908" s="101"/>
      <c r="G908" s="102"/>
    </row>
    <row r="909" spans="1:7" ht="12.75" customHeight="1" x14ac:dyDescent="0.2">
      <c r="A909" s="400"/>
      <c r="B909" s="312"/>
      <c r="C909" s="343"/>
      <c r="D909" s="238"/>
      <c r="E909" s="89"/>
      <c r="F909" s="101"/>
      <c r="G909" s="102"/>
    </row>
    <row r="910" spans="1:7" ht="12.75" customHeight="1" x14ac:dyDescent="0.2">
      <c r="A910" s="400"/>
      <c r="B910" s="312"/>
      <c r="C910" s="343"/>
      <c r="D910" s="238"/>
      <c r="E910" s="89"/>
      <c r="F910" s="101"/>
      <c r="G910" s="102"/>
    </row>
    <row r="911" spans="1:7" ht="12.75" customHeight="1" x14ac:dyDescent="0.2">
      <c r="A911" s="400"/>
      <c r="B911" s="312"/>
      <c r="C911" s="343"/>
      <c r="D911" s="238"/>
      <c r="E911" s="89"/>
      <c r="F911" s="101"/>
      <c r="G911" s="102"/>
    </row>
    <row r="912" spans="1:7" ht="12.75" customHeight="1" x14ac:dyDescent="0.2">
      <c r="A912" s="400"/>
      <c r="B912" s="312"/>
      <c r="C912" s="343"/>
      <c r="D912" s="238"/>
      <c r="E912" s="89"/>
      <c r="F912" s="101"/>
      <c r="G912" s="102"/>
    </row>
    <row r="913" spans="1:7" ht="12.75" customHeight="1" x14ac:dyDescent="0.2">
      <c r="A913" s="400"/>
      <c r="B913" s="312"/>
      <c r="C913" s="343"/>
      <c r="D913" s="238"/>
      <c r="E913" s="89"/>
      <c r="F913" s="101"/>
      <c r="G913" s="102"/>
    </row>
    <row r="914" spans="1:7" ht="12.75" customHeight="1" x14ac:dyDescent="0.2">
      <c r="A914" s="400"/>
      <c r="B914" s="312"/>
      <c r="C914" s="343"/>
      <c r="D914" s="238"/>
      <c r="E914" s="89"/>
      <c r="F914" s="101"/>
      <c r="G914" s="102"/>
    </row>
    <row r="915" spans="1:7" ht="12.75" customHeight="1" x14ac:dyDescent="0.2">
      <c r="A915" s="400"/>
      <c r="B915" s="312"/>
      <c r="C915" s="343"/>
      <c r="D915" s="238"/>
      <c r="E915" s="89"/>
      <c r="F915" s="101"/>
      <c r="G915" s="102"/>
    </row>
    <row r="916" spans="1:7" ht="12.75" customHeight="1" x14ac:dyDescent="0.2">
      <c r="A916" s="400"/>
      <c r="B916" s="312"/>
      <c r="C916" s="343"/>
      <c r="D916" s="238"/>
      <c r="E916" s="89"/>
      <c r="F916" s="101"/>
      <c r="G916" s="102"/>
    </row>
    <row r="917" spans="1:7" ht="12.75" customHeight="1" x14ac:dyDescent="0.2">
      <c r="A917" s="400"/>
      <c r="B917" s="312"/>
      <c r="C917" s="343"/>
      <c r="D917" s="238"/>
      <c r="E917" s="89"/>
      <c r="F917" s="101"/>
      <c r="G917" s="102"/>
    </row>
    <row r="918" spans="1:7" ht="12.75" customHeight="1" x14ac:dyDescent="0.2">
      <c r="A918" s="400"/>
      <c r="B918" s="312"/>
      <c r="C918" s="343"/>
      <c r="D918" s="238"/>
      <c r="E918" s="89"/>
      <c r="F918" s="101"/>
      <c r="G918" s="102"/>
    </row>
    <row r="919" spans="1:7" ht="12.75" customHeight="1" x14ac:dyDescent="0.2">
      <c r="A919" s="400"/>
      <c r="B919" s="312"/>
      <c r="C919" s="343"/>
      <c r="D919" s="238"/>
      <c r="E919" s="89"/>
      <c r="F919" s="101"/>
      <c r="G919" s="102"/>
    </row>
    <row r="920" spans="1:7" ht="12.75" customHeight="1" x14ac:dyDescent="0.2">
      <c r="A920" s="400"/>
      <c r="B920" s="312"/>
      <c r="C920" s="343"/>
      <c r="D920" s="238"/>
      <c r="E920" s="89"/>
      <c r="F920" s="101"/>
      <c r="G920" s="102"/>
    </row>
    <row r="921" spans="1:7" ht="12.75" customHeight="1" x14ac:dyDescent="0.2">
      <c r="A921" s="400"/>
      <c r="B921" s="312"/>
      <c r="C921" s="343"/>
      <c r="D921" s="238"/>
      <c r="E921" s="89"/>
      <c r="F921" s="101"/>
      <c r="G921" s="102"/>
    </row>
    <row r="922" spans="1:7" ht="12.75" customHeight="1" x14ac:dyDescent="0.2">
      <c r="A922" s="400"/>
      <c r="B922" s="312"/>
      <c r="C922" s="343"/>
      <c r="D922" s="238"/>
      <c r="E922" s="89"/>
      <c r="F922" s="101"/>
      <c r="G922" s="102"/>
    </row>
    <row r="923" spans="1:7" ht="12.75" customHeight="1" x14ac:dyDescent="0.2">
      <c r="A923" s="400"/>
      <c r="B923" s="312"/>
      <c r="C923" s="343"/>
      <c r="D923" s="238"/>
      <c r="E923" s="89"/>
      <c r="F923" s="101"/>
      <c r="G923" s="102"/>
    </row>
    <row r="924" spans="1:7" ht="12.75" customHeight="1" x14ac:dyDescent="0.2">
      <c r="A924" s="400"/>
      <c r="B924" s="312"/>
      <c r="C924" s="343"/>
      <c r="D924" s="238"/>
      <c r="E924" s="89"/>
      <c r="F924" s="101"/>
      <c r="G924" s="102"/>
    </row>
    <row r="925" spans="1:7" ht="12.75" customHeight="1" x14ac:dyDescent="0.2">
      <c r="A925" s="400"/>
      <c r="B925" s="312"/>
      <c r="C925" s="343"/>
      <c r="D925" s="238"/>
      <c r="E925" s="89"/>
      <c r="F925" s="101"/>
      <c r="G925" s="102"/>
    </row>
    <row r="926" spans="1:7" ht="12.75" customHeight="1" x14ac:dyDescent="0.2">
      <c r="A926" s="400"/>
      <c r="B926" s="312"/>
      <c r="C926" s="343"/>
      <c r="D926" s="238"/>
      <c r="E926" s="89"/>
      <c r="F926" s="101"/>
      <c r="G926" s="102"/>
    </row>
    <row r="927" spans="1:7" ht="12.75" customHeight="1" x14ac:dyDescent="0.2">
      <c r="A927" s="400"/>
      <c r="B927" s="312"/>
      <c r="C927" s="343"/>
      <c r="D927" s="238"/>
      <c r="E927" s="89"/>
      <c r="F927" s="101"/>
      <c r="G927" s="102"/>
    </row>
    <row r="928" spans="1:7" ht="12.75" customHeight="1" x14ac:dyDescent="0.2">
      <c r="A928" s="400"/>
      <c r="B928" s="312"/>
      <c r="C928" s="343"/>
      <c r="D928" s="238"/>
      <c r="E928" s="89"/>
      <c r="F928" s="101"/>
      <c r="G928" s="102"/>
    </row>
    <row r="929" spans="1:7" ht="12.75" customHeight="1" x14ac:dyDescent="0.2">
      <c r="A929" s="400"/>
      <c r="B929" s="312"/>
      <c r="C929" s="343"/>
      <c r="D929" s="238"/>
      <c r="E929" s="89"/>
      <c r="F929" s="101"/>
      <c r="G929" s="102"/>
    </row>
    <row r="930" spans="1:7" ht="12.75" customHeight="1" x14ac:dyDescent="0.2">
      <c r="A930" s="400"/>
      <c r="B930" s="312"/>
      <c r="C930" s="343"/>
      <c r="D930" s="238"/>
      <c r="E930" s="89"/>
      <c r="F930" s="101"/>
      <c r="G930" s="102"/>
    </row>
    <row r="931" spans="1:7" ht="12.75" customHeight="1" x14ac:dyDescent="0.2">
      <c r="A931" s="400"/>
      <c r="B931" s="312"/>
      <c r="C931" s="343"/>
      <c r="D931" s="238"/>
      <c r="E931" s="89"/>
      <c r="F931" s="101"/>
      <c r="G931" s="102"/>
    </row>
    <row r="932" spans="1:7" ht="12.75" customHeight="1" thickBot="1" x14ac:dyDescent="0.25">
      <c r="A932" s="400"/>
      <c r="B932" s="312"/>
      <c r="C932" s="343"/>
      <c r="D932" s="238"/>
      <c r="E932" s="89"/>
      <c r="F932" s="101"/>
      <c r="G932" s="102"/>
    </row>
    <row r="933" spans="1:7" ht="12.75" customHeight="1" x14ac:dyDescent="0.2">
      <c r="A933" s="422"/>
      <c r="B933" s="111" t="s">
        <v>407</v>
      </c>
      <c r="C933" s="398"/>
      <c r="D933" s="240"/>
      <c r="E933" s="399"/>
      <c r="F933" s="240"/>
      <c r="G933" s="231"/>
    </row>
    <row r="934" spans="1:7" ht="12.75" customHeight="1" thickBot="1" x14ac:dyDescent="0.25">
      <c r="A934" s="423"/>
      <c r="B934" s="116" t="s">
        <v>406</v>
      </c>
      <c r="C934" s="190"/>
      <c r="D934" s="192"/>
      <c r="E934" s="232"/>
      <c r="F934" s="192"/>
      <c r="G934" s="241">
        <f>SUM(G883:G933)</f>
        <v>0</v>
      </c>
    </row>
    <row r="935" spans="1:7" ht="12.75" customHeight="1" x14ac:dyDescent="0.2">
      <c r="A935" s="400"/>
      <c r="B935" s="242" t="s">
        <v>408</v>
      </c>
      <c r="C935" s="98"/>
      <c r="D935" s="238"/>
      <c r="E935" s="89"/>
      <c r="F935" s="101"/>
      <c r="G935" s="102"/>
    </row>
    <row r="936" spans="1:7" ht="12.75" customHeight="1" x14ac:dyDescent="0.2">
      <c r="A936" s="400"/>
      <c r="B936" s="86" t="s">
        <v>403</v>
      </c>
      <c r="C936" s="98"/>
      <c r="D936" s="238"/>
      <c r="E936" s="89"/>
      <c r="F936" s="101"/>
      <c r="G936" s="102"/>
    </row>
    <row r="937" spans="1:7" ht="12.75" customHeight="1" x14ac:dyDescent="0.2">
      <c r="A937" s="401">
        <v>14.1</v>
      </c>
      <c r="B937" s="340" t="s">
        <v>41</v>
      </c>
      <c r="C937" s="402"/>
      <c r="D937" s="403"/>
      <c r="E937" s="162"/>
      <c r="F937" s="289"/>
      <c r="G937" s="290"/>
    </row>
    <row r="938" spans="1:7" ht="12.75" customHeight="1" x14ac:dyDescent="0.2">
      <c r="A938" s="425"/>
      <c r="B938" s="426" t="s">
        <v>453</v>
      </c>
      <c r="C938" s="123"/>
      <c r="D938" s="238"/>
      <c r="E938" s="257"/>
      <c r="F938" s="223"/>
      <c r="G938" s="224"/>
    </row>
    <row r="939" spans="1:7" ht="12.75" customHeight="1" x14ac:dyDescent="0.2">
      <c r="A939" s="400"/>
      <c r="B939" s="312"/>
      <c r="C939" s="343"/>
      <c r="D939" s="238"/>
      <c r="E939" s="89"/>
      <c r="F939" s="101"/>
      <c r="G939" s="102"/>
    </row>
    <row r="940" spans="1:7" ht="12.75" customHeight="1" x14ac:dyDescent="0.2">
      <c r="A940" s="400"/>
      <c r="B940" s="312"/>
      <c r="C940" s="343"/>
      <c r="D940" s="238"/>
      <c r="E940" s="89"/>
      <c r="F940" s="101"/>
      <c r="G940" s="102"/>
    </row>
    <row r="941" spans="1:7" ht="12.75" customHeight="1" x14ac:dyDescent="0.2">
      <c r="A941" s="400"/>
      <c r="B941" s="312"/>
      <c r="C941" s="343"/>
      <c r="D941" s="238"/>
      <c r="E941" s="89"/>
      <c r="F941" s="101"/>
      <c r="G941" s="102"/>
    </row>
    <row r="942" spans="1:7" ht="12.75" customHeight="1" x14ac:dyDescent="0.2">
      <c r="A942" s="400"/>
      <c r="B942" s="312"/>
      <c r="C942" s="343"/>
      <c r="D942" s="238"/>
      <c r="E942" s="89"/>
      <c r="F942" s="101"/>
      <c r="G942" s="102"/>
    </row>
    <row r="943" spans="1:7" ht="12.75" customHeight="1" x14ac:dyDescent="0.2">
      <c r="A943" s="400"/>
      <c r="B943" s="312"/>
      <c r="C943" s="343"/>
      <c r="D943" s="238"/>
      <c r="E943" s="89"/>
      <c r="F943" s="101"/>
      <c r="G943" s="102"/>
    </row>
    <row r="944" spans="1:7" ht="12.75" customHeight="1" x14ac:dyDescent="0.2">
      <c r="A944" s="400"/>
      <c r="B944" s="312"/>
      <c r="C944" s="343"/>
      <c r="D944" s="238"/>
      <c r="E944" s="89"/>
      <c r="F944" s="101"/>
      <c r="G944" s="390">
        <f>+D944*E944+D944*F944</f>
        <v>0</v>
      </c>
    </row>
    <row r="945" spans="1:7" ht="12.75" customHeight="1" x14ac:dyDescent="0.2">
      <c r="A945" s="400"/>
      <c r="B945" s="312"/>
      <c r="C945" s="343"/>
      <c r="D945" s="238"/>
      <c r="E945" s="89"/>
      <c r="F945" s="101"/>
      <c r="G945" s="102"/>
    </row>
    <row r="946" spans="1:7" ht="12.75" customHeight="1" x14ac:dyDescent="0.2">
      <c r="A946" s="400"/>
      <c r="B946" s="312"/>
      <c r="C946" s="343"/>
      <c r="D946" s="238"/>
      <c r="E946" s="89"/>
      <c r="F946" s="101"/>
      <c r="G946" s="102"/>
    </row>
    <row r="947" spans="1:7" ht="12.75" customHeight="1" x14ac:dyDescent="0.2">
      <c r="A947" s="400"/>
      <c r="B947" s="312"/>
      <c r="C947" s="343"/>
      <c r="D947" s="238"/>
      <c r="E947" s="89"/>
      <c r="F947" s="101"/>
      <c r="G947" s="102"/>
    </row>
    <row r="948" spans="1:7" ht="12.75" customHeight="1" x14ac:dyDescent="0.2">
      <c r="A948" s="400"/>
      <c r="B948" s="312"/>
      <c r="C948" s="343"/>
      <c r="D948" s="238"/>
      <c r="E948" s="89"/>
      <c r="F948" s="101"/>
      <c r="G948" s="102"/>
    </row>
    <row r="949" spans="1:7" ht="12.75" customHeight="1" x14ac:dyDescent="0.2">
      <c r="A949" s="400"/>
      <c r="B949" s="312"/>
      <c r="C949" s="343"/>
      <c r="D949" s="238"/>
      <c r="E949" s="89"/>
      <c r="F949" s="101"/>
      <c r="G949" s="102"/>
    </row>
    <row r="950" spans="1:7" ht="12.75" customHeight="1" x14ac:dyDescent="0.2">
      <c r="A950" s="400"/>
      <c r="B950" s="312"/>
      <c r="C950" s="343"/>
      <c r="D950" s="238"/>
      <c r="E950" s="89"/>
      <c r="F950" s="101"/>
      <c r="G950" s="102"/>
    </row>
    <row r="951" spans="1:7" ht="12.75" customHeight="1" x14ac:dyDescent="0.2">
      <c r="A951" s="400"/>
      <c r="B951" s="312"/>
      <c r="C951" s="343"/>
      <c r="D951" s="238"/>
      <c r="E951" s="89"/>
      <c r="F951" s="101"/>
      <c r="G951" s="102"/>
    </row>
    <row r="952" spans="1:7" ht="12.75" customHeight="1" x14ac:dyDescent="0.2">
      <c r="A952" s="400"/>
      <c r="B952" s="312"/>
      <c r="C952" s="343"/>
      <c r="D952" s="238"/>
      <c r="E952" s="89"/>
      <c r="F952" s="101"/>
      <c r="G952" s="102"/>
    </row>
    <row r="953" spans="1:7" ht="12.75" customHeight="1" x14ac:dyDescent="0.2">
      <c r="A953" s="400"/>
      <c r="B953" s="312"/>
      <c r="C953" s="343"/>
      <c r="D953" s="238"/>
      <c r="E953" s="89"/>
      <c r="F953" s="101"/>
      <c r="G953" s="102"/>
    </row>
    <row r="954" spans="1:7" ht="12.75" customHeight="1" x14ac:dyDescent="0.2">
      <c r="A954" s="400"/>
      <c r="B954" s="312"/>
      <c r="C954" s="343"/>
      <c r="D954" s="238"/>
      <c r="E954" s="89"/>
      <c r="F954" s="101"/>
      <c r="G954" s="102"/>
    </row>
    <row r="955" spans="1:7" ht="12.75" customHeight="1" x14ac:dyDescent="0.2">
      <c r="A955" s="400"/>
      <c r="B955" s="312"/>
      <c r="C955" s="343"/>
      <c r="D955" s="238"/>
      <c r="E955" s="89"/>
      <c r="F955" s="101"/>
      <c r="G955" s="102"/>
    </row>
    <row r="956" spans="1:7" ht="12.75" customHeight="1" x14ac:dyDescent="0.2">
      <c r="A956" s="400"/>
      <c r="B956" s="312"/>
      <c r="C956" s="343"/>
      <c r="D956" s="238"/>
      <c r="E956" s="89"/>
      <c r="F956" s="101"/>
      <c r="G956" s="102"/>
    </row>
    <row r="957" spans="1:7" ht="12.75" customHeight="1" x14ac:dyDescent="0.2">
      <c r="A957" s="400"/>
      <c r="B957" s="312"/>
      <c r="C957" s="343"/>
      <c r="D957" s="238"/>
      <c r="E957" s="89"/>
      <c r="F957" s="101"/>
      <c r="G957" s="102"/>
    </row>
    <row r="958" spans="1:7" ht="12.75" customHeight="1" x14ac:dyDescent="0.2">
      <c r="A958" s="400"/>
      <c r="B958" s="312"/>
      <c r="C958" s="343"/>
      <c r="D958" s="238"/>
      <c r="E958" s="89"/>
      <c r="F958" s="101"/>
      <c r="G958" s="102"/>
    </row>
    <row r="959" spans="1:7" ht="12.75" customHeight="1" x14ac:dyDescent="0.2">
      <c r="A959" s="400"/>
      <c r="B959" s="312"/>
      <c r="C959" s="343"/>
      <c r="D959" s="238"/>
      <c r="E959" s="89"/>
      <c r="F959" s="101"/>
      <c r="G959" s="102"/>
    </row>
    <row r="960" spans="1:7" ht="12.75" customHeight="1" x14ac:dyDescent="0.2">
      <c r="A960" s="400"/>
      <c r="B960" s="312"/>
      <c r="C960" s="343"/>
      <c r="D960" s="238"/>
      <c r="E960" s="89"/>
      <c r="F960" s="101"/>
      <c r="G960" s="102"/>
    </row>
    <row r="961" spans="1:7" ht="12.75" customHeight="1" x14ac:dyDescent="0.2">
      <c r="A961" s="400"/>
      <c r="B961" s="312"/>
      <c r="C961" s="343"/>
      <c r="D961" s="238"/>
      <c r="E961" s="89"/>
      <c r="F961" s="101"/>
      <c r="G961" s="102"/>
    </row>
    <row r="962" spans="1:7" ht="12.75" customHeight="1" x14ac:dyDescent="0.2">
      <c r="A962" s="400"/>
      <c r="B962" s="312"/>
      <c r="C962" s="343"/>
      <c r="D962" s="238"/>
      <c r="E962" s="89"/>
      <c r="F962" s="101"/>
      <c r="G962" s="102"/>
    </row>
    <row r="963" spans="1:7" ht="12.75" customHeight="1" x14ac:dyDescent="0.2">
      <c r="A963" s="400"/>
      <c r="B963" s="312"/>
      <c r="C963" s="343"/>
      <c r="D963" s="238"/>
      <c r="E963" s="89"/>
      <c r="F963" s="101"/>
      <c r="G963" s="102"/>
    </row>
    <row r="964" spans="1:7" ht="12.75" customHeight="1" x14ac:dyDescent="0.2">
      <c r="A964" s="400"/>
      <c r="B964" s="312"/>
      <c r="C964" s="343"/>
      <c r="D964" s="238"/>
      <c r="E964" s="89"/>
      <c r="F964" s="101"/>
      <c r="G964" s="102"/>
    </row>
    <row r="965" spans="1:7" ht="12.75" customHeight="1" x14ac:dyDescent="0.2">
      <c r="A965" s="400"/>
      <c r="B965" s="312"/>
      <c r="C965" s="343"/>
      <c r="D965" s="238"/>
      <c r="E965" s="89"/>
      <c r="F965" s="101"/>
      <c r="G965" s="102"/>
    </row>
    <row r="966" spans="1:7" ht="12.75" customHeight="1" x14ac:dyDescent="0.2">
      <c r="A966" s="400"/>
      <c r="B966" s="312"/>
      <c r="C966" s="343"/>
      <c r="D966" s="238"/>
      <c r="E966" s="89"/>
      <c r="F966" s="101"/>
      <c r="G966" s="102"/>
    </row>
    <row r="967" spans="1:7" ht="12.75" customHeight="1" x14ac:dyDescent="0.2">
      <c r="A967" s="400"/>
      <c r="B967" s="312"/>
      <c r="C967" s="343"/>
      <c r="D967" s="238"/>
      <c r="E967" s="89"/>
      <c r="F967" s="101"/>
      <c r="G967" s="102"/>
    </row>
    <row r="968" spans="1:7" ht="12.75" customHeight="1" x14ac:dyDescent="0.2">
      <c r="A968" s="400"/>
      <c r="B968" s="312"/>
      <c r="C968" s="343"/>
      <c r="D968" s="238"/>
      <c r="E968" s="89"/>
      <c r="F968" s="101"/>
      <c r="G968" s="102"/>
    </row>
    <row r="969" spans="1:7" ht="12.75" customHeight="1" x14ac:dyDescent="0.2">
      <c r="A969" s="400"/>
      <c r="B969" s="312"/>
      <c r="C969" s="343"/>
      <c r="D969" s="238"/>
      <c r="E969" s="89"/>
      <c r="F969" s="101"/>
      <c r="G969" s="102"/>
    </row>
    <row r="970" spans="1:7" ht="12.75" customHeight="1" x14ac:dyDescent="0.2">
      <c r="A970" s="400"/>
      <c r="B970" s="312"/>
      <c r="C970" s="343"/>
      <c r="D970" s="238"/>
      <c r="E970" s="89"/>
      <c r="F970" s="101"/>
      <c r="G970" s="102"/>
    </row>
    <row r="971" spans="1:7" ht="12.75" customHeight="1" x14ac:dyDescent="0.2">
      <c r="A971" s="400"/>
      <c r="B971" s="312"/>
      <c r="C971" s="343"/>
      <c r="D971" s="238"/>
      <c r="E971" s="89"/>
      <c r="F971" s="101"/>
      <c r="G971" s="102"/>
    </row>
    <row r="972" spans="1:7" ht="12.75" customHeight="1" x14ac:dyDescent="0.2">
      <c r="A972" s="400"/>
      <c r="B972" s="312"/>
      <c r="C972" s="343"/>
      <c r="D972" s="238"/>
      <c r="E972" s="89"/>
      <c r="F972" s="101"/>
      <c r="G972" s="102"/>
    </row>
    <row r="973" spans="1:7" ht="12.75" customHeight="1" x14ac:dyDescent="0.2">
      <c r="A973" s="400"/>
      <c r="B973" s="312"/>
      <c r="C973" s="343"/>
      <c r="D973" s="238"/>
      <c r="E973" s="89"/>
      <c r="F973" s="101"/>
      <c r="G973" s="102"/>
    </row>
    <row r="974" spans="1:7" ht="12.75" customHeight="1" x14ac:dyDescent="0.2">
      <c r="A974" s="400"/>
      <c r="B974" s="312"/>
      <c r="C974" s="343"/>
      <c r="D974" s="238"/>
      <c r="E974" s="89"/>
      <c r="F974" s="101"/>
      <c r="G974" s="102"/>
    </row>
    <row r="975" spans="1:7" ht="12.75" customHeight="1" x14ac:dyDescent="0.2">
      <c r="A975" s="400"/>
      <c r="B975" s="312"/>
      <c r="C975" s="343"/>
      <c r="D975" s="238"/>
      <c r="E975" s="89"/>
      <c r="F975" s="101"/>
      <c r="G975" s="102"/>
    </row>
    <row r="976" spans="1:7" ht="12.75" customHeight="1" x14ac:dyDescent="0.2">
      <c r="A976" s="400"/>
      <c r="B976" s="312"/>
      <c r="C976" s="343"/>
      <c r="D976" s="238"/>
      <c r="E976" s="89"/>
      <c r="F976" s="101"/>
      <c r="G976" s="102"/>
    </row>
    <row r="977" spans="1:7" ht="12.75" customHeight="1" x14ac:dyDescent="0.2">
      <c r="A977" s="400"/>
      <c r="B977" s="312"/>
      <c r="C977" s="343"/>
      <c r="D977" s="238"/>
      <c r="E977" s="89"/>
      <c r="F977" s="101"/>
      <c r="G977" s="102"/>
    </row>
    <row r="978" spans="1:7" ht="12.75" customHeight="1" x14ac:dyDescent="0.2">
      <c r="A978" s="400"/>
      <c r="B978" s="312"/>
      <c r="C978" s="343"/>
      <c r="D978" s="238"/>
      <c r="E978" s="89"/>
      <c r="F978" s="101"/>
      <c r="G978" s="102"/>
    </row>
    <row r="979" spans="1:7" ht="12.75" customHeight="1" x14ac:dyDescent="0.2">
      <c r="A979" s="400"/>
      <c r="B979" s="312"/>
      <c r="C979" s="343"/>
      <c r="D979" s="238"/>
      <c r="E979" s="89"/>
      <c r="F979" s="101"/>
      <c r="G979" s="102"/>
    </row>
    <row r="980" spans="1:7" ht="12.75" customHeight="1" x14ac:dyDescent="0.2">
      <c r="A980" s="400"/>
      <c r="B980" s="312"/>
      <c r="C980" s="343"/>
      <c r="D980" s="238"/>
      <c r="E980" s="89"/>
      <c r="F980" s="101"/>
      <c r="G980" s="102"/>
    </row>
    <row r="981" spans="1:7" ht="12.75" customHeight="1" x14ac:dyDescent="0.2">
      <c r="A981" s="400"/>
      <c r="B981" s="312"/>
      <c r="C981" s="343"/>
      <c r="D981" s="238"/>
      <c r="E981" s="89"/>
      <c r="F981" s="101"/>
      <c r="G981" s="102"/>
    </row>
    <row r="982" spans="1:7" ht="12.75" customHeight="1" x14ac:dyDescent="0.2">
      <c r="A982" s="400"/>
      <c r="B982" s="312"/>
      <c r="C982" s="343"/>
      <c r="D982" s="238"/>
      <c r="E982" s="89"/>
      <c r="F982" s="101"/>
      <c r="G982" s="102"/>
    </row>
    <row r="983" spans="1:7" ht="12.75" customHeight="1" x14ac:dyDescent="0.2">
      <c r="A983" s="400"/>
      <c r="B983" s="312"/>
      <c r="C983" s="343"/>
      <c r="D983" s="238"/>
      <c r="E983" s="89"/>
      <c r="F983" s="101"/>
      <c r="G983" s="102"/>
    </row>
    <row r="984" spans="1:7" ht="12.75" customHeight="1" x14ac:dyDescent="0.2">
      <c r="A984" s="400"/>
      <c r="B984" s="312"/>
      <c r="C984" s="343"/>
      <c r="D984" s="238"/>
      <c r="E984" s="89"/>
      <c r="F984" s="101"/>
      <c r="G984" s="102"/>
    </row>
    <row r="985" spans="1:7" ht="12.75" customHeight="1" x14ac:dyDescent="0.2">
      <c r="A985" s="400"/>
      <c r="B985" s="312"/>
      <c r="C985" s="343"/>
      <c r="D985" s="238"/>
      <c r="E985" s="89"/>
      <c r="F985" s="101"/>
      <c r="G985" s="102"/>
    </row>
    <row r="986" spans="1:7" ht="12.75" customHeight="1" x14ac:dyDescent="0.2">
      <c r="A986" s="400"/>
      <c r="B986" s="312"/>
      <c r="C986" s="343"/>
      <c r="D986" s="238"/>
      <c r="E986" s="89"/>
      <c r="F986" s="101"/>
      <c r="G986" s="102"/>
    </row>
    <row r="987" spans="1:7" ht="12.75" customHeight="1" x14ac:dyDescent="0.2">
      <c r="A987" s="400"/>
      <c r="B987" s="312"/>
      <c r="C987" s="343"/>
      <c r="D987" s="238"/>
      <c r="E987" s="89"/>
      <c r="F987" s="101"/>
      <c r="G987" s="102"/>
    </row>
    <row r="988" spans="1:7" ht="12.75" customHeight="1" thickBot="1" x14ac:dyDescent="0.25">
      <c r="A988" s="400"/>
      <c r="B988" s="312"/>
      <c r="C988" s="343"/>
      <c r="D988" s="238"/>
      <c r="E988" s="89"/>
      <c r="F988" s="101"/>
      <c r="G988" s="102"/>
    </row>
    <row r="989" spans="1:7" ht="12.75" customHeight="1" x14ac:dyDescent="0.2">
      <c r="A989" s="422"/>
      <c r="B989" s="111" t="s">
        <v>409</v>
      </c>
      <c r="C989" s="398"/>
      <c r="D989" s="240"/>
      <c r="E989" s="399"/>
      <c r="F989" s="240"/>
      <c r="G989" s="231"/>
    </row>
    <row r="990" spans="1:7" ht="12.75" customHeight="1" thickBot="1" x14ac:dyDescent="0.25">
      <c r="A990" s="423"/>
      <c r="B990" s="116" t="s">
        <v>410</v>
      </c>
      <c r="C990" s="190"/>
      <c r="D990" s="192"/>
      <c r="E990" s="232"/>
      <c r="F990" s="192"/>
      <c r="G990" s="241">
        <f>SUM(G940:G989)</f>
        <v>0</v>
      </c>
    </row>
  </sheetData>
  <mergeCells count="7">
    <mergeCell ref="C833:F833"/>
    <mergeCell ref="B501:E501"/>
    <mergeCell ref="A1:G1"/>
    <mergeCell ref="B497:E497"/>
    <mergeCell ref="B498:E498"/>
    <mergeCell ref="B500:E500"/>
    <mergeCell ref="B499:E499"/>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 10 CLASS ROOM BLOCK  (HDH.MAKUNUDHOO SCHOOL)&amp;R&amp;8     BILL OF QUANTITIES</oddHeader>
    <oddFooter>&amp;L&amp;8JULY 2015&amp;C&amp;8&amp;P&amp;R&amp;8ArchEng Studio Pvt. Ltd</oddFooter>
  </headerFooter>
  <rowBreaks count="6" manualBreakCount="6">
    <brk id="49" max="6" man="1"/>
    <brk id="85" max="6" man="1"/>
    <brk id="532" max="6" man="1"/>
    <brk id="578" max="6" man="1"/>
    <brk id="615" max="6" man="1"/>
    <brk id="65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user</cp:lastModifiedBy>
  <cp:lastPrinted>2015-07-23T06:03:56Z</cp:lastPrinted>
  <dcterms:created xsi:type="dcterms:W3CDTF">2011-03-24T06:48:27Z</dcterms:created>
  <dcterms:modified xsi:type="dcterms:W3CDTF">2015-07-23T06:32:25Z</dcterms:modified>
</cp:coreProperties>
</file>