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Archeng\Projects\projects 2014\14-109 Design of 11 Schools MOE\DETAILED DRAWINGS\Ihavandhoo School\BOQ\"/>
    </mc:Choice>
  </mc:AlternateContent>
  <bookViews>
    <workbookView xWindow="120" yWindow="255" windowWidth="15135" windowHeight="7755"/>
  </bookViews>
  <sheets>
    <sheet name="Cover" sheetId="3" r:id="rId1"/>
    <sheet name="Summary" sheetId="2" r:id="rId2"/>
    <sheet name="Boq" sheetId="1" r:id="rId3"/>
  </sheets>
  <definedNames>
    <definedName name="_xlnm.Print_Area" localSheetId="2">Boq!$A$1:$G$1452</definedName>
    <definedName name="_xlnm.Print_Area" localSheetId="0">Cover!$A$1:$A$33</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G826" i="1" l="1"/>
  <c r="G827" i="1"/>
  <c r="G828" i="1"/>
  <c r="G1452" i="1" l="1"/>
  <c r="C19" i="2" s="1"/>
  <c r="G1393" i="1"/>
  <c r="C18" i="2" s="1"/>
  <c r="G1321" i="1"/>
  <c r="G1320" i="1"/>
  <c r="G1319" i="1"/>
  <c r="G1318" i="1"/>
  <c r="G1317" i="1"/>
  <c r="G1316" i="1"/>
  <c r="G1314" i="1"/>
  <c r="G1313" i="1"/>
  <c r="G1312" i="1"/>
  <c r="G1311" i="1"/>
  <c r="G1310" i="1"/>
  <c r="G1309" i="1"/>
  <c r="G1302" i="1"/>
  <c r="G1307" i="1"/>
  <c r="G1306" i="1"/>
  <c r="G1305" i="1"/>
  <c r="G1304" i="1"/>
  <c r="G1303" i="1"/>
  <c r="G1301" i="1"/>
  <c r="G1299" i="1"/>
  <c r="G1298" i="1"/>
  <c r="G1297" i="1"/>
  <c r="G1296" i="1"/>
  <c r="G1295" i="1"/>
  <c r="G1293" i="1"/>
  <c r="G1292" i="1"/>
  <c r="G1290" i="1"/>
  <c r="M1286" i="1"/>
  <c r="L1286" i="1"/>
  <c r="I1286" i="1"/>
  <c r="J1256" i="1"/>
  <c r="I1256" i="1"/>
  <c r="G1256" i="1"/>
  <c r="I1212" i="1"/>
  <c r="I1218" i="1"/>
  <c r="J1218" i="1"/>
  <c r="G1218" i="1"/>
  <c r="J1212" i="1"/>
  <c r="K1212" i="1" s="1"/>
  <c r="G1212" i="1"/>
  <c r="J1250" i="1"/>
  <c r="I1250" i="1"/>
  <c r="I1249" i="1"/>
  <c r="G1250" i="1"/>
  <c r="J1286" i="1"/>
  <c r="I1285" i="1"/>
  <c r="J1285" i="1" s="1"/>
  <c r="G1285" i="1"/>
  <c r="I1283" i="1"/>
  <c r="G1289" i="1"/>
  <c r="G1288" i="1"/>
  <c r="G1287" i="1"/>
  <c r="G1286" i="1"/>
  <c r="G1284" i="1"/>
  <c r="G1283" i="1"/>
  <c r="G1280" i="1"/>
  <c r="I1276" i="1"/>
  <c r="G1276" i="1"/>
  <c r="I1275" i="1"/>
  <c r="G1275" i="1"/>
  <c r="K1271" i="1"/>
  <c r="L1271" i="1" s="1"/>
  <c r="I1271" i="1"/>
  <c r="D1270" i="1" s="1"/>
  <c r="D1272" i="1" s="1"/>
  <c r="G1272" i="1" s="1"/>
  <c r="I1267" i="1"/>
  <c r="G1267" i="1"/>
  <c r="I1266" i="1"/>
  <c r="G1266" i="1"/>
  <c r="I1265" i="1"/>
  <c r="G1265" i="1"/>
  <c r="I1261" i="1"/>
  <c r="G1261" i="1"/>
  <c r="I1260" i="1"/>
  <c r="G1260" i="1"/>
  <c r="I1259" i="1"/>
  <c r="G1259" i="1"/>
  <c r="G1257" i="1"/>
  <c r="I1255" i="1"/>
  <c r="G1255" i="1"/>
  <c r="I1254" i="1"/>
  <c r="J1254" i="1" s="1"/>
  <c r="G1254" i="1"/>
  <c r="I1253" i="1"/>
  <c r="J1253" i="1" s="1"/>
  <c r="K1253" i="1" s="1"/>
  <c r="G1253" i="1"/>
  <c r="I1252" i="1"/>
  <c r="J1252" i="1" s="1"/>
  <c r="G1252" i="1"/>
  <c r="G1251" i="1"/>
  <c r="G1249" i="1"/>
  <c r="I1248" i="1"/>
  <c r="J1248" i="1" s="1"/>
  <c r="G1248" i="1"/>
  <c r="I1247" i="1"/>
  <c r="J1247" i="1" s="1"/>
  <c r="G1247" i="1"/>
  <c r="I1246" i="1"/>
  <c r="J1246" i="1" s="1"/>
  <c r="G1246" i="1"/>
  <c r="G1245" i="1"/>
  <c r="I1241" i="1"/>
  <c r="G1241" i="1"/>
  <c r="I1240" i="1"/>
  <c r="G1240" i="1"/>
  <c r="K1236" i="1"/>
  <c r="L1236" i="1" s="1"/>
  <c r="I1231" i="1"/>
  <c r="G1231" i="1"/>
  <c r="I1236" i="1"/>
  <c r="D1235" i="1" s="1"/>
  <c r="D1237" i="1" s="1"/>
  <c r="G1237" i="1" s="1"/>
  <c r="I1232" i="1"/>
  <c r="G1232" i="1"/>
  <c r="I1230" i="1"/>
  <c r="G1230" i="1"/>
  <c r="I1225" i="1"/>
  <c r="G1225" i="1"/>
  <c r="I1203" i="1"/>
  <c r="D1202" i="1" s="1"/>
  <c r="D1204" i="1" s="1"/>
  <c r="G1204" i="1" s="1"/>
  <c r="K1203" i="1"/>
  <c r="L1203" i="1" s="1"/>
  <c r="M1203" i="1" s="1"/>
  <c r="I1192" i="1"/>
  <c r="I1211" i="1"/>
  <c r="I1191" i="1"/>
  <c r="I1177" i="1"/>
  <c r="I1194" i="1"/>
  <c r="I1217" i="1"/>
  <c r="I1215" i="1"/>
  <c r="I1214" i="1"/>
  <c r="J1214" i="1" s="1"/>
  <c r="I1210" i="1"/>
  <c r="I1216" i="1"/>
  <c r="J1216" i="1" s="1"/>
  <c r="G1216" i="1"/>
  <c r="G1217" i="1"/>
  <c r="G1211" i="1"/>
  <c r="I1209" i="1"/>
  <c r="J1209" i="1" s="1"/>
  <c r="I1208" i="1"/>
  <c r="J1208" i="1" s="1"/>
  <c r="G1209" i="1"/>
  <c r="J1210" i="1"/>
  <c r="I1226" i="1"/>
  <c r="G1226" i="1"/>
  <c r="I1224" i="1"/>
  <c r="G1224" i="1"/>
  <c r="G1222" i="1"/>
  <c r="G1215" i="1"/>
  <c r="G1214" i="1"/>
  <c r="G1213" i="1"/>
  <c r="G1210" i="1"/>
  <c r="G1208" i="1"/>
  <c r="G1207" i="1"/>
  <c r="J1195" i="1"/>
  <c r="I1195" i="1"/>
  <c r="J1192" i="1"/>
  <c r="I1199" i="1"/>
  <c r="G1199" i="1"/>
  <c r="I1198" i="1"/>
  <c r="G1198" i="1"/>
  <c r="G1196" i="1"/>
  <c r="G1195" i="1"/>
  <c r="G1194" i="1"/>
  <c r="G1193" i="1"/>
  <c r="I1185" i="1"/>
  <c r="I1186" i="1"/>
  <c r="G1186" i="1"/>
  <c r="J1185" i="1"/>
  <c r="G1185" i="1"/>
  <c r="I1184" i="1"/>
  <c r="G1184" i="1"/>
  <c r="G1182" i="1"/>
  <c r="I1180" i="1"/>
  <c r="I1181" i="1"/>
  <c r="J1181" i="1" s="1"/>
  <c r="G1181" i="1"/>
  <c r="G1180" i="1"/>
  <c r="G1192" i="1"/>
  <c r="G1191" i="1"/>
  <c r="G1190" i="1"/>
  <c r="I1178" i="1"/>
  <c r="J1178" i="1" s="1"/>
  <c r="G1176" i="1"/>
  <c r="G1177" i="1"/>
  <c r="G1178" i="1"/>
  <c r="G1179" i="1"/>
  <c r="I1175" i="1"/>
  <c r="G1175" i="1"/>
  <c r="G1173" i="1"/>
  <c r="G1172" i="1"/>
  <c r="G1171" i="1"/>
  <c r="G1170" i="1"/>
  <c r="G1169" i="1"/>
  <c r="I1171" i="1"/>
  <c r="J1170" i="1"/>
  <c r="K1170" i="1" s="1"/>
  <c r="I1170" i="1"/>
  <c r="K1250" i="1" l="1"/>
  <c r="K1256" i="1"/>
  <c r="K1286" i="1"/>
  <c r="N1286" i="1" s="1"/>
  <c r="O1286" i="1" s="1"/>
  <c r="K1218" i="1"/>
  <c r="I1262" i="1"/>
  <c r="D1258" i="1" s="1"/>
  <c r="D1262" i="1" s="1"/>
  <c r="G1262" i="1" s="1"/>
  <c r="I1242" i="1"/>
  <c r="D1239" i="1" s="1"/>
  <c r="D1242" i="1" s="1"/>
  <c r="G1242" i="1" s="1"/>
  <c r="I1277" i="1"/>
  <c r="D1274" i="1" s="1"/>
  <c r="D1277" i="1" s="1"/>
  <c r="G1277" i="1" s="1"/>
  <c r="K1192" i="1"/>
  <c r="M1236" i="1"/>
  <c r="N1236" i="1" s="1"/>
  <c r="O1236" i="1" s="1"/>
  <c r="I1268" i="1"/>
  <c r="D1264" i="1" s="1"/>
  <c r="D1268" i="1" s="1"/>
  <c r="G1268" i="1" s="1"/>
  <c r="M1271" i="1"/>
  <c r="N1271" i="1" s="1"/>
  <c r="O1271" i="1" s="1"/>
  <c r="I1227" i="1"/>
  <c r="D1223" i="1" s="1"/>
  <c r="D1227" i="1" s="1"/>
  <c r="G1227" i="1" s="1"/>
  <c r="I1233" i="1"/>
  <c r="D1229" i="1" s="1"/>
  <c r="D1233" i="1" s="1"/>
  <c r="G1233" i="1" s="1"/>
  <c r="J1215" i="1"/>
  <c r="K1215" i="1" s="1"/>
  <c r="I1187" i="1"/>
  <c r="D1183" i="1" s="1"/>
  <c r="D1187" i="1" s="1"/>
  <c r="G1187" i="1" s="1"/>
  <c r="K1195" i="1"/>
  <c r="L1170" i="1"/>
  <c r="J1175" i="1"/>
  <c r="K1175" i="1" s="1"/>
  <c r="I1200" i="1"/>
  <c r="D1197" i="1" s="1"/>
  <c r="D1200" i="1" s="1"/>
  <c r="G1200" i="1" s="1"/>
  <c r="D69" i="1"/>
  <c r="I65" i="1"/>
  <c r="I52" i="1"/>
  <c r="F27" i="1"/>
  <c r="G1334" i="1" l="1"/>
  <c r="C17" i="2" s="1"/>
  <c r="G34" i="1"/>
  <c r="G33" i="1"/>
  <c r="G1154" i="1"/>
  <c r="G1153" i="1"/>
  <c r="G1152" i="1"/>
  <c r="G1151" i="1"/>
  <c r="G1150" i="1"/>
  <c r="G1149" i="1"/>
  <c r="G1148" i="1"/>
  <c r="D1069" i="1"/>
  <c r="G1069" i="1" s="1"/>
  <c r="D1068" i="1"/>
  <c r="G1068" i="1" s="1"/>
  <c r="D1067" i="1"/>
  <c r="G1067" i="1" s="1"/>
  <c r="D1066" i="1"/>
  <c r="G1066" i="1" s="1"/>
  <c r="D1065" i="1"/>
  <c r="G1065" i="1" s="1"/>
  <c r="D1064" i="1"/>
  <c r="G1064" i="1" s="1"/>
  <c r="D1063" i="1"/>
  <c r="G1063" i="1" s="1"/>
  <c r="D1062" i="1"/>
  <c r="G1062" i="1" s="1"/>
  <c r="G1061" i="1"/>
  <c r="G1060" i="1"/>
  <c r="G1059" i="1"/>
  <c r="G1058" i="1"/>
  <c r="G1057" i="1"/>
  <c r="G1055" i="1"/>
  <c r="G1054" i="1"/>
  <c r="D1053" i="1"/>
  <c r="G1053" i="1" s="1"/>
  <c r="G1052" i="1"/>
  <c r="G1051" i="1"/>
  <c r="G1050" i="1"/>
  <c r="G1049" i="1"/>
  <c r="G1048" i="1"/>
  <c r="G1047" i="1"/>
  <c r="G1046" i="1"/>
  <c r="G1045" i="1"/>
  <c r="G1044" i="1"/>
  <c r="G1043" i="1"/>
  <c r="G1042" i="1"/>
  <c r="G1041" i="1"/>
  <c r="G1040" i="1"/>
  <c r="G1039" i="1"/>
  <c r="G1038" i="1"/>
  <c r="G1037" i="1"/>
  <c r="D996" i="1"/>
  <c r="D1034" i="1"/>
  <c r="D989" i="1"/>
  <c r="I819" i="1"/>
  <c r="I815" i="1"/>
  <c r="K720" i="1"/>
  <c r="I720" i="1"/>
  <c r="J720" i="1"/>
  <c r="D777" i="1"/>
  <c r="I773" i="1"/>
  <c r="D771" i="1"/>
  <c r="I769" i="1"/>
  <c r="D768" i="1"/>
  <c r="D767" i="1"/>
  <c r="I764" i="1"/>
  <c r="D763" i="1"/>
  <c r="D762" i="1"/>
  <c r="I724" i="1"/>
  <c r="I721" i="1"/>
  <c r="I715" i="1"/>
  <c r="J773" i="1" l="1"/>
  <c r="L720" i="1"/>
  <c r="D541" i="1"/>
  <c r="D602" i="1" s="1"/>
  <c r="G552" i="1"/>
  <c r="G551" i="1"/>
  <c r="G550" i="1"/>
  <c r="G595" i="1"/>
  <c r="G594" i="1"/>
  <c r="G593" i="1"/>
  <c r="K569" i="1"/>
  <c r="I569" i="1"/>
  <c r="J569" i="1" s="1"/>
  <c r="I570" i="1"/>
  <c r="J570" i="1" s="1"/>
  <c r="I568" i="1"/>
  <c r="J568" i="1"/>
  <c r="D546" i="1"/>
  <c r="D601" i="1" s="1"/>
  <c r="D544" i="1"/>
  <c r="D543" i="1"/>
  <c r="D537" i="1"/>
  <c r="G527" i="1"/>
  <c r="I526" i="1"/>
  <c r="G526" i="1"/>
  <c r="J525" i="1"/>
  <c r="I525" i="1"/>
  <c r="G525" i="1"/>
  <c r="I524" i="1"/>
  <c r="G524" i="1"/>
  <c r="L523" i="1"/>
  <c r="K523" i="1"/>
  <c r="J523" i="1"/>
  <c r="I523" i="1"/>
  <c r="G523" i="1"/>
  <c r="I522" i="1"/>
  <c r="L522" i="1" s="1"/>
  <c r="G522" i="1"/>
  <c r="I516" i="1"/>
  <c r="J516" i="1"/>
  <c r="L508" i="1"/>
  <c r="K508" i="1"/>
  <c r="J508" i="1"/>
  <c r="I508" i="1"/>
  <c r="L516" i="1"/>
  <c r="K516" i="1"/>
  <c r="I515" i="1"/>
  <c r="I519" i="1"/>
  <c r="J518" i="1"/>
  <c r="I518" i="1"/>
  <c r="J510" i="1"/>
  <c r="K510" i="1"/>
  <c r="I510" i="1"/>
  <c r="I511" i="1"/>
  <c r="I507" i="1"/>
  <c r="D493" i="1"/>
  <c r="D491" i="1"/>
  <c r="K488" i="1"/>
  <c r="L488" i="1" s="1"/>
  <c r="M488" i="1" s="1"/>
  <c r="I488" i="1"/>
  <c r="J488" i="1" s="1"/>
  <c r="I486" i="1"/>
  <c r="N485" i="1"/>
  <c r="O485" i="1"/>
  <c r="P485" i="1"/>
  <c r="Q485" i="1"/>
  <c r="I485" i="1"/>
  <c r="J485" i="1" s="1"/>
  <c r="L485" i="1" s="1"/>
  <c r="M485" i="1" s="1"/>
  <c r="N488" i="1"/>
  <c r="O488" i="1" s="1"/>
  <c r="P488" i="1" s="1"/>
  <c r="I481" i="1"/>
  <c r="N483" i="1"/>
  <c r="O483" i="1" s="1"/>
  <c r="P483" i="1" s="1"/>
  <c r="K478" i="1"/>
  <c r="L478" i="1" s="1"/>
  <c r="M478" i="1" s="1"/>
  <c r="K483" i="1"/>
  <c r="L483" i="1" s="1"/>
  <c r="M483" i="1" s="1"/>
  <c r="I483" i="1"/>
  <c r="J483" i="1" s="1"/>
  <c r="Q480" i="1"/>
  <c r="P480" i="1"/>
  <c r="N480" i="1"/>
  <c r="I480" i="1"/>
  <c r="J480" i="1" s="1"/>
  <c r="L480" i="1" s="1"/>
  <c r="O480" i="1"/>
  <c r="N478" i="1"/>
  <c r="O478" i="1" s="1"/>
  <c r="P478" i="1" s="1"/>
  <c r="I478" i="1"/>
  <c r="J478" i="1" s="1"/>
  <c r="I476" i="1"/>
  <c r="N475" i="1"/>
  <c r="O475" i="1"/>
  <c r="I475" i="1"/>
  <c r="J475" i="1" s="1"/>
  <c r="I458" i="1"/>
  <c r="J458" i="1" s="1"/>
  <c r="I463" i="1"/>
  <c r="K458" i="1"/>
  <c r="I459" i="1"/>
  <c r="J459" i="1" s="1"/>
  <c r="K459" i="1"/>
  <c r="I456" i="1"/>
  <c r="I455" i="1"/>
  <c r="J455" i="1" s="1"/>
  <c r="K452" i="1"/>
  <c r="I452" i="1"/>
  <c r="J452" i="1" s="1"/>
  <c r="I445" i="1"/>
  <c r="J445" i="1" s="1"/>
  <c r="K451" i="1"/>
  <c r="I451" i="1"/>
  <c r="J451" i="1" s="1"/>
  <c r="I671" i="1"/>
  <c r="J671" i="1" s="1"/>
  <c r="I670" i="1"/>
  <c r="J670" i="1" s="1"/>
  <c r="I669" i="1"/>
  <c r="J669" i="1" s="1"/>
  <c r="I668" i="1"/>
  <c r="J668" i="1" s="1"/>
  <c r="I666" i="1"/>
  <c r="J666" i="1" s="1"/>
  <c r="I665" i="1"/>
  <c r="J665" i="1" s="1"/>
  <c r="I448" i="1"/>
  <c r="J448" i="1" s="1"/>
  <c r="L448" i="1" s="1"/>
  <c r="M448" i="1" s="1"/>
  <c r="I449" i="1"/>
  <c r="I444" i="1"/>
  <c r="J444" i="1" s="1"/>
  <c r="K445" i="1"/>
  <c r="I442" i="1"/>
  <c r="I441" i="1"/>
  <c r="J441" i="1" s="1"/>
  <c r="L441" i="1" s="1"/>
  <c r="M441" i="1" s="1"/>
  <c r="I658" i="1"/>
  <c r="I657" i="1"/>
  <c r="I656" i="1"/>
  <c r="I654" i="1"/>
  <c r="I653" i="1"/>
  <c r="J653" i="1" s="1"/>
  <c r="I652" i="1"/>
  <c r="J652" i="1" s="1"/>
  <c r="G684" i="1"/>
  <c r="G683" i="1"/>
  <c r="G682" i="1"/>
  <c r="G681" i="1"/>
  <c r="G679" i="1"/>
  <c r="G678" i="1"/>
  <c r="G666" i="1"/>
  <c r="G665" i="1"/>
  <c r="G687" i="1"/>
  <c r="G686" i="1"/>
  <c r="G674" i="1"/>
  <c r="G673" i="1"/>
  <c r="G671" i="1"/>
  <c r="L59" i="1"/>
  <c r="M59" i="1" s="1"/>
  <c r="I89" i="1"/>
  <c r="I407" i="1"/>
  <c r="J407" i="1"/>
  <c r="I403" i="1"/>
  <c r="K401" i="1"/>
  <c r="I401" i="1"/>
  <c r="J401" i="1" s="1"/>
  <c r="L399" i="1"/>
  <c r="J399" i="1"/>
  <c r="I399" i="1"/>
  <c r="J392" i="1"/>
  <c r="J388" i="1"/>
  <c r="J384" i="1"/>
  <c r="L384" i="1" s="1"/>
  <c r="M384" i="1" s="1"/>
  <c r="I379" i="1"/>
  <c r="G379" i="1"/>
  <c r="K378" i="1"/>
  <c r="L378" i="1" s="1"/>
  <c r="J378" i="1"/>
  <c r="I378" i="1"/>
  <c r="I380" i="1" s="1"/>
  <c r="D377" i="1" s="1"/>
  <c r="G378" i="1"/>
  <c r="I375" i="1"/>
  <c r="G375" i="1"/>
  <c r="L374" i="1"/>
  <c r="M374" i="1" s="1"/>
  <c r="J374" i="1"/>
  <c r="I374" i="1"/>
  <c r="I376" i="1" s="1"/>
  <c r="D373" i="1" s="1"/>
  <c r="G374" i="1"/>
  <c r="I371" i="1"/>
  <c r="G371" i="1"/>
  <c r="M370" i="1"/>
  <c r="N370" i="1" s="1"/>
  <c r="L370" i="1"/>
  <c r="J370" i="1"/>
  <c r="I370" i="1"/>
  <c r="G370" i="1"/>
  <c r="K319" i="1"/>
  <c r="L319" i="1" s="1"/>
  <c r="J319" i="1"/>
  <c r="J315" i="1"/>
  <c r="L315" i="1"/>
  <c r="N315" i="1" s="1"/>
  <c r="M311" i="1"/>
  <c r="N311" i="1" s="1"/>
  <c r="L311" i="1"/>
  <c r="J311" i="1"/>
  <c r="J327" i="1"/>
  <c r="I363" i="1"/>
  <c r="G363" i="1"/>
  <c r="I362" i="1"/>
  <c r="G362" i="1"/>
  <c r="J361" i="1"/>
  <c r="K361" i="1" s="1"/>
  <c r="L361" i="1" s="1"/>
  <c r="I361" i="1"/>
  <c r="G361" i="1"/>
  <c r="I358" i="1"/>
  <c r="G358" i="1"/>
  <c r="J357" i="1"/>
  <c r="K357" i="1" s="1"/>
  <c r="L357" i="1" s="1"/>
  <c r="I357" i="1"/>
  <c r="G357" i="1"/>
  <c r="I354" i="1"/>
  <c r="G354" i="1"/>
  <c r="I353" i="1"/>
  <c r="G353" i="1"/>
  <c r="I350" i="1"/>
  <c r="G350" i="1"/>
  <c r="J349" i="1"/>
  <c r="K349" i="1" s="1"/>
  <c r="L349" i="1" s="1"/>
  <c r="I349" i="1"/>
  <c r="G349" i="1"/>
  <c r="I346" i="1"/>
  <c r="G346" i="1"/>
  <c r="J345" i="1"/>
  <c r="K345" i="1" s="1"/>
  <c r="L345" i="1" s="1"/>
  <c r="I345" i="1"/>
  <c r="G345" i="1"/>
  <c r="J342" i="1"/>
  <c r="I342" i="1"/>
  <c r="G342" i="1"/>
  <c r="J341" i="1"/>
  <c r="L341" i="1" s="1"/>
  <c r="M341" i="1" s="1"/>
  <c r="I341" i="1"/>
  <c r="G341" i="1"/>
  <c r="I366" i="1"/>
  <c r="I367" i="1" s="1"/>
  <c r="D365" i="1" s="1"/>
  <c r="G366" i="1"/>
  <c r="L365" i="1"/>
  <c r="K365" i="1"/>
  <c r="J365" i="1"/>
  <c r="L306" i="1"/>
  <c r="K306" i="1"/>
  <c r="J306" i="1"/>
  <c r="J276" i="1"/>
  <c r="J283" i="1"/>
  <c r="J282" i="1"/>
  <c r="J286" i="1"/>
  <c r="J290" i="1"/>
  <c r="K290" i="1" s="1"/>
  <c r="J302" i="1"/>
  <c r="K302" i="1" s="1"/>
  <c r="J298" i="1"/>
  <c r="L451" i="1" l="1"/>
  <c r="M451" i="1" s="1"/>
  <c r="L452" i="1"/>
  <c r="L569" i="1"/>
  <c r="R485" i="1"/>
  <c r="J486" i="1" s="1"/>
  <c r="L510" i="1"/>
  <c r="L458" i="1"/>
  <c r="M458" i="1" s="1"/>
  <c r="L459" i="1"/>
  <c r="R480" i="1"/>
  <c r="M516" i="1"/>
  <c r="M523" i="1"/>
  <c r="K525" i="1"/>
  <c r="J672" i="1"/>
  <c r="K672" i="1" s="1"/>
  <c r="Q478" i="1"/>
  <c r="R478" i="1" s="1"/>
  <c r="M508" i="1"/>
  <c r="Q488" i="1"/>
  <c r="R488" i="1" s="1"/>
  <c r="Q483" i="1"/>
  <c r="R483" i="1" s="1"/>
  <c r="M480" i="1"/>
  <c r="L455" i="1"/>
  <c r="M455" i="1" s="1"/>
  <c r="K665" i="1"/>
  <c r="I372" i="1"/>
  <c r="D369" i="1" s="1"/>
  <c r="D372" i="1" s="1"/>
  <c r="G372" i="1" s="1"/>
  <c r="L401" i="1"/>
  <c r="M306" i="1"/>
  <c r="N306" i="1" s="1"/>
  <c r="O306" i="1" s="1"/>
  <c r="P306" i="1" s="1"/>
  <c r="Q306" i="1" s="1"/>
  <c r="R306" i="1" s="1"/>
  <c r="M365" i="1"/>
  <c r="N365" i="1" s="1"/>
  <c r="O365" i="1" s="1"/>
  <c r="P365" i="1" s="1"/>
  <c r="Q365" i="1" s="1"/>
  <c r="R365" i="1" s="1"/>
  <c r="I343" i="1"/>
  <c r="D340" i="1" s="1"/>
  <c r="G340" i="1" s="1"/>
  <c r="I359" i="1"/>
  <c r="D356" i="1" s="1"/>
  <c r="G356" i="1" s="1"/>
  <c r="M399" i="1"/>
  <c r="N374" i="1"/>
  <c r="O374" i="1" s="1"/>
  <c r="M315" i="1"/>
  <c r="O315" i="1" s="1"/>
  <c r="G373" i="1"/>
  <c r="D376" i="1"/>
  <c r="G376" i="1" s="1"/>
  <c r="D380" i="1"/>
  <c r="G380" i="1" s="1"/>
  <c r="G377" i="1"/>
  <c r="I347" i="1"/>
  <c r="D344" i="1" s="1"/>
  <c r="D347" i="1" s="1"/>
  <c r="G347" i="1" s="1"/>
  <c r="I355" i="1"/>
  <c r="D352" i="1" s="1"/>
  <c r="D355" i="1" s="1"/>
  <c r="G355" i="1" s="1"/>
  <c r="I351" i="1"/>
  <c r="D348" i="1" s="1"/>
  <c r="D351" i="1" s="1"/>
  <c r="G351" i="1" s="1"/>
  <c r="I364" i="1"/>
  <c r="D360" i="1" s="1"/>
  <c r="D364" i="1" s="1"/>
  <c r="G364" i="1" s="1"/>
  <c r="D359" i="1"/>
  <c r="G359" i="1" s="1"/>
  <c r="G365" i="1"/>
  <c r="D367" i="1"/>
  <c r="G367" i="1" s="1"/>
  <c r="J272" i="1"/>
  <c r="K261" i="1"/>
  <c r="L261" i="1" s="1"/>
  <c r="M253" i="1"/>
  <c r="N253" i="1" s="1"/>
  <c r="L257" i="1"/>
  <c r="N257" i="1" s="1"/>
  <c r="L253" i="1"/>
  <c r="J257" i="1"/>
  <c r="J253" i="1"/>
  <c r="J245" i="1"/>
  <c r="K245" i="1" s="1"/>
  <c r="J241" i="1"/>
  <c r="I161" i="1"/>
  <c r="J161" i="1" s="1"/>
  <c r="I160" i="1"/>
  <c r="J160" i="1" s="1"/>
  <c r="I94" i="1"/>
  <c r="I93" i="1"/>
  <c r="P92" i="1"/>
  <c r="O92" i="1"/>
  <c r="N92" i="1"/>
  <c r="M92" i="1"/>
  <c r="L92" i="1"/>
  <c r="K92" i="1"/>
  <c r="J92" i="1"/>
  <c r="I213" i="1"/>
  <c r="I212" i="1"/>
  <c r="I211" i="1"/>
  <c r="J211" i="1" s="1"/>
  <c r="I208" i="1"/>
  <c r="G208" i="1"/>
  <c r="I207" i="1"/>
  <c r="G207" i="1"/>
  <c r="I206" i="1"/>
  <c r="G206" i="1"/>
  <c r="K204" i="1"/>
  <c r="J204" i="1"/>
  <c r="I204" i="1"/>
  <c r="G204" i="1"/>
  <c r="G203" i="1"/>
  <c r="I202" i="1"/>
  <c r="J202" i="1" s="1"/>
  <c r="G202" i="1"/>
  <c r="I201" i="1"/>
  <c r="J201" i="1" s="1"/>
  <c r="G201" i="1"/>
  <c r="I200" i="1"/>
  <c r="J200" i="1" s="1"/>
  <c r="G200" i="1"/>
  <c r="I199" i="1"/>
  <c r="J199" i="1" s="1"/>
  <c r="G199" i="1"/>
  <c r="I198" i="1"/>
  <c r="J198" i="1" s="1"/>
  <c r="G198" i="1"/>
  <c r="I197" i="1"/>
  <c r="J197" i="1" s="1"/>
  <c r="G197" i="1"/>
  <c r="I186" i="1"/>
  <c r="I185" i="1"/>
  <c r="K183" i="1"/>
  <c r="J183" i="1"/>
  <c r="I183" i="1"/>
  <c r="I177" i="1"/>
  <c r="I181" i="1"/>
  <c r="I180" i="1"/>
  <c r="I179" i="1"/>
  <c r="I178" i="1"/>
  <c r="I176" i="1"/>
  <c r="I187" i="1"/>
  <c r="I172" i="1"/>
  <c r="I191" i="1"/>
  <c r="I170" i="1"/>
  <c r="O159" i="1"/>
  <c r="O88" i="1"/>
  <c r="P88" i="1"/>
  <c r="P159" i="1"/>
  <c r="N159" i="1"/>
  <c r="M159" i="1"/>
  <c r="L159" i="1"/>
  <c r="K159" i="1"/>
  <c r="J159" i="1"/>
  <c r="I159" i="1"/>
  <c r="I166" i="1"/>
  <c r="I165" i="1"/>
  <c r="I164" i="1"/>
  <c r="I189" i="1"/>
  <c r="I193" i="1"/>
  <c r="I151" i="1"/>
  <c r="I149" i="1"/>
  <c r="I150" i="1"/>
  <c r="I145" i="1"/>
  <c r="G145" i="1"/>
  <c r="I144" i="1"/>
  <c r="G144" i="1"/>
  <c r="I143" i="1"/>
  <c r="G143" i="1"/>
  <c r="K141" i="1"/>
  <c r="J141" i="1"/>
  <c r="I141" i="1"/>
  <c r="G141" i="1"/>
  <c r="G140" i="1"/>
  <c r="I139" i="1"/>
  <c r="J139" i="1" s="1"/>
  <c r="G139" i="1"/>
  <c r="I138" i="1"/>
  <c r="J138" i="1" s="1"/>
  <c r="G138" i="1"/>
  <c r="I137" i="1"/>
  <c r="J137" i="1" s="1"/>
  <c r="G137" i="1"/>
  <c r="I136" i="1"/>
  <c r="J136" i="1" s="1"/>
  <c r="G136" i="1"/>
  <c r="I135" i="1"/>
  <c r="J135" i="1" s="1"/>
  <c r="G135" i="1"/>
  <c r="I134" i="1"/>
  <c r="J134" i="1" s="1"/>
  <c r="G134" i="1"/>
  <c r="I123" i="1"/>
  <c r="I122" i="1"/>
  <c r="I121" i="1"/>
  <c r="G121" i="1"/>
  <c r="G122" i="1"/>
  <c r="G123" i="1"/>
  <c r="K119" i="1"/>
  <c r="J119" i="1"/>
  <c r="I119" i="1"/>
  <c r="I117" i="1"/>
  <c r="J117" i="1" s="1"/>
  <c r="I116" i="1"/>
  <c r="J116" i="1" s="1"/>
  <c r="I115" i="1"/>
  <c r="J115" i="1" s="1"/>
  <c r="I114" i="1"/>
  <c r="I113" i="1"/>
  <c r="I112" i="1"/>
  <c r="I130" i="1"/>
  <c r="J130" i="1" s="1"/>
  <c r="I127" i="1"/>
  <c r="J127" i="1" s="1"/>
  <c r="I108" i="1"/>
  <c r="I106" i="1"/>
  <c r="I100" i="1"/>
  <c r="I99" i="1"/>
  <c r="I98" i="1"/>
  <c r="J481" i="1" l="1"/>
  <c r="G352" i="1"/>
  <c r="G369" i="1"/>
  <c r="D343" i="1"/>
  <c r="G343" i="1" s="1"/>
  <c r="I438" i="1"/>
  <c r="J438" i="1" s="1"/>
  <c r="G344" i="1"/>
  <c r="G360" i="1"/>
  <c r="G348" i="1"/>
  <c r="M257" i="1"/>
  <c r="O257" i="1" s="1"/>
  <c r="L119" i="1"/>
  <c r="M119" i="1" s="1"/>
  <c r="L183" i="1"/>
  <c r="L204" i="1"/>
  <c r="Q159" i="1"/>
  <c r="L141" i="1"/>
  <c r="M141" i="1" s="1"/>
  <c r="I92" i="1"/>
  <c r="L89" i="1"/>
  <c r="M89" i="1" s="1"/>
  <c r="J89" i="1"/>
  <c r="N88" i="1"/>
  <c r="M88" i="1"/>
  <c r="L88" i="1"/>
  <c r="K88" i="1"/>
  <c r="J88" i="1"/>
  <c r="I88" i="1"/>
  <c r="I59" i="1"/>
  <c r="J59" i="1" s="1"/>
  <c r="N59" i="1" s="1"/>
  <c r="I58" i="1"/>
  <c r="Q88" i="1" l="1"/>
  <c r="R88" i="1" s="1"/>
  <c r="Q92" i="1"/>
  <c r="R92" i="1" s="1"/>
  <c r="O59" i="1"/>
  <c r="N89" i="1"/>
  <c r="O89" i="1" s="1"/>
  <c r="P58" i="1"/>
  <c r="O58" i="1"/>
  <c r="N58" i="1"/>
  <c r="M58" i="1"/>
  <c r="L58" i="1"/>
  <c r="K58" i="1"/>
  <c r="J58" i="1"/>
  <c r="P89" i="1" l="1"/>
  <c r="Q58" i="1"/>
  <c r="R58" i="1" s="1"/>
  <c r="P59" i="1" s="1"/>
  <c r="G887" i="1"/>
  <c r="I276" i="1"/>
  <c r="I277" i="1" s="1"/>
  <c r="D275" i="1" s="1"/>
  <c r="D277" i="1" s="1"/>
  <c r="G277" i="1" s="1"/>
  <c r="G276" i="1"/>
  <c r="I273" i="1"/>
  <c r="G273" i="1"/>
  <c r="K272" i="1"/>
  <c r="L272" i="1" s="1"/>
  <c r="I272" i="1"/>
  <c r="G272" i="1"/>
  <c r="J331" i="1"/>
  <c r="K331" i="1" s="1"/>
  <c r="L331" i="1" s="1"/>
  <c r="I331" i="1"/>
  <c r="I332" i="1" s="1"/>
  <c r="D330" i="1" s="1"/>
  <c r="G331" i="1"/>
  <c r="I328" i="1"/>
  <c r="G328" i="1"/>
  <c r="K327" i="1"/>
  <c r="L327" i="1" s="1"/>
  <c r="I327" i="1"/>
  <c r="G327" i="1"/>
  <c r="I274" i="1" l="1"/>
  <c r="D271" i="1" s="1"/>
  <c r="G271" i="1" s="1"/>
  <c r="G275" i="1"/>
  <c r="I329" i="1"/>
  <c r="D326" i="1" s="1"/>
  <c r="G326" i="1" s="1"/>
  <c r="G330" i="1"/>
  <c r="D332" i="1"/>
  <c r="G332" i="1" s="1"/>
  <c r="D274" i="1" l="1"/>
  <c r="G274" i="1" s="1"/>
  <c r="D329" i="1"/>
  <c r="G329" i="1" s="1"/>
  <c r="J149" i="1" l="1"/>
  <c r="G130" i="1"/>
  <c r="G129" i="1"/>
  <c r="G127" i="1"/>
  <c r="G193" i="1"/>
  <c r="G192" i="1"/>
  <c r="J191" i="1"/>
  <c r="G191" i="1"/>
  <c r="G190" i="1"/>
  <c r="G172" i="1"/>
  <c r="G171" i="1"/>
  <c r="J170" i="1"/>
  <c r="G170" i="1"/>
  <c r="G169" i="1"/>
  <c r="J106" i="1" l="1"/>
  <c r="J108" i="1"/>
  <c r="G108" i="1"/>
  <c r="G106" i="1"/>
  <c r="G107" i="1"/>
  <c r="L106" i="1"/>
  <c r="J104" i="1" l="1"/>
  <c r="I104" i="1"/>
  <c r="K104" i="1" l="1"/>
  <c r="J112" i="1" l="1"/>
  <c r="L104" i="1"/>
  <c r="J93" i="1"/>
  <c r="G607" i="1" l="1"/>
  <c r="G605" i="1"/>
  <c r="G495" i="1"/>
  <c r="I822" i="1" l="1"/>
  <c r="D772" i="1"/>
  <c r="K551" i="1"/>
  <c r="I551" i="1"/>
  <c r="J551" i="1" s="1"/>
  <c r="G1011" i="1"/>
  <c r="G1015" i="1"/>
  <c r="G977" i="1"/>
  <c r="G973" i="1"/>
  <c r="G931" i="1"/>
  <c r="D930" i="1"/>
  <c r="G930" i="1" s="1"/>
  <c r="G929" i="1"/>
  <c r="D928" i="1"/>
  <c r="G928" i="1" s="1"/>
  <c r="G927" i="1"/>
  <c r="D926" i="1"/>
  <c r="G926" i="1" s="1"/>
  <c r="D925" i="1"/>
  <c r="G925" i="1" s="1"/>
  <c r="G924" i="1"/>
  <c r="G923" i="1"/>
  <c r="G913" i="1"/>
  <c r="D912" i="1"/>
  <c r="G912" i="1" s="1"/>
  <c r="G911" i="1"/>
  <c r="D910" i="1"/>
  <c r="G910" i="1" s="1"/>
  <c r="G909" i="1"/>
  <c r="D908" i="1"/>
  <c r="G908" i="1" s="1"/>
  <c r="D907" i="1"/>
  <c r="G907" i="1" s="1"/>
  <c r="G906" i="1"/>
  <c r="G905" i="1"/>
  <c r="D890" i="1"/>
  <c r="G890" i="1" s="1"/>
  <c r="D888" i="1"/>
  <c r="G888" i="1" s="1"/>
  <c r="D886" i="1"/>
  <c r="D885" i="1"/>
  <c r="G885" i="1" s="1"/>
  <c r="G891" i="1"/>
  <c r="G889" i="1"/>
  <c r="G886" i="1"/>
  <c r="G570" i="1"/>
  <c r="G569" i="1"/>
  <c r="G568" i="1"/>
  <c r="K552" i="1"/>
  <c r="I552" i="1"/>
  <c r="J552" i="1" s="1"/>
  <c r="K550" i="1"/>
  <c r="I550" i="1"/>
  <c r="J550" i="1" s="1"/>
  <c r="G520" i="1"/>
  <c r="G513" i="1"/>
  <c r="G516" i="1"/>
  <c r="G585" i="1"/>
  <c r="G584" i="1"/>
  <c r="G565" i="1"/>
  <c r="G564" i="1"/>
  <c r="I547" i="1"/>
  <c r="G547" i="1"/>
  <c r="L551" i="1" l="1"/>
  <c r="L550" i="1"/>
  <c r="L552" i="1"/>
  <c r="D835" i="1"/>
  <c r="G724" i="1"/>
  <c r="G896" i="1" l="1"/>
  <c r="G407" i="1"/>
  <c r="G406" i="1"/>
  <c r="G405" i="1"/>
  <c r="G404" i="1"/>
  <c r="K407" i="1" l="1"/>
  <c r="G661" i="1" l="1"/>
  <c r="G660" i="1"/>
  <c r="G1147" i="1" l="1"/>
  <c r="G1144" i="1"/>
  <c r="G1143" i="1"/>
  <c r="G1142" i="1"/>
  <c r="G1141" i="1"/>
  <c r="G1140" i="1"/>
  <c r="G1139" i="1"/>
  <c r="G1138" i="1"/>
  <c r="G1137" i="1"/>
  <c r="G1134" i="1"/>
  <c r="G1133" i="1"/>
  <c r="G1132" i="1"/>
  <c r="G1131" i="1"/>
  <c r="G1130" i="1"/>
  <c r="G1129" i="1"/>
  <c r="G1128" i="1"/>
  <c r="G1127" i="1"/>
  <c r="G1126" i="1"/>
  <c r="G1164" i="1" l="1"/>
  <c r="C16" i="2" s="1"/>
  <c r="I268" i="1"/>
  <c r="I796" i="1"/>
  <c r="G802" i="1"/>
  <c r="G800" i="1"/>
  <c r="G796" i="1"/>
  <c r="D1027" i="1"/>
  <c r="G1027" i="1" s="1"/>
  <c r="G1007" i="1"/>
  <c r="G1034" i="1"/>
  <c r="D1033" i="1"/>
  <c r="G1033" i="1" s="1"/>
  <c r="D1032" i="1"/>
  <c r="G1032" i="1" s="1"/>
  <c r="D1031" i="1"/>
  <c r="G1031" i="1" s="1"/>
  <c r="D1030" i="1"/>
  <c r="G1030" i="1" s="1"/>
  <c r="D1029" i="1"/>
  <c r="G1029" i="1" s="1"/>
  <c r="D1028" i="1"/>
  <c r="G1028" i="1" s="1"/>
  <c r="G1026" i="1"/>
  <c r="G1025" i="1"/>
  <c r="G1024" i="1"/>
  <c r="G1023" i="1"/>
  <c r="G1022" i="1"/>
  <c r="G1021" i="1"/>
  <c r="G1020" i="1"/>
  <c r="D1019" i="1"/>
  <c r="G1019" i="1" s="1"/>
  <c r="G1018" i="1"/>
  <c r="G1017" i="1"/>
  <c r="G1016" i="1"/>
  <c r="G1014" i="1"/>
  <c r="G1013" i="1"/>
  <c r="G1012" i="1"/>
  <c r="G1010" i="1"/>
  <c r="G1009" i="1"/>
  <c r="G1008" i="1"/>
  <c r="G1006" i="1"/>
  <c r="G1005" i="1"/>
  <c r="D995" i="1"/>
  <c r="G995" i="1" s="1"/>
  <c r="G996" i="1"/>
  <c r="D994" i="1"/>
  <c r="D993" i="1"/>
  <c r="D992" i="1"/>
  <c r="D990" i="1"/>
  <c r="G987" i="1"/>
  <c r="G986" i="1"/>
  <c r="G985" i="1"/>
  <c r="G969" i="1"/>
  <c r="G970" i="1"/>
  <c r="G934" i="1"/>
  <c r="G933" i="1"/>
  <c r="G921" i="1"/>
  <c r="G920" i="1"/>
  <c r="G901" i="1"/>
  <c r="G900" i="1"/>
  <c r="G884" i="1"/>
  <c r="G883" i="1"/>
  <c r="G882" i="1"/>
  <c r="J403" i="1"/>
  <c r="G403" i="1"/>
  <c r="G402" i="1"/>
  <c r="K403" i="1" l="1"/>
  <c r="D832" i="1"/>
  <c r="G832" i="1" s="1"/>
  <c r="G835" i="1"/>
  <c r="G834" i="1"/>
  <c r="G833" i="1"/>
  <c r="D831" i="1"/>
  <c r="G831" i="1" s="1"/>
  <c r="G830" i="1"/>
  <c r="J815" i="1"/>
  <c r="G829" i="1"/>
  <c r="G777" i="1"/>
  <c r="J769" i="1"/>
  <c r="G769" i="1"/>
  <c r="G809" i="1"/>
  <c r="G805" i="1"/>
  <c r="G719" i="1"/>
  <c r="G720" i="1"/>
  <c r="G721" i="1"/>
  <c r="G718" i="1"/>
  <c r="G597" i="1"/>
  <c r="G582" i="1"/>
  <c r="G580" i="1"/>
  <c r="J575" i="1"/>
  <c r="L575" i="1"/>
  <c r="G546" i="1"/>
  <c r="J562" i="1"/>
  <c r="I562" i="1"/>
  <c r="J554" i="1"/>
  <c r="G544" i="1"/>
  <c r="I517" i="1"/>
  <c r="G519" i="1"/>
  <c r="G518" i="1"/>
  <c r="G517" i="1"/>
  <c r="G515" i="1"/>
  <c r="G511" i="1"/>
  <c r="I512" i="1"/>
  <c r="G512" i="1"/>
  <c r="G488" i="1"/>
  <c r="G487" i="1"/>
  <c r="G486" i="1"/>
  <c r="G485" i="1"/>
  <c r="D472" i="1"/>
  <c r="G459" i="1"/>
  <c r="G458" i="1"/>
  <c r="G457" i="1"/>
  <c r="G456" i="1"/>
  <c r="G455" i="1"/>
  <c r="G454" i="1"/>
  <c r="G452" i="1"/>
  <c r="G451" i="1"/>
  <c r="G450" i="1"/>
  <c r="G449" i="1"/>
  <c r="G448" i="1"/>
  <c r="G447" i="1"/>
  <c r="G442" i="1"/>
  <c r="G445" i="1"/>
  <c r="G444" i="1"/>
  <c r="G670" i="1"/>
  <c r="G669" i="1"/>
  <c r="G668" i="1"/>
  <c r="G658" i="1"/>
  <c r="G657" i="1"/>
  <c r="J656" i="1"/>
  <c r="G656" i="1"/>
  <c r="G401" i="1"/>
  <c r="G400" i="1"/>
  <c r="K268" i="1"/>
  <c r="K392" i="1"/>
  <c r="L392" i="1" s="1"/>
  <c r="I392" i="1"/>
  <c r="I393" i="1"/>
  <c r="G393" i="1"/>
  <c r="G392" i="1"/>
  <c r="K388" i="1"/>
  <c r="L388" i="1" s="1"/>
  <c r="L245" i="1"/>
  <c r="I245" i="1"/>
  <c r="I246" i="1"/>
  <c r="G246" i="1"/>
  <c r="I389" i="1"/>
  <c r="G389" i="1"/>
  <c r="I388" i="1"/>
  <c r="G388" i="1"/>
  <c r="I385" i="1"/>
  <c r="G385" i="1"/>
  <c r="I384" i="1"/>
  <c r="G384" i="1"/>
  <c r="G381" i="1"/>
  <c r="G397" i="1"/>
  <c r="G398" i="1"/>
  <c r="G399" i="1"/>
  <c r="G408" i="1"/>
  <c r="G410" i="1"/>
  <c r="L302" i="1"/>
  <c r="K298" i="1"/>
  <c r="L298" i="1" s="1"/>
  <c r="I294" i="1"/>
  <c r="G294" i="1"/>
  <c r="I290" i="1"/>
  <c r="G290" i="1"/>
  <c r="L290" i="1"/>
  <c r="K286" i="1"/>
  <c r="L286" i="1" s="1"/>
  <c r="L282" i="1"/>
  <c r="M282" i="1" s="1"/>
  <c r="I303" i="1"/>
  <c r="G303" i="1"/>
  <c r="I302" i="1"/>
  <c r="G302" i="1"/>
  <c r="I295" i="1"/>
  <c r="I291" i="1"/>
  <c r="I287" i="1"/>
  <c r="I286" i="1"/>
  <c r="I283" i="1"/>
  <c r="I282" i="1"/>
  <c r="I298" i="1"/>
  <c r="I304" i="1"/>
  <c r="G304" i="1"/>
  <c r="I299" i="1"/>
  <c r="G299" i="1"/>
  <c r="G298" i="1"/>
  <c r="G295" i="1"/>
  <c r="G291" i="1"/>
  <c r="G287" i="1"/>
  <c r="G286" i="1"/>
  <c r="I323" i="1"/>
  <c r="I324" i="1" s="1"/>
  <c r="D322" i="1" s="1"/>
  <c r="G323" i="1"/>
  <c r="I320" i="1"/>
  <c r="G320" i="1"/>
  <c r="I319" i="1"/>
  <c r="G319" i="1"/>
  <c r="I316" i="1"/>
  <c r="G316" i="1"/>
  <c r="I315" i="1"/>
  <c r="G315" i="1"/>
  <c r="I312" i="1"/>
  <c r="G312" i="1"/>
  <c r="I311" i="1"/>
  <c r="G311" i="1"/>
  <c r="G751" i="1" l="1"/>
  <c r="D409" i="1"/>
  <c r="G409" i="1" s="1"/>
  <c r="I317" i="1"/>
  <c r="D314" i="1" s="1"/>
  <c r="D317" i="1" s="1"/>
  <c r="G317" i="1" s="1"/>
  <c r="K575" i="1"/>
  <c r="M575" i="1" s="1"/>
  <c r="K518" i="1"/>
  <c r="K562" i="1"/>
  <c r="L475" i="1"/>
  <c r="M475" i="1" s="1"/>
  <c r="L445" i="1"/>
  <c r="J657" i="1"/>
  <c r="J658" i="1"/>
  <c r="I394" i="1"/>
  <c r="D391" i="1" s="1"/>
  <c r="D394" i="1" s="1"/>
  <c r="G394" i="1" s="1"/>
  <c r="I300" i="1"/>
  <c r="D297" i="1" s="1"/>
  <c r="D300" i="1" s="1"/>
  <c r="G300" i="1" s="1"/>
  <c r="I386" i="1"/>
  <c r="D383" i="1" s="1"/>
  <c r="D386" i="1" s="1"/>
  <c r="G386" i="1" s="1"/>
  <c r="I390" i="1"/>
  <c r="D387" i="1" s="1"/>
  <c r="D390" i="1" s="1"/>
  <c r="G390" i="1" s="1"/>
  <c r="I321" i="1"/>
  <c r="D318" i="1" s="1"/>
  <c r="D321" i="1" s="1"/>
  <c r="G321" i="1" s="1"/>
  <c r="I296" i="1"/>
  <c r="D293" i="1" s="1"/>
  <c r="I305" i="1"/>
  <c r="D301" i="1" s="1"/>
  <c r="G301" i="1" s="1"/>
  <c r="I313" i="1"/>
  <c r="D310" i="1" s="1"/>
  <c r="G310" i="1" s="1"/>
  <c r="G322" i="1"/>
  <c r="D324" i="1"/>
  <c r="G324" i="1" s="1"/>
  <c r="I307" i="1"/>
  <c r="I308" i="1" s="1"/>
  <c r="D306" i="1" s="1"/>
  <c r="G307" i="1"/>
  <c r="I284" i="1"/>
  <c r="D281" i="1" s="1"/>
  <c r="D284" i="1" s="1"/>
  <c r="G284" i="1" s="1"/>
  <c r="G283" i="1"/>
  <c r="G282" i="1"/>
  <c r="I257" i="1"/>
  <c r="G257" i="1"/>
  <c r="I253" i="1"/>
  <c r="L241" i="1"/>
  <c r="I237" i="1"/>
  <c r="I238" i="1"/>
  <c r="J238" i="1"/>
  <c r="G238" i="1"/>
  <c r="G237" i="1"/>
  <c r="J213" i="1"/>
  <c r="J212" i="1"/>
  <c r="J151" i="1"/>
  <c r="J150" i="1"/>
  <c r="J114" i="1"/>
  <c r="J113" i="1"/>
  <c r="J181" i="1"/>
  <c r="J180" i="1"/>
  <c r="J179" i="1"/>
  <c r="J176" i="1"/>
  <c r="J189" i="1"/>
  <c r="K189" i="1" s="1"/>
  <c r="J178" i="1"/>
  <c r="J177" i="1"/>
  <c r="G213" i="1"/>
  <c r="G212" i="1"/>
  <c r="G211" i="1"/>
  <c r="G189" i="1"/>
  <c r="G188" i="1"/>
  <c r="G187" i="1"/>
  <c r="G186" i="1"/>
  <c r="G185" i="1"/>
  <c r="G183" i="1"/>
  <c r="G182" i="1"/>
  <c r="G181" i="1"/>
  <c r="G180" i="1"/>
  <c r="G179" i="1"/>
  <c r="G178" i="1"/>
  <c r="G177" i="1"/>
  <c r="G176" i="1"/>
  <c r="G168" i="1"/>
  <c r="G167" i="1"/>
  <c r="G166" i="1"/>
  <c r="G165" i="1"/>
  <c r="G164" i="1"/>
  <c r="G161" i="1"/>
  <c r="G160" i="1"/>
  <c r="G159" i="1"/>
  <c r="G119" i="1"/>
  <c r="G118" i="1"/>
  <c r="G151" i="1"/>
  <c r="G150" i="1"/>
  <c r="G149" i="1"/>
  <c r="G117" i="1"/>
  <c r="G116" i="1"/>
  <c r="G115" i="1"/>
  <c r="G114" i="1"/>
  <c r="G113" i="1"/>
  <c r="G112" i="1"/>
  <c r="G125" i="1"/>
  <c r="G124" i="1"/>
  <c r="G104" i="1"/>
  <c r="G103" i="1"/>
  <c r="I125" i="1"/>
  <c r="J125" i="1" s="1"/>
  <c r="K125" i="1" s="1"/>
  <c r="J94" i="1"/>
  <c r="J476" i="1" l="1"/>
  <c r="P475" i="1"/>
  <c r="G314" i="1"/>
  <c r="K652" i="1"/>
  <c r="G391" i="1"/>
  <c r="D313" i="1"/>
  <c r="G313" i="1" s="1"/>
  <c r="G297" i="1"/>
  <c r="G383" i="1"/>
  <c r="I239" i="1"/>
  <c r="G387" i="1"/>
  <c r="G293" i="1"/>
  <c r="D296" i="1"/>
  <c r="G296" i="1" s="1"/>
  <c r="G318" i="1"/>
  <c r="D305" i="1"/>
  <c r="G305" i="1" s="1"/>
  <c r="I292" i="1"/>
  <c r="D289" i="1" s="1"/>
  <c r="I288" i="1"/>
  <c r="D285" i="1" s="1"/>
  <c r="D308" i="1"/>
  <c r="G308" i="1" s="1"/>
  <c r="G306" i="1"/>
  <c r="G281" i="1"/>
  <c r="L499" i="1"/>
  <c r="K499" i="1"/>
  <c r="K500" i="1"/>
  <c r="D292" i="1" l="1"/>
  <c r="G292" i="1" s="1"/>
  <c r="G289" i="1"/>
  <c r="G285" i="1"/>
  <c r="D288" i="1"/>
  <c r="G288" i="1" s="1"/>
  <c r="M499" i="1"/>
  <c r="N500" i="1" s="1"/>
  <c r="O500" i="1" s="1"/>
  <c r="K501" i="1"/>
  <c r="L501" i="1" s="1"/>
  <c r="M501" i="1" s="1"/>
  <c r="I261" i="1"/>
  <c r="I247" i="1" l="1"/>
  <c r="I248" i="1" s="1"/>
  <c r="G247" i="1"/>
  <c r="G245" i="1"/>
  <c r="I242" i="1"/>
  <c r="G242" i="1"/>
  <c r="I241" i="1"/>
  <c r="G241" i="1"/>
  <c r="I243" i="1" l="1"/>
  <c r="D244" i="1"/>
  <c r="D248" i="1" s="1"/>
  <c r="G979" i="1" l="1"/>
  <c r="G980" i="1"/>
  <c r="G937" i="1"/>
  <c r="G938" i="1"/>
  <c r="D776" i="1"/>
  <c r="G776" i="1" s="1"/>
  <c r="D775" i="1"/>
  <c r="G775" i="1" s="1"/>
  <c r="G493" i="1"/>
  <c r="G492" i="1"/>
  <c r="G491" i="1"/>
  <c r="G483" i="1"/>
  <c r="G482" i="1"/>
  <c r="G481" i="1"/>
  <c r="K568" i="1"/>
  <c r="L568" i="1" s="1"/>
  <c r="G538" i="1"/>
  <c r="G575" i="1"/>
  <c r="J493" i="1"/>
  <c r="K493" i="1" s="1"/>
  <c r="M493" i="1" s="1"/>
  <c r="I493" i="1"/>
  <c r="I491" i="1"/>
  <c r="J491" i="1" s="1"/>
  <c r="G463" i="1"/>
  <c r="G462" i="1"/>
  <c r="G490" i="1"/>
  <c r="L515" i="1" l="1"/>
  <c r="N493" i="1"/>
  <c r="M491" i="1"/>
  <c r="N491" i="1" s="1"/>
  <c r="L491" i="1"/>
  <c r="J685" i="1" l="1"/>
  <c r="O491" i="1"/>
  <c r="I684" i="1"/>
  <c r="K684" i="1" s="1"/>
  <c r="I683" i="1"/>
  <c r="K683" i="1" s="1"/>
  <c r="I682" i="1"/>
  <c r="J682" i="1" s="1"/>
  <c r="I262" i="1"/>
  <c r="G262" i="1"/>
  <c r="G261" i="1"/>
  <c r="I258" i="1"/>
  <c r="G258" i="1"/>
  <c r="I254" i="1"/>
  <c r="G254" i="1"/>
  <c r="G253" i="1"/>
  <c r="J683" i="1" l="1"/>
  <c r="K682" i="1"/>
  <c r="J684" i="1"/>
  <c r="I255" i="1"/>
  <c r="I263" i="1"/>
  <c r="I259" i="1"/>
  <c r="D236" i="1"/>
  <c r="D240" i="1"/>
  <c r="D243" i="1" s="1"/>
  <c r="G243" i="1" s="1"/>
  <c r="G248" i="1"/>
  <c r="D66" i="1"/>
  <c r="G244" i="1" l="1"/>
  <c r="G240" i="1"/>
  <c r="G602" i="1" l="1"/>
  <c r="G601" i="1"/>
  <c r="G773" i="1" l="1"/>
  <c r="G772" i="1"/>
  <c r="G771" i="1"/>
  <c r="G521" i="1"/>
  <c r="G1004" i="1" l="1"/>
  <c r="G794" i="1"/>
  <c r="G867" i="1" s="1"/>
  <c r="G573" i="1"/>
  <c r="G510" i="1"/>
  <c r="G509" i="1"/>
  <c r="G508" i="1"/>
  <c r="G507" i="1"/>
  <c r="G543" i="1"/>
  <c r="G541" i="1"/>
  <c r="D981" i="1"/>
  <c r="I601" i="1"/>
  <c r="J601" i="1" s="1"/>
  <c r="K601" i="1" s="1"/>
  <c r="G562" i="1"/>
  <c r="G560" i="1"/>
  <c r="G559" i="1"/>
  <c r="J543" i="1"/>
  <c r="I543" i="1"/>
  <c r="G537" i="1"/>
  <c r="J605" i="1" l="1"/>
  <c r="K605" i="1" s="1"/>
  <c r="L605" i="1" s="1"/>
  <c r="M605" i="1" s="1"/>
  <c r="K543" i="1"/>
  <c r="J654" i="1" l="1"/>
  <c r="J659" i="1" s="1"/>
  <c r="K659" i="1" s="1"/>
  <c r="M153" i="1"/>
  <c r="J261" i="1" l="1"/>
  <c r="D256" i="1" l="1"/>
  <c r="D252" i="1"/>
  <c r="D260" i="1"/>
  <c r="G260" i="1" l="1"/>
  <c r="D263" i="1"/>
  <c r="G263" i="1" s="1"/>
  <c r="G256" i="1"/>
  <c r="D259" i="1"/>
  <c r="G259" i="1" s="1"/>
  <c r="G252" i="1"/>
  <c r="D255" i="1"/>
  <c r="G255" i="1" s="1"/>
  <c r="G94" i="1" l="1"/>
  <c r="G93" i="1"/>
  <c r="I55" i="1" l="1"/>
  <c r="G32" i="1"/>
  <c r="L268" i="1" l="1"/>
  <c r="G916" i="1" l="1"/>
  <c r="G915" i="1"/>
  <c r="G1003" i="1" l="1"/>
  <c r="G994" i="1"/>
  <c r="G982" i="1" l="1"/>
  <c r="G472" i="1" l="1"/>
  <c r="G478" i="1" l="1"/>
  <c r="G477" i="1"/>
  <c r="G475" i="1"/>
  <c r="G474" i="1"/>
  <c r="G480" i="1"/>
  <c r="M554" i="1" l="1"/>
  <c r="G654" i="1" l="1"/>
  <c r="G653" i="1"/>
  <c r="G652" i="1"/>
  <c r="G705" i="1" l="1"/>
  <c r="G100" i="1"/>
  <c r="G99" i="1"/>
  <c r="G98" i="1"/>
  <c r="G975" i="1" l="1"/>
  <c r="G984" i="1"/>
  <c r="G978" i="1"/>
  <c r="G974" i="1"/>
  <c r="G976" i="1"/>
  <c r="I558" i="1" l="1"/>
  <c r="G554" i="1"/>
  <c r="I265" i="1" l="1"/>
  <c r="G268" i="1"/>
  <c r="D239" i="1"/>
  <c r="G239" i="1" s="1"/>
  <c r="I269" i="1" l="1"/>
  <c r="I266" i="1"/>
  <c r="G988" i="1" l="1"/>
  <c r="G991" i="1"/>
  <c r="G992" i="1"/>
  <c r="G993" i="1"/>
  <c r="G966" i="1"/>
  <c r="G965" i="1"/>
  <c r="G967" i="1"/>
  <c r="G968" i="1"/>
  <c r="G971" i="1"/>
  <c r="G972" i="1"/>
  <c r="G981" i="1"/>
  <c r="G983" i="1"/>
  <c r="G265" i="1"/>
  <c r="D267" i="1"/>
  <c r="G989" i="1" l="1"/>
  <c r="G990" i="1"/>
  <c r="D264" i="1"/>
  <c r="D269" i="1"/>
  <c r="G269" i="1" s="1"/>
  <c r="G267" i="1"/>
  <c r="G1114" i="1" l="1"/>
  <c r="C15" i="2" s="1"/>
  <c r="D266" i="1"/>
  <c r="G266" i="1" s="1"/>
  <c r="G264" i="1"/>
  <c r="G23" i="1" l="1"/>
  <c r="G895" i="1" l="1"/>
  <c r="G894" i="1"/>
  <c r="G893" i="1"/>
  <c r="G881" i="1"/>
  <c r="G880" i="1"/>
  <c r="G879" i="1"/>
  <c r="G877" i="1"/>
  <c r="G951" i="1" l="1"/>
  <c r="C13" i="2"/>
  <c r="G764" i="1" l="1"/>
  <c r="G514" i="1" l="1"/>
  <c r="G506" i="1"/>
  <c r="G640" i="1" l="1"/>
  <c r="G443" i="1"/>
  <c r="G440" i="1"/>
  <c r="G250" i="1" l="1"/>
  <c r="G102" i="1"/>
  <c r="G101" i="1"/>
  <c r="G92" i="1"/>
  <c r="G89" i="1"/>
  <c r="G70" i="1"/>
  <c r="G69" i="1"/>
  <c r="G68" i="1"/>
  <c r="G67" i="1"/>
  <c r="G66" i="1"/>
  <c r="G65" i="1"/>
  <c r="G61" i="1"/>
  <c r="G60" i="1"/>
  <c r="G59" i="1"/>
  <c r="G58" i="1"/>
  <c r="G57" i="1"/>
  <c r="G56" i="1"/>
  <c r="G55" i="1"/>
  <c r="G54" i="1"/>
  <c r="G53" i="1"/>
  <c r="G52" i="1"/>
  <c r="G51" i="1"/>
  <c r="G24" i="1"/>
  <c r="G25" i="1"/>
  <c r="G26" i="1"/>
  <c r="G27" i="1"/>
  <c r="G768" i="1" l="1"/>
  <c r="G767" i="1"/>
  <c r="G763" i="1"/>
  <c r="G762" i="1"/>
  <c r="G22" i="1"/>
  <c r="G784" i="1" l="1"/>
  <c r="G31" i="1"/>
  <c r="G30" i="1"/>
  <c r="G28" i="1"/>
  <c r="G44" i="1" l="1"/>
  <c r="C5" i="2" s="1"/>
  <c r="C14" i="2"/>
  <c r="C10" i="2"/>
  <c r="G441" i="1" l="1"/>
  <c r="G438" i="1" l="1"/>
  <c r="G498" i="1" s="1"/>
  <c r="C11" i="2" l="1"/>
  <c r="G964" i="1" l="1"/>
  <c r="G80" i="1" l="1"/>
  <c r="C6" i="2" l="1"/>
  <c r="G236" i="1" l="1"/>
  <c r="C12" i="2" l="1"/>
  <c r="G427" i="1" l="1"/>
  <c r="C9" i="2"/>
  <c r="C8" i="2" l="1"/>
  <c r="C7" i="2" l="1"/>
  <c r="C20" i="2" s="1"/>
  <c r="C21" i="2" l="1"/>
  <c r="C22" i="2" s="1"/>
  <c r="F17" i="2"/>
  <c r="F20" i="2" l="1"/>
  <c r="F19" i="2"/>
</calcChain>
</file>

<file path=xl/sharedStrings.xml><?xml version="1.0" encoding="utf-8"?>
<sst xmlns="http://schemas.openxmlformats.org/spreadsheetml/2006/main" count="2075" uniqueCount="586">
  <si>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</si>
  <si>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</si>
  <si>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</si>
  <si>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</si>
  <si>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</si>
  <si>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</si>
  <si>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</si>
  <si>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</si>
  <si>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</si>
  <si>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</si>
  <si>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</si>
  <si>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</si>
  <si>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</si>
  <si>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</si>
  <si>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</si>
  <si>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</si>
  <si>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</si>
  <si>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</si>
  <si>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</si>
  <si>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</si>
  <si>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</si>
  <si>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</si>
  <si>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</si>
  <si>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</si>
  <si>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</si>
  <si>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</si>
  <si>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</si>
  <si>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</si>
  <si>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</si>
  <si>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</si>
  <si>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</si>
  <si>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</si>
  <si>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</si>
  <si>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</si>
  <si>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</si>
  <si>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</si>
  <si>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</si>
  <si>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</si>
  <si>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</si>
  <si>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</si>
  <si>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</si>
  <si>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</si>
  <si>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</si>
  <si>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</si>
  <si>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</si>
  <si>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</si>
  <si>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</si>
  <si>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</si>
  <si>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</si>
  <si>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</si>
  <si>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</si>
  <si>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</si>
  <si>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</si>
  <si>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</si>
  <si>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</si>
  <si>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</si>
  <si>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</si>
  <si>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</si>
  <si>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</si>
  <si>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</si>
  <si>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</si>
  <si>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</si>
  <si>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</si>
  <si>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</si>
  <si>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</si>
  <si>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</si>
  <si>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</si>
  <si>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</si>
  <si>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</si>
  <si>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</si>
  <si>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</si>
  <si>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</si>
  <si>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</si>
  <si>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</si>
  <si>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</si>
  <si>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</si>
  <si>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</si>
  <si>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</si>
  <si>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</si>
  <si>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</si>
  <si>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</si>
  <si>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</si>
  <si>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</si>
  <si>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</si>
  <si>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</si>
  <si>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</si>
  <si>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</si>
  <si>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</si>
  <si>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</si>
  <si>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</si>
  <si>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</si>
  <si>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</si>
  <si>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</si>
  <si>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</si>
  <si>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</si>
  <si>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</si>
  <si>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</si>
  <si>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</si>
  <si>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</si>
  <si>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</si>
  <si>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</si>
  <si>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</si>
  <si>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</si>
  <si>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</si>
  <si>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</si>
  <si>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</si>
  <si>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</si>
  <si>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</si>
  <si>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</si>
  <si>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</si>
  <si>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</si>
  <si>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</si>
  <si>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</si>
  <si>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</si>
  <si>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</si>
  <si>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</si>
  <si>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</si>
  <si>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</si>
  <si>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</si>
  <si>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</si>
  <si>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</si>
  <si>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</si>
  <si>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</si>
  <si>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</si>
  <si>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</si>
  <si>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</si>
  <si>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</si>
  <si>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</si>
  <si>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</si>
  <si>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</si>
  <si>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</si>
  <si>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</si>
  <si>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</si>
  <si>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</si>
  <si>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</si>
  <si>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</si>
  <si>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</si>
  <si>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</si>
  <si>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</si>
  <si>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</si>
  <si>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</si>
  <si>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</si>
  <si>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</si>
  <si>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</si>
  <si>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</si>
  <si>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</si>
  <si>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</si>
  <si>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</si>
  <si>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</si>
  <si>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</si>
  <si>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</si>
  <si>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</si>
  <si>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</si>
  <si>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</si>
  <si>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</si>
  <si>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</si>
  <si>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</si>
  <si>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</si>
  <si>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</si>
  <si>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</si>
  <si>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</si>
  <si>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</si>
  <si>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</si>
  <si>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</si>
  <si>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</si>
  <si>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</si>
  <si>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</si>
  <si>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</si>
  <si>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</si>
  <si>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</si>
  <si>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</si>
  <si>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</si>
  <si>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</si>
  <si>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</si>
  <si>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</si>
  <si>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</si>
  <si>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</si>
  <si>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</si>
  <si>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</si>
  <si>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</si>
  <si>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</si>
  <si>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</si>
  <si>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</si>
  <si>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</si>
  <si>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</si>
  <si>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</si>
  <si>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</si>
  <si>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</si>
  <si>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</si>
  <si>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</si>
  <si>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</si>
  <si>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</si>
  <si>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</si>
  <si>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</si>
  <si>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</si>
  <si>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</si>
  <si>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</si>
  <si>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</si>
  <si>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</si>
  <si>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</si>
  <si>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</si>
  <si>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</si>
  <si>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WATER PROOFING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</si>
  <si>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</si>
  <si>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</si>
  <si>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</si>
  <si>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</si>
  <si>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</si>
  <si>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</si>
  <si>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</si>
  <si>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</si>
  <si>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</si>
  <si>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</si>
  <si>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</si>
  <si>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</si>
  <si>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</si>
  <si>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</si>
  <si>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</si>
  <si>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</si>
  <si>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</si>
  <si>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</si>
  <si>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</si>
  <si>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</si>
  <si>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</si>
  <si>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</si>
  <si>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</si>
  <si>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</si>
  <si>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</si>
  <si>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</si>
  <si>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</si>
  <si>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</si>
  <si>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</si>
  <si>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</si>
  <si>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</si>
  <si>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</si>
  <si>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D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</si>
  <si>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</si>
  <si>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</si>
  <si>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</si>
  <si>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</si>
  <si>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</si>
  <si>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</si>
  <si>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</si>
  <si>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</si>
  <si>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</si>
  <si>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</si>
  <si>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</si>
  <si>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</si>
  <si>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</si>
  <si>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</si>
  <si>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</si>
  <si>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</si>
  <si>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</si>
  <si>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</si>
  <si>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</si>
  <si>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</si>
  <si>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</si>
  <si>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</si>
  <si>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</si>
  <si>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</si>
  <si>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</si>
  <si>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</si>
  <si>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</si>
  <si>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</si>
  <si>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</si>
  <si>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</si>
  <si>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</si>
  <si>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</si>
  <si>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</si>
  <si>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</si>
  <si>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</si>
  <si>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</si>
  <si>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Cabling to Data Network points</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</si>
  <si>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</si>
  <si>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</si>
  <si>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</si>
  <si>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</si>
  <si>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</si>
  <si>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</si>
  <si>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</si>
  <si>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</si>
  <si>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</si>
  <si>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</si>
  <si>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</si>
  <si>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</si>
  <si>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</si>
  <si>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</si>
  <si>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</si>
  <si>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</si>
  <si>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</si>
  <si>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</si>
  <si>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</si>
  <si>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</si>
  <si>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</si>
  <si>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</si>
  <si>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</si>
  <si>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</si>
  <si>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</si>
  <si>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</si>
  <si>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</si>
  <si>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</si>
  <si>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</si>
  <si>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</si>
  <si>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</si>
  <si>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</si>
  <si>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</si>
  <si>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</si>
  <si>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</si>
  <si>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</si>
  <si>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</si>
  <si>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</si>
  <si>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</si>
  <si>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</si>
  <si>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Charges for construction of 100mm thick R.c.c.Parapet wall at First floor and Second floor as per details. (Refer drawing no:A 18) Rate shall include for Shuttering and Reinforcement work complete.</t>
  </si>
  <si>
    <t>D1 - Solid Timber framed door with Soild Timber door panel, 950 x 2830mm.</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</si>
  <si>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</si>
  <si>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</si>
  <si>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</si>
  <si>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</si>
  <si>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</si>
  <si>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</si>
  <si>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</si>
  <si>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</si>
  <si>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</si>
  <si>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</si>
  <si>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</si>
  <si>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</si>
  <si>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</si>
  <si>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</si>
  <si>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</si>
  <si>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Corridor, Toilet / Wash room &amp; Stair room.</t>
  </si>
  <si>
    <t>Roof level - Eave Ceiling</t>
  </si>
  <si>
    <t>TR1 - 6.5mtr length</t>
  </si>
  <si>
    <t>ROOFING</t>
  </si>
  <si>
    <t>Roof Truss - Supply, Fabrication and Fixing Roof Trusses complete with  Base plates, Bolts, nuts, Washers etc including  Paint Finishes. Refer drawing detail    S 12.</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</si>
  <si>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</si>
  <si>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</si>
  <si>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</si>
  <si>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</si>
  <si>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</si>
  <si>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</si>
  <si>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</si>
  <si>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</si>
  <si>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</si>
  <si>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</si>
  <si>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</si>
  <si>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</si>
  <si>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</si>
  <si>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</si>
  <si>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</si>
  <si>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</si>
  <si>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</si>
  <si>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</si>
  <si>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</si>
  <si>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</si>
  <si>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</si>
  <si>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</si>
  <si>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</si>
  <si>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</si>
  <si>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</si>
  <si>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</si>
  <si>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</si>
  <si>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</si>
  <si>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</si>
  <si>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</si>
  <si>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</si>
  <si>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</si>
  <si>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</si>
  <si>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</si>
  <si>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Cabling to Multi media Projectors</t>
  </si>
  <si>
    <t>Cabling to Speaker System</t>
  </si>
  <si>
    <t>Ceiling Light - L 09</t>
  </si>
  <si>
    <t>1 x 13A Power Socket - P01 &amp; P05</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</si>
  <si>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</si>
  <si>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</si>
  <si>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</si>
  <si>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</si>
  <si>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</si>
  <si>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</si>
  <si>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</si>
  <si>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</si>
  <si>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</si>
  <si>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</si>
  <si>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</si>
  <si>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</si>
  <si>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</si>
  <si>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</si>
  <si>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</si>
  <si>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</si>
  <si>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</si>
  <si>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</si>
  <si>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</si>
  <si>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</si>
  <si>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</si>
  <si>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</si>
  <si>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</si>
  <si>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</si>
  <si>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</si>
  <si>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</si>
  <si>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</si>
  <si>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</si>
  <si>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</si>
  <si>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</si>
  <si>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</si>
  <si>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</si>
  <si>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</si>
  <si>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</si>
  <si>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</si>
  <si>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Wash room walls &amp; Vanity Counter</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</si>
  <si>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</si>
  <si>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</si>
  <si>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</si>
  <si>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</si>
  <si>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</si>
  <si>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</si>
  <si>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</si>
  <si>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</si>
  <si>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</si>
  <si>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</si>
  <si>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</si>
  <si>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</si>
  <si>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Toilet -  W/C / wash area / Toilet corridor</t>
  </si>
  <si>
    <t>Cleaner Closet</t>
  </si>
  <si>
    <t>Toilet Corridor walls</t>
  </si>
  <si>
    <t>Ground floor - Toilet/Wash room/Toilet corridor</t>
  </si>
  <si>
    <t>First floor - Toilet/Wash room/Toilet corridor</t>
  </si>
  <si>
    <t>Exhaust Fan (Mechanical Ventiator)</t>
  </si>
  <si>
    <t>1 Gang 1 way Switch - P19</t>
  </si>
  <si>
    <t>MINISTRY OF EDUCATION</t>
  </si>
  <si>
    <t>REPUBLIC OF MALDIVES</t>
  </si>
  <si>
    <t>CLIENT</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</si>
  <si>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</si>
  <si>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</si>
  <si>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</si>
  <si>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</si>
  <si>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</si>
  <si>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</si>
  <si>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</si>
  <si>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Footings F1 to F8</t>
  </si>
  <si>
    <t>Footings F1 - F8</t>
  </si>
  <si>
    <t>2.5</t>
  </si>
  <si>
    <t>SLAB BEAMS (HALF LANDING STORE)</t>
  </si>
  <si>
    <t>FLOOR SLAB (HALF LANDING STORE)</t>
  </si>
  <si>
    <t>STORE SLAB BEAM</t>
  </si>
  <si>
    <t>STORE SLAB</t>
  </si>
  <si>
    <t>150mm thick R.c.c. Slab</t>
  </si>
  <si>
    <t>3.5</t>
  </si>
  <si>
    <t>3.6</t>
  </si>
  <si>
    <t>SLAB BEAM (STORE)</t>
  </si>
  <si>
    <t>FLOOR SLAB (STORE)</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</si>
  <si>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</si>
  <si>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</si>
  <si>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</si>
  <si>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</si>
  <si>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</si>
  <si>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</si>
  <si>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</si>
  <si>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Charges for construction of 200 x 100mm thick </t>
    </r>
    <r>
      <rPr>
        <b/>
        <sz val="9"/>
        <color theme="1"/>
        <rFont val="Arial"/>
        <family val="2"/>
      </rPr>
      <t>R.c.c.Fins</t>
    </r>
    <r>
      <rPr>
        <sz val="9"/>
        <color theme="1"/>
        <rFont val="Arial"/>
        <family val="2"/>
      </rPr>
      <t xml:space="preserve"> and 200 x 100mm LEDGE at Ground floor, First floor and Second floor as per details. (Refer drawing no:A 19) Rate shall include for Shuttering and Reinforcement work complete.</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</si>
  <si>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</si>
  <si>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</si>
  <si>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</si>
  <si>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</si>
  <si>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</si>
  <si>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</si>
  <si>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Apply 2 coats of Water proofing Compound, </t>
    </r>
    <r>
      <rPr>
        <b/>
        <sz val="9"/>
        <rFont val="Arial"/>
        <family val="2"/>
      </rPr>
      <t xml:space="preserve">Moya Proof HF, </t>
    </r>
    <r>
      <rPr>
        <sz val="9"/>
        <rFont val="Arial"/>
        <family val="2"/>
      </rPr>
      <t xml:space="preserve">on wet surfaces - Toilets, Balcony and Terrace Floors. </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</si>
  <si>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</si>
  <si>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</si>
  <si>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</si>
  <si>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</si>
  <si>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</si>
  <si>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t xml:space="preserve">Painting, </t>
    </r>
    <r>
      <rPr>
        <b/>
        <sz val="9"/>
        <rFont val="Arial"/>
        <family val="2"/>
      </rPr>
      <t>Nippon brand Emulsion paint</t>
    </r>
    <r>
      <rPr>
        <sz val="9"/>
        <rFont val="Arial"/>
        <family val="2"/>
      </rPr>
      <t>,  Soffit of Cement board Ceiling.</t>
    </r>
  </si>
  <si>
    <r>
      <t xml:space="preserve">Painting, </t>
    </r>
    <r>
      <rPr>
        <b/>
        <sz val="9"/>
        <rFont val="Arial"/>
        <family val="2"/>
      </rPr>
      <t>Nippon brand Emulsion paint</t>
    </r>
    <r>
      <rPr>
        <sz val="9"/>
        <rFont val="Arial"/>
        <family val="2"/>
      </rPr>
      <t>, on Eave Ceiling.</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</si>
  <si>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</si>
  <si>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</si>
  <si>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</si>
  <si>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</si>
  <si>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</si>
  <si>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</si>
  <si>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</si>
  <si>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PROJECT : IHAVANDHOO SCHOOL -  EIGHT CLASS ROOM BLOCK</t>
  </si>
  <si>
    <t>C1 , 200 x 200mm x 32nos: (4575mm H)</t>
  </si>
  <si>
    <t>C2 , 400 x 200mm x 05nos: (4575mm H)</t>
  </si>
  <si>
    <t>SC, 150 x 150mm x 08nos: (4125mm H)</t>
  </si>
  <si>
    <t>C1 , 200 x 200mm x 32nos: (3500mm H)</t>
  </si>
  <si>
    <t>C2 , 400 x 200mm x 05nos: (3500mm H)</t>
  </si>
  <si>
    <t>SC, 150 x 150mm x 08nos: (3500mm H)</t>
  </si>
  <si>
    <t>C1 , 200 x 200mm x 32nos:</t>
  </si>
  <si>
    <t>C2, 400 x 200mm x 05nos</t>
  </si>
  <si>
    <t>SC, 150 x 150 x 08nos:</t>
  </si>
  <si>
    <t>W4 - Coated Aluminium framed Window with Fixed aluminium louvered panels, 700 x 600mm</t>
  </si>
  <si>
    <t>D3 - Solid Timber framed door with Soild Timber door panel, 780 x 2000mm.</t>
  </si>
  <si>
    <t>D2 - Solid Timber framed door with Soild Timber door panel, 950 x 2150mm.</t>
  </si>
  <si>
    <t>W2 - Coated Aluminium framed Window with Openable glass panels and Fixed glass panels at top , 1575 x  2000mm</t>
  </si>
  <si>
    <t>W1 - Coated Aluminium framed Window with Openable glass panels and Fixed aluminium louvered panels &amp; glass panels at top, 2450 x 1690mm</t>
  </si>
  <si>
    <t>W3 - Coated Aluminium framed Window with Sliding glass panels &amp; fixed aluminium louvers at top, 1240 x 1690mm</t>
  </si>
  <si>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</si>
  <si>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</si>
  <si>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150mm thick Solid block wall between 
SILL and LINTEL at rear side with 300x150x150mm Solid blocks</t>
  </si>
  <si>
    <t>150mm thick block wall with 300x150x150mm 
Solid blocks.</t>
  </si>
  <si>
    <t>Corridor (Main &amp; Toilet) &amp; Wash</t>
  </si>
  <si>
    <t>Toilet -  W/C</t>
  </si>
  <si>
    <t xml:space="preserve">Toilet -  W/C </t>
  </si>
  <si>
    <t>Corridor - Main /Toilet / Wash</t>
  </si>
  <si>
    <t>Toilet walls @ 2.6M height</t>
  </si>
  <si>
    <t>300 x 600mm Polished Ceramic Wall Tiles 2.6m height.   (Rate shall include for 300 x 100mm Design border tiles @ 1200mm high on toilet walls)</t>
  </si>
  <si>
    <t xml:space="preserve">PROJECT: IHAVANDHOO SCHOOL </t>
  </si>
  <si>
    <t>Second floor - Class room &amp; Store</t>
  </si>
  <si>
    <t>2 x 13A Power Socket - P02 &amp; P06</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</si>
  <si>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</si>
  <si>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</si>
  <si>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</si>
  <si>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</si>
  <si>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</si>
  <si>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</si>
  <si>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</si>
  <si>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Corridor / Wash</t>
  </si>
  <si>
    <t>Toilets</t>
  </si>
  <si>
    <t>CONNECTION BRIDGE (VERANDAH)</t>
  </si>
  <si>
    <t>Excavation for Foundations</t>
  </si>
  <si>
    <t>2)</t>
  </si>
  <si>
    <t xml:space="preserve">Backfilling - 250mm high above ground level </t>
  </si>
  <si>
    <t>50mm thk Lean Concrete below foundations</t>
  </si>
  <si>
    <t>13.2.1</t>
  </si>
  <si>
    <t>Tie beam TB1, 250 x  450mm</t>
  </si>
  <si>
    <t>Foundation footing F1, 900 x 900 x 300mm</t>
  </si>
  <si>
    <t>13.2.2</t>
  </si>
  <si>
    <t>Columns - 250 x 250mm - 06nos</t>
  </si>
  <si>
    <t>100mm thick Ground Slab</t>
  </si>
  <si>
    <t>REINFORECMENT</t>
  </si>
  <si>
    <t>F1 &amp; TB1</t>
  </si>
  <si>
    <t>6mm dia Round bars - 6m</t>
  </si>
  <si>
    <t>Ground floor slab</t>
  </si>
  <si>
    <t>13.2.3</t>
  </si>
  <si>
    <t>Slab beam - B1, 200 x 400mm</t>
  </si>
  <si>
    <t>Floor slab - 150mm thick</t>
  </si>
  <si>
    <t>Slab beam - CB1, 200 x 400mm</t>
  </si>
  <si>
    <t>10mm dia. deformed bars @ 300mm c/c</t>
  </si>
  <si>
    <t>Slab beam B1</t>
  </si>
  <si>
    <t>Slab beam CB1</t>
  </si>
  <si>
    <t>Floor slab</t>
  </si>
  <si>
    <t>13.3.1</t>
  </si>
  <si>
    <t>MASONRY - BLOCK WORK</t>
  </si>
  <si>
    <t xml:space="preserve">a ) </t>
  </si>
  <si>
    <t>300 x 150 x 150mm Solid Block work</t>
  </si>
  <si>
    <t>Below ground floor</t>
  </si>
  <si>
    <t>Ground floor</t>
  </si>
  <si>
    <t>First floor</t>
  </si>
  <si>
    <t>Second Floor</t>
  </si>
  <si>
    <t>100mm thick Parapet wall</t>
  </si>
  <si>
    <t>DOORS &amp; WINDOWS</t>
  </si>
  <si>
    <t>TYPE 01 - Coated Aluminium frame with Louvered aluminium panels, 3150 x 650mm</t>
  </si>
  <si>
    <t>TYPE 02 - Coated Aluminium frame with Louvered aluminium panels, 1250 x 650mm</t>
  </si>
  <si>
    <t>Below ground floor - Bitumen paint</t>
  </si>
  <si>
    <t>Ground floor - Weather bond paint finishes</t>
  </si>
  <si>
    <t>First floor - Weather bond paint finishes</t>
  </si>
  <si>
    <t>Second Floor - Weather bond paint finishes</t>
  </si>
  <si>
    <t>ELECTRICAL INSTALLTIONS</t>
  </si>
  <si>
    <t>13.6.1</t>
  </si>
  <si>
    <t>4 gang One way Switch</t>
  </si>
  <si>
    <t>6A Circuit breaker to the DB</t>
  </si>
  <si>
    <t>Wiring to Light Points</t>
  </si>
  <si>
    <t>13.6.2</t>
  </si>
  <si>
    <t>13.6.3</t>
  </si>
  <si>
    <t>BILL No: 13 - CONNECTION BRIDGE</t>
  </si>
  <si>
    <t>15</t>
  </si>
  <si>
    <t>CONNECTION BRIDGE</t>
  </si>
  <si>
    <t>HA. IHAVANDHOO SCHOOL</t>
  </si>
  <si>
    <r>
      <t xml:space="preserve">(c) Tiles for Classrooms rooms, offices,  corridors, all general areas shall be </t>
    </r>
    <r>
      <rPr>
        <b/>
        <sz val="9"/>
        <rFont val="Arial"/>
        <family val="2"/>
      </rPr>
      <t>600 x 600mm Polished ceramic tiles tiles.</t>
    </r>
  </si>
  <si>
    <t>600 x 600mm ceramic tiles</t>
  </si>
  <si>
    <t>600 x 600mm Non Slip ceramic tiles</t>
  </si>
  <si>
    <t>ceramic tiles</t>
  </si>
  <si>
    <t>600 x 600mm Non slip ceramic tiles</t>
  </si>
  <si>
    <t>Skirting - 600 x 100mm ceramic tiles</t>
  </si>
  <si>
    <t>ceramic Step Tiles</t>
  </si>
  <si>
    <t>Skirting - 600 x 100mm ceramicTiles</t>
  </si>
  <si>
    <r>
      <t xml:space="preserve">Charges for supplying special tiles adhesive  </t>
    </r>
    <r>
      <rPr>
        <b/>
        <sz val="9"/>
        <rFont val="Arial"/>
        <family val="2"/>
      </rPr>
      <t>Conmix C500</t>
    </r>
    <r>
      <rPr>
        <sz val="9"/>
        <rFont val="Arial"/>
        <family val="2"/>
      </rPr>
      <t xml:space="preserve"> for fixingceramic tiles.</t>
    </r>
  </si>
  <si>
    <t>Skirting - 600 x 100mm ceramic Tiles</t>
  </si>
  <si>
    <t>GI pipe Railing  - BALCONY</t>
  </si>
  <si>
    <t>150mm thick Block wall with 300 x 150 x 150mm thick Solid blocks.</t>
  </si>
  <si>
    <t>150mm thick Block wall with 300 x 150 x 150mm thick Solid blocks. (Class rooms)</t>
  </si>
  <si>
    <t xml:space="preserve">Supply, Fabrication and Fixing G.I.Pipe Railing complete including paint finishes Fixed at both Sides of the Staircase as per details </t>
  </si>
  <si>
    <t xml:space="preserve">Supply, Fabrication and Fixing G.I.Pipe Railing complete including paint finishes - Fixed at Middle of the Staircase as per details </t>
  </si>
  <si>
    <t>G.I.PIPE RAILING  - Staircase</t>
  </si>
  <si>
    <t>G.I.PIPE RAILING  - BALCONY</t>
  </si>
  <si>
    <t>Supply, Fabrication and Fixing G.I.Pipe Railing complete including paint finishes  - Balcony as per details (Refer drawing - S18)</t>
  </si>
  <si>
    <t>Clearing site - Demolition of Existing building, cutting down trees and dispatch all debris, clearing and dispose all unwanted materials away from site and prepare site ready for proposed construction.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</si>
</sst>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_(* \(#,##0.00\);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22"/>
      <name val="Arial Black"/>
      <family val="2"/>
    </font>
    <font>
      <sz val="11"/>
      <name val="Calibri"/>
      <family val="2"/>
      <scheme val="minor"/>
    </font>
    <font>
      <sz val="11"/>
      <name val="Arial Black"/>
      <family val="2"/>
    </font>
    <font>
      <b/>
      <sz val="16"/>
      <name val="Arial Black"/>
      <family val="2"/>
    </font>
    <font>
      <b/>
      <u/>
      <sz val="11"/>
      <name val="Arial Black"/>
      <family val="2"/>
    </font>
    <font>
      <b/>
      <sz val="11"/>
      <name val="Arial Black"/>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sz val="9"/>
      <color indexed="9"/>
      <name val="Arial"/>
      <family val="2"/>
    </font>
    <font>
      <sz val="10"/>
      <name val="Arial"/>
    </font>
    <font>
      <b/>
      <u/>
      <sz val="10"/>
      <name val="Arial"/>
      <family val="2"/>
    </font>
    <font>
      <b/>
      <sz val="10"/>
      <name val="Arial"/>
      <family val="2"/>
    </font>
    <font>
      <sz val="10"/>
      <color theme="1"/>
      <name val="Arial"/>
      <family val="2"/>
    </font>
    <font>
      <sz val="10"/>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indexed="9"/>
        <bgColor indexed="26"/>
      </patternFill>
    </fill>
  </fills>
  <borders count="3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7">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167" fontId="27" fillId="0" borderId="0" applyFill="0" applyBorder="0" applyAlignment="0" applyProtection="0"/>
    <xf numFmtId="0" fontId="27" fillId="0" borderId="0"/>
    <xf numFmtId="169" fontId="27" fillId="0" borderId="0" applyFill="0" applyBorder="0" applyAlignment="0" applyProtection="0"/>
  </cellStyleXfs>
  <cellXfs count="450">
    <xf numFmtId="0" fontId="0" fillId="0" borderId="0" xfId="0"/>
    <xf numFmtId="49" fontId="3" fillId="2" borderId="3" xfId="0" applyNumberFormat="1" applyFont="1" applyFill="1" applyBorder="1"/>
    <xf numFmtId="0" fontId="3" fillId="2" borderId="3" xfId="0" applyFont="1" applyFill="1" applyBorder="1"/>
    <xf numFmtId="164"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164"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3" fillId="2" borderId="4" xfId="0" applyNumberFormat="1" applyFont="1" applyFill="1" applyBorder="1"/>
    <xf numFmtId="0" fontId="8" fillId="2" borderId="5" xfId="0" applyFont="1" applyFill="1" applyBorder="1" applyAlignment="1">
      <alignment horizontal="center"/>
    </xf>
    <xf numFmtId="164" fontId="8" fillId="2" borderId="6" xfId="0" applyNumberFormat="1" applyFont="1" applyFill="1" applyBorder="1" applyAlignment="1">
      <alignment horizontal="center"/>
    </xf>
    <xf numFmtId="43" fontId="0" fillId="0" borderId="0" xfId="0" applyNumberFormat="1"/>
    <xf numFmtId="0" fontId="9" fillId="0" borderId="0" xfId="0" applyFont="1" applyAlignment="1">
      <alignment horizontal="center"/>
    </xf>
    <xf numFmtId="0" fontId="10" fillId="0" borderId="0" xfId="0" applyFont="1"/>
    <xf numFmtId="0" fontId="11" fillId="0" borderId="0" xfId="0" applyFont="1"/>
    <xf numFmtId="0" fontId="12"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horizontal="center"/>
    </xf>
    <xf numFmtId="0" fontId="15" fillId="0" borderId="0" xfId="0" applyFont="1"/>
    <xf numFmtId="49" fontId="16" fillId="0" borderId="0" xfId="0" applyNumberFormat="1" applyFont="1"/>
    <xf numFmtId="0" fontId="16" fillId="0" borderId="0" xfId="0" applyFont="1"/>
    <xf numFmtId="0" fontId="16" fillId="0" borderId="0" xfId="0" applyFont="1" applyAlignment="1">
      <alignment horizontal="center"/>
    </xf>
    <xf numFmtId="164" fontId="16" fillId="0" borderId="0" xfId="1" applyNumberFormat="1" applyFont="1"/>
    <xf numFmtId="165" fontId="16" fillId="0" borderId="0" xfId="1" applyNumberFormat="1" applyFont="1"/>
    <xf numFmtId="164" fontId="16" fillId="0" borderId="0" xfId="1" applyFont="1"/>
    <xf numFmtId="49" fontId="16" fillId="0" borderId="25" xfId="0" applyNumberFormat="1" applyFont="1" applyBorder="1" applyAlignment="1">
      <alignment horizontal="center" vertical="center"/>
    </xf>
    <xf numFmtId="0" fontId="16" fillId="0" borderId="26" xfId="0" applyFont="1" applyBorder="1" applyAlignment="1">
      <alignment horizontal="center" vertical="center"/>
    </xf>
    <xf numFmtId="164" fontId="16" fillId="0" borderId="26" xfId="1" applyNumberFormat="1" applyFont="1" applyBorder="1" applyAlignment="1">
      <alignment horizontal="center" vertical="center"/>
    </xf>
    <xf numFmtId="165" fontId="16" fillId="0" borderId="26" xfId="1" applyNumberFormat="1" applyFont="1" applyBorder="1" applyAlignment="1">
      <alignment horizontal="center" vertical="center" wrapText="1"/>
    </xf>
    <xf numFmtId="164" fontId="16" fillId="0" borderId="26" xfId="1" applyFont="1" applyBorder="1" applyAlignment="1">
      <alignment horizontal="center" vertical="center" wrapText="1"/>
    </xf>
    <xf numFmtId="164" fontId="16" fillId="0" borderId="27" xfId="1" applyFont="1" applyBorder="1" applyAlignment="1">
      <alignment horizontal="center" vertical="center" wrapText="1"/>
    </xf>
    <xf numFmtId="0" fontId="16" fillId="0" borderId="0" xfId="0" applyFont="1" applyAlignment="1">
      <alignment horizontal="center" vertical="center"/>
    </xf>
    <xf numFmtId="49" fontId="17" fillId="2" borderId="20" xfId="2" applyNumberFormat="1" applyFont="1" applyFill="1" applyBorder="1" applyAlignment="1">
      <alignment horizontal="center" vertical="justify"/>
    </xf>
    <xf numFmtId="0" fontId="18" fillId="2" borderId="21" xfId="2" quotePrefix="1" applyNumberFormat="1" applyFont="1" applyFill="1" applyBorder="1" applyAlignment="1">
      <alignment horizontal="center"/>
    </xf>
    <xf numFmtId="164" fontId="19" fillId="2" borderId="21" xfId="2" applyFont="1" applyFill="1" applyBorder="1" applyAlignment="1">
      <alignment horizontal="center"/>
    </xf>
    <xf numFmtId="164" fontId="19" fillId="3" borderId="21" xfId="1" applyNumberFormat="1" applyFont="1" applyFill="1" applyBorder="1" applyAlignment="1">
      <alignment horizontal="center"/>
    </xf>
    <xf numFmtId="165" fontId="17" fillId="2" borderId="21" xfId="1" applyNumberFormat="1" applyFont="1" applyFill="1" applyBorder="1" applyAlignment="1">
      <alignment horizontal="center"/>
    </xf>
    <xf numFmtId="164" fontId="16" fillId="0" borderId="21" xfId="1" applyFont="1" applyBorder="1" applyAlignment="1">
      <alignment horizontal="center" vertical="center" wrapText="1"/>
    </xf>
    <xf numFmtId="164" fontId="16" fillId="0" borderId="22" xfId="1" applyFont="1" applyBorder="1" applyAlignment="1">
      <alignment horizontal="center" vertical="center" wrapText="1"/>
    </xf>
    <xf numFmtId="0" fontId="20" fillId="0" borderId="0" xfId="0" applyFont="1" applyAlignment="1">
      <alignment horizontal="center" vertical="center"/>
    </xf>
    <xf numFmtId="0" fontId="15" fillId="0" borderId="0" xfId="0" applyFont="1" applyAlignment="1">
      <alignment horizontal="center" vertical="center"/>
    </xf>
    <xf numFmtId="0" fontId="18" fillId="2" borderId="21" xfId="2" applyNumberFormat="1" applyFont="1" applyFill="1" applyBorder="1" applyAlignment="1">
      <alignment horizontal="center"/>
    </xf>
    <xf numFmtId="0" fontId="19" fillId="2" borderId="21" xfId="2" applyNumberFormat="1" applyFont="1" applyFill="1" applyBorder="1" applyAlignment="1">
      <alignment horizontal="left"/>
    </xf>
    <xf numFmtId="0" fontId="18" fillId="2" borderId="21" xfId="2" applyNumberFormat="1" applyFont="1" applyFill="1" applyBorder="1" applyAlignment="1">
      <alignment horizontal="left"/>
    </xf>
    <xf numFmtId="49" fontId="17" fillId="2" borderId="20" xfId="2" quotePrefix="1" applyNumberFormat="1" applyFont="1" applyFill="1" applyBorder="1" applyAlignment="1">
      <alignment horizontal="center" vertical="justify"/>
    </xf>
    <xf numFmtId="0" fontId="21" fillId="2" borderId="21" xfId="2" applyNumberFormat="1" applyFont="1" applyFill="1" applyBorder="1" applyAlignment="1">
      <alignment horizontal="left"/>
    </xf>
    <xf numFmtId="0" fontId="17" fillId="2" borderId="21" xfId="2" applyNumberFormat="1" applyFont="1" applyFill="1" applyBorder="1" applyAlignment="1">
      <alignment horizontal="left"/>
    </xf>
    <xf numFmtId="0" fontId="18" fillId="2" borderId="21" xfId="2" applyNumberFormat="1" applyFont="1" applyFill="1" applyBorder="1"/>
    <xf numFmtId="164" fontId="17" fillId="2" borderId="21" xfId="2" applyFont="1" applyFill="1" applyBorder="1" applyAlignment="1">
      <alignment horizontal="center"/>
    </xf>
    <xf numFmtId="164" fontId="17" fillId="3" borderId="21" xfId="1" applyNumberFormat="1" applyFont="1" applyFill="1" applyBorder="1" applyAlignment="1">
      <alignment horizontal="center"/>
    </xf>
    <xf numFmtId="0" fontId="17" fillId="2" borderId="21" xfId="2" applyNumberFormat="1" applyFont="1" applyFill="1" applyBorder="1" applyAlignment="1">
      <alignment horizontal="justify"/>
    </xf>
    <xf numFmtId="164" fontId="16" fillId="0" borderId="21" xfId="1" applyFont="1" applyBorder="1"/>
    <xf numFmtId="164" fontId="16" fillId="0" borderId="22" xfId="1" applyFont="1" applyBorder="1"/>
    <xf numFmtId="0" fontId="17" fillId="2" borderId="21" xfId="2" applyNumberFormat="1" applyFont="1" applyFill="1" applyBorder="1"/>
    <xf numFmtId="0" fontId="17" fillId="2" borderId="21" xfId="2" applyNumberFormat="1" applyFont="1" applyFill="1" applyBorder="1" applyAlignment="1">
      <alignment wrapText="1"/>
    </xf>
    <xf numFmtId="49" fontId="17" fillId="2" borderId="20" xfId="2" applyNumberFormat="1" applyFont="1" applyFill="1" applyBorder="1" applyAlignment="1">
      <alignment horizontal="center" vertical="top"/>
    </xf>
    <xf numFmtId="0" fontId="18" fillId="2" borderId="21" xfId="2" applyNumberFormat="1" applyFont="1" applyFill="1" applyBorder="1" applyAlignment="1">
      <alignment vertical="top"/>
    </xf>
    <xf numFmtId="164" fontId="17" fillId="2" borderId="21" xfId="2" applyFont="1" applyFill="1" applyBorder="1" applyAlignment="1">
      <alignment horizontal="center" vertical="top"/>
    </xf>
    <xf numFmtId="164" fontId="17" fillId="3" borderId="21" xfId="1" applyNumberFormat="1" applyFont="1" applyFill="1" applyBorder="1" applyAlignment="1">
      <alignment horizontal="center" vertical="top"/>
    </xf>
    <xf numFmtId="0" fontId="17" fillId="2" borderId="21" xfId="2" applyNumberFormat="1" applyFont="1" applyFill="1" applyBorder="1" applyAlignment="1">
      <alignment vertical="top" wrapText="1"/>
    </xf>
    <xf numFmtId="49" fontId="17" fillId="2" borderId="25" xfId="2" applyNumberFormat="1" applyFont="1" applyFill="1" applyBorder="1" applyAlignment="1">
      <alignment horizontal="center" vertical="justify"/>
    </xf>
    <xf numFmtId="0" fontId="19" fillId="2" borderId="26" xfId="2" quotePrefix="1" applyNumberFormat="1" applyFont="1" applyFill="1" applyBorder="1" applyAlignment="1">
      <alignment horizontal="left"/>
    </xf>
    <xf numFmtId="0" fontId="17" fillId="3" borderId="26" xfId="3" applyFont="1" applyFill="1" applyBorder="1" applyAlignment="1">
      <alignment horizontal="center"/>
    </xf>
    <xf numFmtId="164" fontId="17" fillId="3" borderId="26" xfId="1" applyNumberFormat="1" applyFont="1" applyFill="1" applyBorder="1" applyAlignment="1">
      <alignment horizontal="center"/>
    </xf>
    <xf numFmtId="165" fontId="17" fillId="2" borderId="26" xfId="1" applyNumberFormat="1" applyFont="1" applyFill="1" applyBorder="1" applyAlignment="1">
      <alignment horizontal="center"/>
    </xf>
    <xf numFmtId="49" fontId="17" fillId="2" borderId="28" xfId="2" applyNumberFormat="1" applyFont="1" applyFill="1" applyBorder="1" applyAlignment="1">
      <alignment horizontal="center" vertical="justify"/>
    </xf>
    <xf numFmtId="0" fontId="19" fillId="2" borderId="24" xfId="2" quotePrefix="1" applyNumberFormat="1" applyFont="1" applyFill="1" applyBorder="1" applyAlignment="1">
      <alignment horizontal="left"/>
    </xf>
    <xf numFmtId="0" fontId="17" fillId="4" borderId="24" xfId="3" applyFont="1" applyFill="1" applyBorder="1" applyAlignment="1">
      <alignment horizontal="center"/>
    </xf>
    <xf numFmtId="164" fontId="17" fillId="3" borderId="24" xfId="1" applyNumberFormat="1" applyFont="1" applyFill="1" applyBorder="1" applyAlignment="1">
      <alignment horizontal="center"/>
    </xf>
    <xf numFmtId="165" fontId="17" fillId="2" borderId="24" xfId="1" applyNumberFormat="1" applyFont="1" applyFill="1" applyBorder="1" applyAlignment="1">
      <alignment horizontal="center"/>
    </xf>
    <xf numFmtId="164" fontId="16" fillId="0" borderId="24" xfId="1" applyFont="1" applyBorder="1" applyAlignment="1">
      <alignment horizontal="center" vertical="center" wrapText="1"/>
    </xf>
    <xf numFmtId="164" fontId="15" fillId="0" borderId="29" xfId="1" applyFont="1" applyBorder="1" applyAlignment="1">
      <alignment horizontal="center" vertical="center" wrapText="1"/>
    </xf>
    <xf numFmtId="0" fontId="19" fillId="2" borderId="21" xfId="2" quotePrefix="1" applyNumberFormat="1" applyFont="1" applyFill="1" applyBorder="1" applyAlignment="1">
      <alignment horizontal="left"/>
    </xf>
    <xf numFmtId="0" fontId="17" fillId="3" borderId="21" xfId="3" applyFont="1" applyFill="1" applyBorder="1" applyAlignment="1">
      <alignment horizontal="center"/>
    </xf>
    <xf numFmtId="0" fontId="17" fillId="2" borderId="21" xfId="2" quotePrefix="1" applyNumberFormat="1" applyFont="1" applyFill="1" applyBorder="1" applyAlignment="1">
      <alignment wrapText="1"/>
    </xf>
    <xf numFmtId="0" fontId="17" fillId="2" borderId="21" xfId="2" quotePrefix="1" applyNumberFormat="1" applyFont="1" applyFill="1" applyBorder="1" applyAlignment="1"/>
    <xf numFmtId="0" fontId="17" fillId="2" borderId="22" xfId="2" quotePrefix="1" applyNumberFormat="1" applyFont="1" applyFill="1" applyBorder="1" applyAlignment="1"/>
    <xf numFmtId="49" fontId="16" fillId="0" borderId="20" xfId="0" applyNumberFormat="1" applyFont="1" applyBorder="1" applyAlignment="1">
      <alignment horizontal="center" vertical="center"/>
    </xf>
    <xf numFmtId="0" fontId="16" fillId="0" borderId="21" xfId="0" applyFont="1" applyBorder="1" applyAlignment="1">
      <alignment horizontal="center" vertical="center"/>
    </xf>
    <xf numFmtId="164" fontId="16" fillId="0" borderId="21" xfId="0" applyNumberFormat="1" applyFont="1" applyBorder="1" applyAlignment="1">
      <alignment horizontal="center" vertical="center"/>
    </xf>
    <xf numFmtId="165"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8" fillId="2" borderId="21" xfId="2" applyNumberFormat="1" applyFont="1" applyFill="1" applyBorder="1" applyAlignment="1">
      <alignment horizontal="justify"/>
    </xf>
    <xf numFmtId="164" fontId="16" fillId="0" borderId="21" xfId="1" applyNumberFormat="1" applyFont="1" applyBorder="1"/>
    <xf numFmtId="165" fontId="16" fillId="0" borderId="21" xfId="1" applyNumberFormat="1" applyFont="1" applyBorder="1"/>
    <xf numFmtId="164" fontId="17" fillId="3" borderId="21" xfId="2" applyNumberFormat="1" applyFont="1" applyFill="1" applyBorder="1" applyAlignment="1">
      <alignment horizontal="center"/>
    </xf>
    <xf numFmtId="164" fontId="18" fillId="2" borderId="21" xfId="2" applyFont="1" applyFill="1" applyBorder="1" applyAlignment="1">
      <alignment horizontal="justify" vertical="top"/>
    </xf>
    <xf numFmtId="164" fontId="17" fillId="3" borderId="21" xfId="1" applyNumberFormat="1" applyFont="1" applyFill="1" applyBorder="1" applyAlignment="1">
      <alignment horizontal="right"/>
    </xf>
    <xf numFmtId="164" fontId="17" fillId="2" borderId="21" xfId="2" applyFont="1" applyFill="1" applyBorder="1" applyAlignment="1">
      <alignment horizontal="justify" vertical="top"/>
    </xf>
    <xf numFmtId="0" fontId="17" fillId="2" borderId="21" xfId="2" applyNumberFormat="1" applyFont="1" applyFill="1" applyBorder="1" applyAlignment="1">
      <alignment horizontal="justify" vertical="top" wrapText="1"/>
    </xf>
    <xf numFmtId="0" fontId="18" fillId="2" borderId="21" xfId="2" applyNumberFormat="1" applyFont="1" applyFill="1" applyBorder="1" applyAlignment="1">
      <alignment horizontal="justify" vertical="top"/>
    </xf>
    <xf numFmtId="0" fontId="17" fillId="2" borderId="21" xfId="2" quotePrefix="1" applyNumberFormat="1" applyFont="1" applyFill="1" applyBorder="1" applyAlignment="1">
      <alignment vertical="justify"/>
    </xf>
    <xf numFmtId="0" fontId="21" fillId="2" borderId="21" xfId="2" quotePrefix="1" applyNumberFormat="1" applyFont="1" applyFill="1" applyBorder="1" applyAlignment="1">
      <alignment horizontal="left" vertical="top"/>
    </xf>
    <xf numFmtId="49" fontId="17" fillId="2" borderId="20" xfId="2" applyNumberFormat="1" applyFont="1" applyFill="1" applyBorder="1" applyAlignment="1">
      <alignment horizontal="center"/>
    </xf>
    <xf numFmtId="0" fontId="17" fillId="2" borderId="21" xfId="2" applyNumberFormat="1" applyFont="1" applyFill="1" applyBorder="1" applyAlignment="1">
      <alignment horizontal="left" wrapText="1"/>
    </xf>
    <xf numFmtId="164" fontId="16" fillId="0" borderId="21" xfId="1" applyFont="1" applyBorder="1" applyAlignment="1"/>
    <xf numFmtId="164" fontId="16" fillId="0" borderId="22" xfId="1" applyFont="1" applyBorder="1" applyAlignment="1"/>
    <xf numFmtId="0" fontId="17" fillId="2" borderId="21" xfId="2" applyNumberFormat="1" applyFont="1" applyFill="1" applyBorder="1" applyAlignment="1">
      <alignment horizontal="left" vertical="top" wrapText="1"/>
    </xf>
    <xf numFmtId="0" fontId="18" fillId="2" borderId="21" xfId="2" applyNumberFormat="1" applyFont="1" applyFill="1" applyBorder="1" applyAlignment="1">
      <alignment horizontal="left" vertical="top" wrapText="1"/>
    </xf>
    <xf numFmtId="0" fontId="17" fillId="2" borderId="21" xfId="2" quotePrefix="1" applyNumberFormat="1" applyFont="1" applyFill="1" applyBorder="1" applyAlignment="1">
      <alignment vertical="top" wrapText="1"/>
    </xf>
    <xf numFmtId="0" fontId="17" fillId="2" borderId="21" xfId="2" quotePrefix="1" applyNumberFormat="1" applyFont="1" applyFill="1" applyBorder="1" applyAlignment="1">
      <alignment vertical="top"/>
    </xf>
    <xf numFmtId="0" fontId="17" fillId="2" borderId="21" xfId="2" applyNumberFormat="1" applyFont="1" applyFill="1" applyBorder="1" applyAlignment="1">
      <alignment vertical="top"/>
    </xf>
    <xf numFmtId="0" fontId="17" fillId="2" borderId="21" xfId="2" applyNumberFormat="1" applyFont="1" applyFill="1" applyBorder="1" applyAlignment="1">
      <alignment horizontal="justify" vertical="top"/>
    </xf>
    <xf numFmtId="0" fontId="17" fillId="2" borderId="21" xfId="2" quotePrefix="1" applyNumberFormat="1" applyFont="1" applyFill="1" applyBorder="1" applyAlignment="1">
      <alignment horizontal="justify" vertical="top"/>
    </xf>
    <xf numFmtId="164" fontId="16" fillId="0" borderId="0" xfId="0" applyNumberFormat="1" applyFont="1" applyAlignment="1">
      <alignment horizontal="center" vertical="center"/>
    </xf>
    <xf numFmtId="164" fontId="17" fillId="2" borderId="26" xfId="2" applyFont="1" applyFill="1" applyBorder="1" applyAlignment="1">
      <alignment horizontal="center"/>
    </xf>
    <xf numFmtId="164" fontId="17" fillId="2" borderId="24" xfId="2" applyFont="1" applyFill="1" applyBorder="1" applyAlignment="1">
      <alignment horizontal="center"/>
    </xf>
    <xf numFmtId="164" fontId="15" fillId="0" borderId="22" xfId="1" applyFont="1" applyBorder="1" applyAlignment="1">
      <alignment horizontal="center" vertical="center" wrapText="1"/>
    </xf>
    <xf numFmtId="0" fontId="18" fillId="2" borderId="21" xfId="2" applyNumberFormat="1" applyFont="1" applyFill="1" applyBorder="1" applyAlignment="1">
      <alignment horizontal="center" vertical="top"/>
    </xf>
    <xf numFmtId="0" fontId="17" fillId="2" borderId="22" xfId="2" quotePrefix="1" applyNumberFormat="1" applyFont="1" applyFill="1" applyBorder="1" applyAlignment="1">
      <alignment vertical="top"/>
    </xf>
    <xf numFmtId="49" fontId="19" fillId="5" borderId="20" xfId="2" applyNumberFormat="1" applyFont="1" applyFill="1" applyBorder="1" applyAlignment="1">
      <alignment horizontal="center" vertical="justify"/>
    </xf>
    <xf numFmtId="0" fontId="18" fillId="5" borderId="21" xfId="2" applyNumberFormat="1" applyFont="1" applyFill="1" applyBorder="1" applyAlignment="1">
      <alignment horizontal="justify" vertical="top"/>
    </xf>
    <xf numFmtId="164" fontId="17" fillId="5" borderId="21" xfId="2" applyNumberFormat="1" applyFont="1" applyFill="1" applyBorder="1" applyAlignment="1">
      <alignment horizontal="center"/>
    </xf>
    <xf numFmtId="164" fontId="17" fillId="5" borderId="21" xfId="1" applyNumberFormat="1" applyFont="1" applyFill="1" applyBorder="1" applyAlignment="1">
      <alignment horizontal="center"/>
    </xf>
    <xf numFmtId="165" fontId="17" fillId="5" borderId="21" xfId="1" applyNumberFormat="1" applyFont="1" applyFill="1" applyBorder="1" applyAlignment="1">
      <alignment horizontal="center"/>
    </xf>
    <xf numFmtId="164" fontId="16" fillId="5" borderId="21" xfId="1" applyFont="1" applyFill="1" applyBorder="1" applyAlignment="1">
      <alignment horizontal="center" vertical="center" wrapText="1"/>
    </xf>
    <xf numFmtId="164" fontId="16" fillId="5" borderId="22" xfId="1" applyFont="1" applyFill="1" applyBorder="1" applyAlignment="1">
      <alignment horizontal="center" vertical="center" wrapText="1"/>
    </xf>
    <xf numFmtId="165" fontId="17" fillId="2" borderId="21" xfId="1" applyNumberFormat="1" applyFont="1" applyFill="1" applyBorder="1" applyAlignment="1">
      <alignment horizontal="center" vertical="top"/>
    </xf>
    <xf numFmtId="164" fontId="16" fillId="0" borderId="21" xfId="1" applyFont="1" applyBorder="1" applyAlignment="1">
      <alignment horizontal="center" vertical="top" wrapText="1"/>
    </xf>
    <xf numFmtId="164" fontId="16" fillId="0" borderId="22" xfId="1" applyFont="1" applyBorder="1" applyAlignment="1">
      <alignment horizontal="center" vertical="top" wrapText="1"/>
    </xf>
    <xf numFmtId="0" fontId="16" fillId="0" borderId="0" xfId="0" applyFont="1" applyAlignment="1">
      <alignment horizontal="center" vertical="top"/>
    </xf>
    <xf numFmtId="49" fontId="17" fillId="5" borderId="20" xfId="2" applyNumberFormat="1" applyFont="1" applyFill="1" applyBorder="1" applyAlignment="1">
      <alignment horizontal="center"/>
    </xf>
    <xf numFmtId="0" fontId="18" fillId="5" borderId="21" xfId="2" applyNumberFormat="1" applyFont="1" applyFill="1" applyBorder="1" applyAlignment="1">
      <alignment horizontal="left" vertical="top"/>
    </xf>
    <xf numFmtId="164" fontId="17" fillId="5" borderId="21" xfId="2" applyFont="1" applyFill="1" applyBorder="1" applyAlignment="1">
      <alignment horizontal="center"/>
    </xf>
    <xf numFmtId="49" fontId="15" fillId="6" borderId="20" xfId="0" applyNumberFormat="1" applyFont="1" applyFill="1" applyBorder="1"/>
    <xf numFmtId="0" fontId="22" fillId="6" borderId="21" xfId="0" applyFont="1" applyFill="1" applyBorder="1" applyAlignment="1">
      <alignment wrapText="1"/>
    </xf>
    <xf numFmtId="0" fontId="15" fillId="6" borderId="21" xfId="0" applyFont="1" applyFill="1" applyBorder="1" applyAlignment="1">
      <alignment horizontal="center"/>
    </xf>
    <xf numFmtId="164" fontId="15" fillId="6" borderId="21" xfId="1" applyNumberFormat="1" applyFont="1" applyFill="1" applyBorder="1"/>
    <xf numFmtId="165" fontId="15" fillId="6" borderId="21" xfId="1" applyNumberFormat="1" applyFont="1" applyFill="1" applyBorder="1"/>
    <xf numFmtId="164" fontId="15" fillId="6" borderId="21" xfId="1" applyFont="1" applyFill="1" applyBorder="1"/>
    <xf numFmtId="164" fontId="15" fillId="6" borderId="22" xfId="1" applyFont="1" applyFill="1" applyBorder="1"/>
    <xf numFmtId="164" fontId="16" fillId="0" borderId="0" xfId="0" applyNumberFormat="1" applyFont="1"/>
    <xf numFmtId="43" fontId="16" fillId="0" borderId="0" xfId="0" applyNumberFormat="1" applyFont="1" applyAlignment="1">
      <alignment horizontal="center" vertical="center"/>
    </xf>
    <xf numFmtId="49" fontId="16" fillId="0" borderId="20" xfId="0" applyNumberFormat="1" applyFont="1" applyBorder="1"/>
    <xf numFmtId="0" fontId="16" fillId="0" borderId="21" xfId="0" applyFont="1" applyBorder="1" applyAlignment="1">
      <alignment wrapText="1"/>
    </xf>
    <xf numFmtId="0" fontId="16" fillId="0" borderId="21" xfId="0" applyFont="1" applyBorder="1" applyAlignment="1">
      <alignment horizontal="center"/>
    </xf>
    <xf numFmtId="49" fontId="15" fillId="0" borderId="20" xfId="0" applyNumberFormat="1" applyFont="1" applyBorder="1"/>
    <xf numFmtId="0" fontId="22" fillId="0" borderId="21" xfId="0" applyFont="1" applyBorder="1" applyAlignment="1">
      <alignment wrapText="1"/>
    </xf>
    <xf numFmtId="0" fontId="15" fillId="0" borderId="21" xfId="0" applyFont="1" applyBorder="1" applyAlignment="1">
      <alignment horizontal="center"/>
    </xf>
    <xf numFmtId="164" fontId="15" fillId="0" borderId="21" xfId="1" applyNumberFormat="1" applyFont="1" applyBorder="1"/>
    <xf numFmtId="165" fontId="15" fillId="0" borderId="21" xfId="1" applyNumberFormat="1" applyFont="1" applyBorder="1"/>
    <xf numFmtId="164" fontId="15" fillId="0" borderId="21" xfId="1" applyFont="1" applyBorder="1"/>
    <xf numFmtId="164" fontId="15" fillId="0" borderId="22" xfId="1" applyFont="1" applyBorder="1"/>
    <xf numFmtId="49" fontId="16" fillId="0" borderId="28" xfId="0" applyNumberFormat="1" applyFont="1" applyBorder="1"/>
    <xf numFmtId="0" fontId="16" fillId="0" borderId="24" xfId="0" applyFont="1" applyBorder="1" applyAlignment="1">
      <alignment wrapText="1"/>
    </xf>
    <xf numFmtId="0" fontId="16" fillId="0" borderId="24" xfId="0" applyFont="1" applyBorder="1" applyAlignment="1">
      <alignment horizontal="center"/>
    </xf>
    <xf numFmtId="164" fontId="16" fillId="0" borderId="24" xfId="1" applyNumberFormat="1" applyFont="1" applyBorder="1"/>
    <xf numFmtId="164" fontId="16" fillId="0" borderId="24" xfId="1" applyFont="1" applyBorder="1"/>
    <xf numFmtId="164" fontId="16" fillId="0" borderId="29" xfId="1" applyFont="1" applyBorder="1"/>
    <xf numFmtId="0" fontId="18" fillId="5" borderId="21" xfId="2" applyNumberFormat="1" applyFont="1" applyFill="1" applyBorder="1" applyAlignment="1">
      <alignment horizontal="center" vertical="top"/>
    </xf>
    <xf numFmtId="164" fontId="19" fillId="5" borderId="22" xfId="1" applyNumberFormat="1" applyFont="1" applyFill="1" applyBorder="1"/>
    <xf numFmtId="0" fontId="17" fillId="2" borderId="22" xfId="2" applyNumberFormat="1" applyFont="1" applyFill="1" applyBorder="1" applyAlignment="1">
      <alignment vertical="top" wrapText="1"/>
    </xf>
    <xf numFmtId="0" fontId="17" fillId="2" borderId="22" xfId="2" applyNumberFormat="1" applyFont="1" applyFill="1" applyBorder="1" applyAlignment="1">
      <alignment wrapText="1"/>
    </xf>
    <xf numFmtId="49" fontId="17" fillId="2" borderId="21" xfId="2" applyNumberFormat="1" applyFont="1" applyFill="1" applyBorder="1" applyAlignment="1">
      <alignment horizontal="center"/>
    </xf>
    <xf numFmtId="49" fontId="17" fillId="2" borderId="24" xfId="2" applyNumberFormat="1" applyFont="1" applyFill="1" applyBorder="1" applyAlignment="1">
      <alignment horizontal="center"/>
    </xf>
    <xf numFmtId="0" fontId="16" fillId="6" borderId="21" xfId="0" applyFont="1" applyFill="1" applyBorder="1" applyAlignment="1">
      <alignment horizontal="center"/>
    </xf>
    <xf numFmtId="164" fontId="16" fillId="6" borderId="21" xfId="1" applyNumberFormat="1" applyFont="1" applyFill="1" applyBorder="1"/>
    <xf numFmtId="165" fontId="16" fillId="6" borderId="21" xfId="1" applyNumberFormat="1" applyFont="1" applyFill="1" applyBorder="1"/>
    <xf numFmtId="164" fontId="16" fillId="6" borderId="21" xfId="1" applyFont="1" applyFill="1" applyBorder="1"/>
    <xf numFmtId="164" fontId="16" fillId="6" borderId="22" xfId="1" applyFont="1" applyFill="1" applyBorder="1"/>
    <xf numFmtId="0" fontId="25" fillId="0" borderId="21" xfId="0" applyFont="1" applyBorder="1" applyAlignment="1">
      <alignment wrapText="1"/>
    </xf>
    <xf numFmtId="43" fontId="16" fillId="0" borderId="0" xfId="0" applyNumberFormat="1" applyFont="1"/>
    <xf numFmtId="49" fontId="15" fillId="3" borderId="20" xfId="0" applyNumberFormat="1" applyFont="1" applyFill="1" applyBorder="1"/>
    <xf numFmtId="0" fontId="22" fillId="3" borderId="21" xfId="0" applyFont="1" applyFill="1" applyBorder="1" applyAlignment="1">
      <alignment wrapText="1"/>
    </xf>
    <xf numFmtId="0" fontId="15" fillId="3" borderId="21" xfId="0" applyFont="1" applyFill="1" applyBorder="1" applyAlignment="1">
      <alignment horizontal="center"/>
    </xf>
    <xf numFmtId="164" fontId="15" fillId="3" borderId="21" xfId="1" applyNumberFormat="1" applyFont="1" applyFill="1" applyBorder="1"/>
    <xf numFmtId="165" fontId="15" fillId="3" borderId="21" xfId="1" applyNumberFormat="1" applyFont="1" applyFill="1" applyBorder="1"/>
    <xf numFmtId="0" fontId="16" fillId="3" borderId="0" xfId="0" applyFont="1" applyFill="1"/>
    <xf numFmtId="166" fontId="16" fillId="0" borderId="0" xfId="0" applyNumberFormat="1" applyFont="1"/>
    <xf numFmtId="49" fontId="16" fillId="3" borderId="20" xfId="0" applyNumberFormat="1" applyFont="1" applyFill="1" applyBorder="1"/>
    <xf numFmtId="0" fontId="16" fillId="3" borderId="21" xfId="0" applyFont="1" applyFill="1" applyBorder="1" applyAlignment="1">
      <alignment horizontal="center"/>
    </xf>
    <xf numFmtId="164" fontId="16" fillId="3" borderId="21" xfId="1" applyNumberFormat="1" applyFont="1" applyFill="1" applyBorder="1"/>
    <xf numFmtId="165" fontId="16" fillId="3" borderId="21" xfId="1" applyNumberFormat="1" applyFont="1" applyFill="1" applyBorder="1"/>
    <xf numFmtId="164" fontId="16" fillId="3" borderId="21" xfId="1" applyFont="1" applyFill="1" applyBorder="1"/>
    <xf numFmtId="0" fontId="16" fillId="3" borderId="21" xfId="0" applyFont="1" applyFill="1" applyBorder="1" applyAlignment="1">
      <alignment wrapText="1"/>
    </xf>
    <xf numFmtId="165" fontId="16" fillId="0" borderId="24" xfId="1" applyNumberFormat="1" applyFont="1" applyBorder="1"/>
    <xf numFmtId="165" fontId="16" fillId="3" borderId="24" xfId="1" applyNumberFormat="1" applyFont="1" applyFill="1" applyBorder="1"/>
    <xf numFmtId="164" fontId="16" fillId="3" borderId="24" xfId="1" applyFont="1" applyFill="1" applyBorder="1"/>
    <xf numFmtId="49" fontId="15" fillId="0" borderId="20" xfId="0" applyNumberFormat="1" applyFont="1" applyBorder="1" applyAlignment="1">
      <alignment vertical="top"/>
    </xf>
    <xf numFmtId="49" fontId="16" fillId="0" borderId="20" xfId="0" applyNumberFormat="1" applyFont="1" applyBorder="1" applyAlignment="1">
      <alignment vertical="top"/>
    </xf>
    <xf numFmtId="0" fontId="17" fillId="3" borderId="21" xfId="3" applyFont="1" applyFill="1" applyBorder="1" applyAlignment="1">
      <alignment horizontal="left" wrapText="1"/>
    </xf>
    <xf numFmtId="164" fontId="17" fillId="3" borderId="21" xfId="1" applyFont="1" applyFill="1" applyBorder="1" applyAlignment="1">
      <alignment horizontal="center"/>
    </xf>
    <xf numFmtId="0" fontId="15" fillId="0" borderId="21" xfId="0" applyFont="1" applyBorder="1" applyAlignment="1">
      <alignment wrapText="1"/>
    </xf>
    <xf numFmtId="164" fontId="16" fillId="0" borderId="26" xfId="1" applyFont="1" applyBorder="1"/>
    <xf numFmtId="164" fontId="16" fillId="0" borderId="27" xfId="1" applyFont="1" applyBorder="1"/>
    <xf numFmtId="164" fontId="15" fillId="0" borderId="29" xfId="1" applyFont="1" applyBorder="1"/>
    <xf numFmtId="49" fontId="19" fillId="2" borderId="20" xfId="2" applyNumberFormat="1" applyFont="1" applyFill="1" applyBorder="1" applyAlignment="1">
      <alignment horizontal="center" vertical="justify"/>
    </xf>
    <xf numFmtId="0" fontId="17" fillId="2" borderId="21" xfId="2" applyNumberFormat="1" applyFont="1" applyFill="1" applyBorder="1" applyAlignment="1"/>
    <xf numFmtId="0" fontId="17" fillId="2" borderId="22" xfId="2" applyNumberFormat="1" applyFont="1" applyFill="1" applyBorder="1" applyAlignment="1"/>
    <xf numFmtId="0" fontId="22" fillId="0" borderId="21" xfId="0" applyFont="1" applyBorder="1"/>
    <xf numFmtId="0" fontId="22" fillId="6" borderId="21" xfId="0" applyFont="1" applyFill="1" applyBorder="1"/>
    <xf numFmtId="0" fontId="15" fillId="0" borderId="21" xfId="0" applyFont="1" applyBorder="1"/>
    <xf numFmtId="0" fontId="16" fillId="0" borderId="21" xfId="0" applyFont="1" applyBorder="1"/>
    <xf numFmtId="0" fontId="16" fillId="0" borderId="24" xfId="0" applyFont="1" applyBorder="1"/>
    <xf numFmtId="0" fontId="18" fillId="5" borderId="21" xfId="2" applyNumberFormat="1" applyFont="1" applyFill="1" applyBorder="1" applyAlignment="1">
      <alignment horizontal="center"/>
    </xf>
    <xf numFmtId="164" fontId="19" fillId="5" borderId="22" xfId="2" applyFont="1" applyFill="1" applyBorder="1"/>
    <xf numFmtId="164" fontId="15" fillId="0" borderId="21" xfId="1" applyFont="1" applyBorder="1" applyAlignment="1"/>
    <xf numFmtId="0" fontId="16" fillId="0" borderId="0" xfId="0" applyFont="1" applyAlignment="1"/>
    <xf numFmtId="49" fontId="19" fillId="3" borderId="20" xfId="2" applyNumberFormat="1" applyFont="1" applyFill="1" applyBorder="1" applyAlignment="1">
      <alignment horizontal="center" vertical="justify"/>
    </xf>
    <xf numFmtId="0" fontId="18" fillId="3" borderId="21" xfId="2" quotePrefix="1" applyNumberFormat="1" applyFont="1" applyFill="1" applyBorder="1" applyAlignment="1">
      <alignment horizontal="center"/>
    </xf>
    <xf numFmtId="164" fontId="19" fillId="3" borderId="21" xfId="2" applyFont="1" applyFill="1" applyBorder="1" applyAlignment="1">
      <alignment horizontal="center"/>
    </xf>
    <xf numFmtId="165" fontId="17" fillId="3" borderId="21" xfId="1" applyNumberFormat="1" applyFont="1" applyFill="1" applyBorder="1" applyAlignment="1">
      <alignment horizontal="center"/>
    </xf>
    <xf numFmtId="0" fontId="18" fillId="3" borderId="21" xfId="2" applyNumberFormat="1" applyFont="1" applyFill="1" applyBorder="1" applyAlignment="1">
      <alignment horizontal="center"/>
    </xf>
    <xf numFmtId="49" fontId="19" fillId="10" borderId="20" xfId="2" applyNumberFormat="1" applyFont="1" applyFill="1" applyBorder="1" applyAlignment="1">
      <alignment horizontal="center"/>
    </xf>
    <xf numFmtId="0" fontId="18" fillId="10" borderId="21" xfId="2" applyNumberFormat="1" applyFont="1" applyFill="1" applyBorder="1" applyAlignment="1">
      <alignment horizontal="left" wrapText="1"/>
    </xf>
    <xf numFmtId="164" fontId="19" fillId="10" borderId="21" xfId="2" applyFont="1" applyFill="1" applyBorder="1" applyAlignment="1">
      <alignment horizontal="center"/>
    </xf>
    <xf numFmtId="164" fontId="19" fillId="10" borderId="21" xfId="1" applyNumberFormat="1" applyFont="1" applyFill="1" applyBorder="1" applyAlignment="1">
      <alignment horizontal="center"/>
    </xf>
    <xf numFmtId="165" fontId="17" fillId="10" borderId="21" xfId="1" applyNumberFormat="1" applyFont="1" applyFill="1" applyBorder="1" applyAlignment="1">
      <alignment horizontal="center"/>
    </xf>
    <xf numFmtId="164" fontId="16" fillId="10" borderId="21" xfId="1" applyFont="1" applyFill="1" applyBorder="1"/>
    <xf numFmtId="164" fontId="16" fillId="10" borderId="22" xfId="1" applyFont="1" applyFill="1" applyBorder="1"/>
    <xf numFmtId="164" fontId="16" fillId="3" borderId="22" xfId="1" applyFont="1" applyFill="1" applyBorder="1"/>
    <xf numFmtId="164" fontId="17" fillId="10" borderId="21" xfId="2" applyFont="1" applyFill="1" applyBorder="1" applyAlignment="1">
      <alignment horizontal="center"/>
    </xf>
    <xf numFmtId="164" fontId="17" fillId="10" borderId="21" xfId="1" applyNumberFormat="1" applyFont="1" applyFill="1" applyBorder="1" applyAlignment="1">
      <alignment horizontal="center"/>
    </xf>
    <xf numFmtId="49" fontId="19" fillId="2" borderId="20" xfId="2" applyNumberFormat="1" applyFont="1" applyFill="1" applyBorder="1" applyAlignment="1">
      <alignment horizontal="center"/>
    </xf>
    <xf numFmtId="165" fontId="17" fillId="6" borderId="21" xfId="1" applyNumberFormat="1" applyFont="1" applyFill="1" applyBorder="1" applyAlignment="1">
      <alignment horizontal="center"/>
    </xf>
    <xf numFmtId="0" fontId="17" fillId="2" borderId="1" xfId="2" applyNumberFormat="1" applyFont="1" applyFill="1" applyBorder="1" applyAlignment="1">
      <alignment horizontal="left" wrapText="1"/>
    </xf>
    <xf numFmtId="0" fontId="16" fillId="0" borderId="1" xfId="0" applyFont="1" applyBorder="1" applyAlignment="1">
      <alignment horizontal="center"/>
    </xf>
    <xf numFmtId="164" fontId="17" fillId="3" borderId="1" xfId="1" applyNumberFormat="1" applyFont="1" applyFill="1" applyBorder="1" applyAlignment="1">
      <alignment horizontal="center"/>
    </xf>
    <xf numFmtId="164" fontId="16" fillId="3" borderId="29" xfId="1" applyFont="1" applyFill="1" applyBorder="1"/>
    <xf numFmtId="165" fontId="16" fillId="0" borderId="1" xfId="1" applyNumberFormat="1" applyFont="1" applyBorder="1"/>
    <xf numFmtId="164" fontId="16" fillId="0" borderId="1" xfId="1" applyFont="1" applyBorder="1"/>
    <xf numFmtId="164" fontId="16" fillId="0" borderId="2" xfId="1" applyFont="1" applyBorder="1"/>
    <xf numFmtId="0" fontId="17" fillId="2" borderId="0" xfId="2" applyNumberFormat="1" applyFont="1" applyFill="1" applyBorder="1" applyAlignment="1">
      <alignment horizontal="left" wrapText="1"/>
    </xf>
    <xf numFmtId="0" fontId="16" fillId="0" borderId="0" xfId="0" applyFont="1" applyBorder="1" applyAlignment="1">
      <alignment horizontal="center"/>
    </xf>
    <xf numFmtId="164" fontId="17" fillId="3" borderId="0" xfId="1" applyNumberFormat="1" applyFont="1" applyFill="1" applyBorder="1" applyAlignment="1">
      <alignment horizontal="center"/>
    </xf>
    <xf numFmtId="165" fontId="16" fillId="0" borderId="0" xfId="1" applyNumberFormat="1" applyFont="1" applyBorder="1"/>
    <xf numFmtId="164" fontId="16" fillId="0" borderId="0" xfId="1" applyFont="1" applyBorder="1"/>
    <xf numFmtId="49" fontId="19" fillId="5" borderId="20" xfId="2" applyNumberFormat="1" applyFont="1" applyFill="1" applyBorder="1" applyAlignment="1">
      <alignment horizontal="center"/>
    </xf>
    <xf numFmtId="0" fontId="18" fillId="5" borderId="21" xfId="2" applyNumberFormat="1" applyFont="1" applyFill="1" applyBorder="1" applyAlignment="1">
      <alignment horizontal="left" wrapText="1"/>
    </xf>
    <xf numFmtId="164" fontId="16" fillId="5" borderId="21" xfId="1" applyFont="1" applyFill="1" applyBorder="1"/>
    <xf numFmtId="164" fontId="16" fillId="5" borderId="22" xfId="1" applyFont="1" applyFill="1" applyBorder="1"/>
    <xf numFmtId="49" fontId="19" fillId="3" borderId="20" xfId="2" applyNumberFormat="1" applyFont="1" applyFill="1" applyBorder="1" applyAlignment="1">
      <alignment horizontal="center"/>
    </xf>
    <xf numFmtId="0" fontId="17" fillId="3" borderId="21" xfId="2" applyNumberFormat="1" applyFont="1" applyFill="1" applyBorder="1" applyAlignment="1">
      <alignment horizontal="left" wrapText="1"/>
    </xf>
    <xf numFmtId="164" fontId="17" fillId="3" borderId="21" xfId="2" applyFont="1" applyFill="1" applyBorder="1" applyAlignment="1">
      <alignment horizontal="center"/>
    </xf>
    <xf numFmtId="49" fontId="17" fillId="3" borderId="20" xfId="2" applyNumberFormat="1" applyFont="1" applyFill="1" applyBorder="1" applyAlignment="1">
      <alignment horizontal="center" vertical="top"/>
    </xf>
    <xf numFmtId="49" fontId="19" fillId="6" borderId="20" xfId="2" applyNumberFormat="1" applyFont="1" applyFill="1" applyBorder="1" applyAlignment="1">
      <alignment horizontal="center" vertical="justify"/>
    </xf>
    <xf numFmtId="0" fontId="18" fillId="6" borderId="21" xfId="2" applyNumberFormat="1" applyFont="1" applyFill="1" applyBorder="1" applyAlignment="1">
      <alignment horizontal="left" vertical="top"/>
    </xf>
    <xf numFmtId="164" fontId="17" fillId="6" borderId="21" xfId="2" applyFont="1" applyFill="1" applyBorder="1" applyAlignment="1">
      <alignment horizontal="center"/>
    </xf>
    <xf numFmtId="164" fontId="17" fillId="6" borderId="21" xfId="1" applyNumberFormat="1" applyFont="1" applyFill="1" applyBorder="1" applyAlignment="1">
      <alignment horizontal="center"/>
    </xf>
    <xf numFmtId="49" fontId="19" fillId="8" borderId="20" xfId="2" applyNumberFormat="1" applyFont="1" applyFill="1" applyBorder="1" applyAlignment="1">
      <alignment horizontal="center" vertical="justify"/>
    </xf>
    <xf numFmtId="0" fontId="18" fillId="8" borderId="21" xfId="2" applyNumberFormat="1" applyFont="1" applyFill="1" applyBorder="1" applyAlignment="1">
      <alignment horizontal="left" vertical="top"/>
    </xf>
    <xf numFmtId="164" fontId="17" fillId="8" borderId="21" xfId="2" applyFont="1" applyFill="1" applyBorder="1" applyAlignment="1">
      <alignment horizontal="center"/>
    </xf>
    <xf numFmtId="164" fontId="17" fillId="8" borderId="21" xfId="1" applyNumberFormat="1" applyFont="1" applyFill="1" applyBorder="1" applyAlignment="1">
      <alignment horizontal="center"/>
    </xf>
    <xf numFmtId="165" fontId="17" fillId="8" borderId="21" xfId="1" applyNumberFormat="1" applyFont="1" applyFill="1" applyBorder="1" applyAlignment="1">
      <alignment horizontal="center"/>
    </xf>
    <xf numFmtId="164" fontId="16" fillId="8" borderId="21" xfId="1" applyFont="1" applyFill="1" applyBorder="1"/>
    <xf numFmtId="164" fontId="16" fillId="8" borderId="22" xfId="1" applyFont="1" applyFill="1" applyBorder="1"/>
    <xf numFmtId="0" fontId="17" fillId="0" borderId="21" xfId="3" applyFont="1" applyBorder="1" applyAlignment="1">
      <alignment horizontal="left" wrapText="1"/>
    </xf>
    <xf numFmtId="0" fontId="17" fillId="0" borderId="21" xfId="3" applyFont="1" applyFill="1" applyBorder="1" applyAlignment="1">
      <alignment horizontal="center"/>
    </xf>
    <xf numFmtId="43" fontId="16" fillId="0" borderId="0" xfId="0" applyNumberFormat="1" applyFont="1" applyAlignment="1"/>
    <xf numFmtId="164" fontId="16" fillId="0" borderId="0" xfId="0" applyNumberFormat="1" applyFont="1" applyAlignment="1"/>
    <xf numFmtId="49" fontId="17" fillId="2" borderId="28" xfId="2" applyNumberFormat="1" applyFont="1" applyFill="1" applyBorder="1" applyAlignment="1">
      <alignment horizontal="center" vertical="top"/>
    </xf>
    <xf numFmtId="0" fontId="17" fillId="0" borderId="24" xfId="3" applyFont="1" applyBorder="1" applyAlignment="1">
      <alignment horizontal="left" wrapText="1"/>
    </xf>
    <xf numFmtId="0" fontId="17" fillId="0" borderId="24" xfId="3" applyFont="1" applyFill="1" applyBorder="1" applyAlignment="1">
      <alignment horizontal="center"/>
    </xf>
    <xf numFmtId="164" fontId="16" fillId="0" borderId="24" xfId="1" applyFont="1" applyBorder="1" applyAlignment="1"/>
    <xf numFmtId="164" fontId="16" fillId="0" borderId="29" xfId="1" applyFont="1" applyBorder="1" applyAlignment="1"/>
    <xf numFmtId="49" fontId="19" fillId="2" borderId="25" xfId="2" applyNumberFormat="1" applyFont="1" applyFill="1" applyBorder="1" applyAlignment="1">
      <alignment horizontal="center" vertical="justify"/>
    </xf>
    <xf numFmtId="164" fontId="19" fillId="2" borderId="26" xfId="2" applyFont="1" applyFill="1" applyBorder="1" applyAlignment="1">
      <alignment horizontal="center"/>
    </xf>
    <xf numFmtId="164" fontId="19" fillId="3" borderId="26" xfId="1" applyNumberFormat="1" applyFont="1" applyFill="1" applyBorder="1" applyAlignment="1">
      <alignment horizontal="center"/>
    </xf>
    <xf numFmtId="49" fontId="19" fillId="2" borderId="28" xfId="2" applyNumberFormat="1" applyFont="1" applyFill="1" applyBorder="1" applyAlignment="1">
      <alignment horizontal="center" vertical="justify"/>
    </xf>
    <xf numFmtId="164" fontId="19" fillId="2" borderId="24" xfId="2" applyFont="1" applyFill="1" applyBorder="1" applyAlignment="1">
      <alignment horizontal="center"/>
    </xf>
    <xf numFmtId="164" fontId="19" fillId="3" borderId="24" xfId="1" applyNumberFormat="1" applyFont="1" applyFill="1" applyBorder="1" applyAlignment="1">
      <alignment horizontal="center"/>
    </xf>
    <xf numFmtId="0" fontId="17" fillId="7" borderId="21" xfId="1" applyNumberFormat="1" applyFont="1" applyFill="1" applyBorder="1" applyAlignment="1">
      <alignment vertical="center" wrapText="1"/>
    </xf>
    <xf numFmtId="0" fontId="17" fillId="7" borderId="21" xfId="1" applyNumberFormat="1" applyFont="1" applyFill="1" applyBorder="1" applyAlignment="1">
      <alignment vertical="center"/>
    </xf>
    <xf numFmtId="0" fontId="17" fillId="7" borderId="22" xfId="1" applyNumberFormat="1" applyFont="1" applyFill="1" applyBorder="1" applyAlignment="1">
      <alignment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2" borderId="21" xfId="3" applyNumberFormat="1" applyFont="1" applyFill="1" applyBorder="1" applyAlignment="1">
      <alignment wrapText="1"/>
    </xf>
    <xf numFmtId="0" fontId="17" fillId="2" borderId="22" xfId="3" applyNumberFormat="1" applyFont="1" applyFill="1" applyBorder="1" applyAlignment="1">
      <alignment wrapText="1"/>
    </xf>
    <xf numFmtId="0" fontId="18" fillId="5" borderId="21" xfId="2" applyNumberFormat="1" applyFont="1" applyFill="1" applyBorder="1" applyAlignment="1">
      <alignment horizontal="left"/>
    </xf>
    <xf numFmtId="0" fontId="19" fillId="6" borderId="21" xfId="3" applyFont="1" applyFill="1" applyBorder="1" applyAlignment="1">
      <alignment horizontal="center"/>
    </xf>
    <xf numFmtId="164" fontId="19" fillId="6" borderId="21" xfId="1" applyNumberFormat="1" applyFont="1" applyFill="1" applyBorder="1" applyAlignment="1">
      <alignment horizontal="center"/>
    </xf>
    <xf numFmtId="165" fontId="19" fillId="6" borderId="21" xfId="1" applyNumberFormat="1" applyFont="1" applyFill="1" applyBorder="1" applyAlignment="1">
      <alignment horizontal="center"/>
    </xf>
    <xf numFmtId="0" fontId="17" fillId="3" borderId="21" xfId="2" applyNumberFormat="1" applyFont="1" applyFill="1" applyBorder="1" applyAlignment="1">
      <alignment horizontal="justify"/>
    </xf>
    <xf numFmtId="0" fontId="16" fillId="0" borderId="1" xfId="0" applyFont="1" applyBorder="1"/>
    <xf numFmtId="164" fontId="16" fillId="0" borderId="1" xfId="1" applyNumberFormat="1" applyFont="1" applyBorder="1"/>
    <xf numFmtId="0" fontId="17" fillId="2" borderId="22" xfId="2" applyNumberFormat="1" applyFont="1" applyFill="1" applyBorder="1" applyAlignment="1">
      <alignment vertical="top"/>
    </xf>
    <xf numFmtId="0" fontId="16" fillId="0" borderId="0" xfId="0" applyFont="1" applyAlignment="1">
      <alignment vertical="top"/>
    </xf>
    <xf numFmtId="164" fontId="15" fillId="0" borderId="1" xfId="1" applyNumberFormat="1" applyFont="1" applyBorder="1"/>
    <xf numFmtId="0" fontId="22" fillId="6" borderId="1" xfId="0" applyFont="1" applyFill="1" applyBorder="1"/>
    <xf numFmtId="164" fontId="15" fillId="6" borderId="1" xfId="1" applyNumberFormat="1" applyFont="1" applyFill="1" applyBorder="1"/>
    <xf numFmtId="0" fontId="17" fillId="2" borderId="17" xfId="2" applyNumberFormat="1" applyFont="1" applyFill="1" applyBorder="1" applyAlignment="1">
      <alignment horizontal="left" vertical="top" wrapText="1"/>
    </xf>
    <xf numFmtId="0" fontId="17" fillId="2" borderId="18" xfId="2" applyNumberFormat="1" applyFont="1" applyFill="1" applyBorder="1" applyAlignment="1">
      <alignment horizontal="left" vertical="top" wrapText="1"/>
    </xf>
    <xf numFmtId="0" fontId="17" fillId="2" borderId="19" xfId="2" applyNumberFormat="1" applyFont="1" applyFill="1" applyBorder="1" applyAlignment="1">
      <alignment horizontal="left" vertical="top" wrapText="1"/>
    </xf>
    <xf numFmtId="0" fontId="17" fillId="2" borderId="21" xfId="3" applyFont="1" applyFill="1" applyBorder="1" applyAlignment="1">
      <alignment horizontal="left" wrapText="1"/>
    </xf>
    <xf numFmtId="0" fontId="17" fillId="0" borderId="21" xfId="3" applyFont="1" applyBorder="1" applyAlignment="1">
      <alignment horizontal="center"/>
    </xf>
    <xf numFmtId="164" fontId="16" fillId="0" borderId="0" xfId="1" applyNumberFormat="1" applyFont="1" applyBorder="1"/>
    <xf numFmtId="0" fontId="18" fillId="6" borderId="21" xfId="2" applyNumberFormat="1" applyFont="1" applyFill="1" applyBorder="1" applyAlignment="1">
      <alignment horizontal="left"/>
    </xf>
    <xf numFmtId="0" fontId="17" fillId="6" borderId="21" xfId="2" applyNumberFormat="1" applyFont="1" applyFill="1" applyBorder="1" applyAlignment="1">
      <alignment horizontal="center"/>
    </xf>
    <xf numFmtId="164" fontId="17" fillId="6" borderId="22" xfId="2" applyFont="1" applyFill="1" applyBorder="1"/>
    <xf numFmtId="49" fontId="19" fillId="2" borderId="20" xfId="3" applyNumberFormat="1" applyFont="1" applyFill="1" applyBorder="1" applyAlignment="1">
      <alignment horizontal="center"/>
    </xf>
    <xf numFmtId="0" fontId="18" fillId="0" borderId="21" xfId="3" applyFont="1" applyFill="1" applyBorder="1" applyAlignment="1">
      <alignment horizontal="left" wrapText="1"/>
    </xf>
    <xf numFmtId="0" fontId="26" fillId="0" borderId="21" xfId="3" applyFont="1" applyFill="1" applyBorder="1" applyAlignment="1">
      <alignment horizontal="center"/>
    </xf>
    <xf numFmtId="164" fontId="26" fillId="3" borderId="21" xfId="1" applyNumberFormat="1" applyFont="1" applyFill="1" applyBorder="1" applyAlignment="1">
      <alignment horizontal="center"/>
    </xf>
    <xf numFmtId="165" fontId="19" fillId="2" borderId="21" xfId="1" applyNumberFormat="1" applyFont="1" applyFill="1" applyBorder="1" applyAlignment="1">
      <alignment horizontal="center"/>
    </xf>
    <xf numFmtId="49" fontId="19" fillId="6" borderId="20" xfId="1" applyNumberFormat="1" applyFont="1" applyFill="1" applyBorder="1" applyAlignment="1">
      <alignment horizontal="left" vertical="justify"/>
    </xf>
    <xf numFmtId="0" fontId="18" fillId="6" borderId="21" xfId="2" applyNumberFormat="1" applyFont="1" applyFill="1" applyBorder="1" applyAlignment="1">
      <alignment horizontal="justify"/>
    </xf>
    <xf numFmtId="164" fontId="19" fillId="6" borderId="21" xfId="2" applyFont="1" applyFill="1" applyBorder="1" applyAlignment="1">
      <alignment horizontal="center"/>
    </xf>
    <xf numFmtId="164" fontId="19" fillId="6" borderId="21" xfId="1" applyFont="1" applyFill="1" applyBorder="1" applyAlignment="1">
      <alignment horizontal="center"/>
    </xf>
    <xf numFmtId="49" fontId="19" fillId="10" borderId="20" xfId="1" applyNumberFormat="1" applyFont="1" applyFill="1" applyBorder="1" applyAlignment="1">
      <alignment horizontal="left" vertical="justify"/>
    </xf>
    <xf numFmtId="0" fontId="18" fillId="10" borderId="21" xfId="2" applyNumberFormat="1" applyFont="1" applyFill="1" applyBorder="1" applyAlignment="1">
      <alignment horizontal="justify"/>
    </xf>
    <xf numFmtId="164" fontId="17" fillId="10" borderId="21" xfId="1" applyFont="1" applyFill="1" applyBorder="1" applyAlignment="1">
      <alignment horizontal="center"/>
    </xf>
    <xf numFmtId="164" fontId="19" fillId="10" borderId="22" xfId="2" applyFont="1" applyFill="1" applyBorder="1"/>
    <xf numFmtId="49" fontId="17" fillId="3" borderId="20" xfId="1" applyNumberFormat="1" applyFont="1" applyFill="1" applyBorder="1" applyAlignment="1">
      <alignment horizontal="left" vertical="justify"/>
    </xf>
    <xf numFmtId="0" fontId="18" fillId="10" borderId="21" xfId="2" applyNumberFormat="1" applyFont="1" applyFill="1" applyBorder="1" applyAlignment="1">
      <alignment horizontal="left"/>
    </xf>
    <xf numFmtId="0" fontId="17" fillId="3" borderId="1" xfId="3" applyFont="1" applyFill="1" applyBorder="1" applyAlignment="1">
      <alignment horizontal="left" wrapText="1"/>
    </xf>
    <xf numFmtId="0" fontId="18" fillId="10" borderId="21" xfId="3" applyFont="1" applyFill="1" applyBorder="1" applyAlignment="1">
      <alignment horizontal="left" wrapText="1"/>
    </xf>
    <xf numFmtId="0" fontId="19" fillId="10" borderId="21" xfId="3" applyFont="1" applyFill="1" applyBorder="1" applyAlignment="1">
      <alignment horizontal="center"/>
    </xf>
    <xf numFmtId="49" fontId="17" fillId="3" borderId="28" xfId="1" applyNumberFormat="1" applyFont="1" applyFill="1" applyBorder="1" applyAlignment="1">
      <alignment horizontal="left" vertical="justify"/>
    </xf>
    <xf numFmtId="0" fontId="17" fillId="3" borderId="24" xfId="3" applyFont="1" applyFill="1" applyBorder="1" applyAlignment="1">
      <alignment horizontal="left" wrapText="1"/>
    </xf>
    <xf numFmtId="0" fontId="17" fillId="3" borderId="24" xfId="3" applyFont="1" applyFill="1" applyBorder="1" applyAlignment="1">
      <alignment horizontal="center"/>
    </xf>
    <xf numFmtId="164" fontId="17" fillId="3" borderId="24" xfId="1" applyFont="1" applyFill="1" applyBorder="1" applyAlignment="1">
      <alignment horizontal="center"/>
    </xf>
    <xf numFmtId="49" fontId="19" fillId="2" borderId="20" xfId="2" applyNumberFormat="1" applyFont="1" applyFill="1" applyBorder="1" applyAlignment="1">
      <alignment horizontal="left" vertical="justify"/>
    </xf>
    <xf numFmtId="164" fontId="17" fillId="2" borderId="21" xfId="1" applyNumberFormat="1" applyFont="1" applyFill="1" applyBorder="1" applyAlignment="1">
      <alignment horizontal="center"/>
    </xf>
    <xf numFmtId="49" fontId="17" fillId="2" borderId="20" xfId="2" applyNumberFormat="1" applyFont="1" applyFill="1" applyBorder="1" applyAlignment="1">
      <alignment horizontal="left" vertical="justify"/>
    </xf>
    <xf numFmtId="49" fontId="17" fillId="2" borderId="20" xfId="2" applyNumberFormat="1" applyFont="1" applyFill="1" applyBorder="1" applyAlignment="1">
      <alignment horizontal="left"/>
    </xf>
    <xf numFmtId="0" fontId="19" fillId="2" borderId="21" xfId="2" applyNumberFormat="1" applyFont="1" applyFill="1" applyBorder="1" applyAlignment="1">
      <alignment wrapText="1"/>
    </xf>
    <xf numFmtId="49" fontId="19" fillId="9" borderId="20" xfId="1" applyNumberFormat="1" applyFont="1" applyFill="1" applyBorder="1" applyAlignment="1">
      <alignment horizontal="left" vertical="justify"/>
    </xf>
    <xf numFmtId="0" fontId="18" fillId="9" borderId="21" xfId="2" applyNumberFormat="1" applyFont="1" applyFill="1" applyBorder="1" applyAlignment="1">
      <alignment horizontal="justify"/>
    </xf>
    <xf numFmtId="164" fontId="19" fillId="9" borderId="21" xfId="2" applyFont="1" applyFill="1" applyBorder="1" applyAlignment="1">
      <alignment horizontal="center"/>
    </xf>
    <xf numFmtId="164" fontId="19" fillId="9" borderId="21" xfId="1" applyFont="1" applyFill="1" applyBorder="1" applyAlignment="1">
      <alignment horizontal="center"/>
    </xf>
    <xf numFmtId="165" fontId="19" fillId="9" borderId="21" xfId="1" applyNumberFormat="1" applyFont="1" applyFill="1" applyBorder="1" applyAlignment="1">
      <alignment horizontal="center"/>
    </xf>
    <xf numFmtId="164" fontId="16" fillId="9" borderId="21" xfId="1" applyFont="1" applyFill="1" applyBorder="1"/>
    <xf numFmtId="164" fontId="16" fillId="9" borderId="22" xfId="1" applyFont="1" applyFill="1" applyBorder="1"/>
    <xf numFmtId="164" fontId="17" fillId="3" borderId="21" xfId="1" applyNumberFormat="1" applyFont="1" applyFill="1" applyBorder="1" applyAlignment="1"/>
    <xf numFmtId="164" fontId="15" fillId="3" borderId="22" xfId="1" applyFont="1" applyFill="1" applyBorder="1" applyAlignment="1"/>
    <xf numFmtId="164" fontId="15" fillId="3" borderId="22" xfId="1" applyFont="1" applyFill="1" applyBorder="1"/>
    <xf numFmtId="0" fontId="17" fillId="0" borderId="24" xfId="3" applyFont="1" applyBorder="1" applyAlignment="1">
      <alignment horizontal="center"/>
    </xf>
    <xf numFmtId="164" fontId="17" fillId="3" borderId="24" xfId="1" applyNumberFormat="1" applyFont="1" applyFill="1" applyBorder="1" applyAlignment="1"/>
    <xf numFmtId="164" fontId="15" fillId="3" borderId="29" xfId="1" applyFont="1" applyFill="1" applyBorder="1"/>
    <xf numFmtId="165" fontId="17" fillId="3" borderId="24" xfId="1" applyNumberFormat="1" applyFont="1" applyFill="1" applyBorder="1" applyAlignment="1">
      <alignment horizontal="center"/>
    </xf>
    <xf numFmtId="0" fontId="16" fillId="0" borderId="26" xfId="0" applyFont="1" applyBorder="1" applyAlignment="1">
      <alignment horizontal="center"/>
    </xf>
    <xf numFmtId="164" fontId="16" fillId="0" borderId="26" xfId="1" applyNumberFormat="1" applyFont="1" applyBorder="1"/>
    <xf numFmtId="165" fontId="16" fillId="0" borderId="26" xfId="1" applyNumberFormat="1" applyFont="1" applyBorder="1"/>
    <xf numFmtId="165" fontId="17" fillId="2" borderId="20" xfId="1" applyNumberFormat="1" applyFont="1" applyFill="1" applyBorder="1" applyAlignment="1">
      <alignment horizontal="left" vertical="justify"/>
    </xf>
    <xf numFmtId="165" fontId="19" fillId="5" borderId="20" xfId="1" applyNumberFormat="1" applyFont="1" applyFill="1" applyBorder="1" applyAlignment="1">
      <alignment horizontal="left" vertical="justify"/>
    </xf>
    <xf numFmtId="0" fontId="17" fillId="5" borderId="21" xfId="3" applyFont="1" applyFill="1" applyBorder="1" applyAlignment="1">
      <alignment horizontal="center"/>
    </xf>
    <xf numFmtId="164" fontId="17" fillId="5" borderId="21" xfId="1" applyFont="1" applyFill="1" applyBorder="1" applyAlignment="1">
      <alignment horizontal="center"/>
    </xf>
    <xf numFmtId="165" fontId="19" fillId="2" borderId="20" xfId="1" applyNumberFormat="1" applyFont="1" applyFill="1" applyBorder="1" applyAlignment="1">
      <alignment horizontal="left" vertical="justify"/>
    </xf>
    <xf numFmtId="0" fontId="19" fillId="0" borderId="21" xfId="3" applyFont="1" applyBorder="1" applyAlignment="1">
      <alignment horizontal="left" wrapText="1"/>
    </xf>
    <xf numFmtId="0" fontId="19" fillId="0" borderId="21" xfId="3" applyFont="1" applyBorder="1" applyAlignment="1">
      <alignment horizontal="center"/>
    </xf>
    <xf numFmtId="164" fontId="19" fillId="3" borderId="21" xfId="1" applyFont="1" applyFill="1" applyBorder="1" applyAlignment="1">
      <alignment horizontal="center"/>
    </xf>
    <xf numFmtId="165" fontId="19" fillId="11" borderId="20" xfId="1" applyNumberFormat="1" applyFont="1" applyFill="1" applyBorder="1" applyAlignment="1">
      <alignment horizontal="left" vertical="justify"/>
    </xf>
    <xf numFmtId="0" fontId="19" fillId="11" borderId="21" xfId="3" applyFont="1" applyFill="1" applyBorder="1" applyAlignment="1">
      <alignment horizontal="left" wrapText="1"/>
    </xf>
    <xf numFmtId="0" fontId="19" fillId="11" borderId="21" xfId="3" applyFont="1" applyFill="1" applyBorder="1" applyAlignment="1">
      <alignment horizontal="center"/>
    </xf>
    <xf numFmtId="164" fontId="19" fillId="11" borderId="21" xfId="1" applyFont="1" applyFill="1" applyBorder="1" applyAlignment="1">
      <alignment horizontal="center"/>
    </xf>
    <xf numFmtId="165" fontId="19" fillId="11" borderId="21" xfId="1" applyNumberFormat="1" applyFont="1" applyFill="1" applyBorder="1" applyAlignment="1">
      <alignment horizontal="center"/>
    </xf>
    <xf numFmtId="164" fontId="15" fillId="11" borderId="21" xfId="1" applyFont="1" applyFill="1" applyBorder="1"/>
    <xf numFmtId="164" fontId="15" fillId="11" borderId="22" xfId="1" applyFont="1" applyFill="1" applyBorder="1"/>
    <xf numFmtId="165" fontId="19" fillId="2" borderId="20" xfId="1" applyNumberFormat="1" applyFont="1" applyFill="1" applyBorder="1" applyAlignment="1">
      <alignment horizontal="left"/>
    </xf>
    <xf numFmtId="0" fontId="18" fillId="0" borderId="21" xfId="3" applyNumberFormat="1" applyFont="1" applyBorder="1" applyAlignment="1">
      <alignment horizontal="left"/>
    </xf>
    <xf numFmtId="165" fontId="19" fillId="3" borderId="20" xfId="1" applyNumberFormat="1" applyFont="1" applyFill="1" applyBorder="1" applyAlignment="1">
      <alignment horizontal="left" vertical="justify"/>
    </xf>
    <xf numFmtId="0" fontId="19" fillId="3" borderId="21" xfId="3" applyFont="1" applyFill="1" applyBorder="1" applyAlignment="1">
      <alignment horizontal="left" wrapText="1"/>
    </xf>
    <xf numFmtId="0" fontId="19" fillId="3" borderId="21" xfId="3" applyFont="1" applyFill="1" applyBorder="1" applyAlignment="1">
      <alignment horizontal="center"/>
    </xf>
    <xf numFmtId="165" fontId="19" fillId="3" borderId="21" xfId="1" applyNumberFormat="1" applyFont="1" applyFill="1" applyBorder="1" applyAlignment="1">
      <alignment horizontal="center"/>
    </xf>
    <xf numFmtId="164" fontId="15" fillId="3" borderId="21" xfId="1" applyFont="1" applyFill="1" applyBorder="1"/>
    <xf numFmtId="165" fontId="17" fillId="2" borderId="25" xfId="1" applyNumberFormat="1" applyFont="1" applyFill="1" applyBorder="1" applyAlignment="1">
      <alignment horizontal="left" vertical="justify"/>
    </xf>
    <xf numFmtId="165" fontId="17" fillId="2" borderId="28" xfId="1" applyNumberFormat="1" applyFont="1" applyFill="1" applyBorder="1" applyAlignment="1">
      <alignment horizontal="left" vertical="justify"/>
    </xf>
    <xf numFmtId="165" fontId="17" fillId="5" borderId="20" xfId="1" applyNumberFormat="1" applyFont="1" applyFill="1" applyBorder="1" applyAlignment="1">
      <alignment horizontal="left" vertical="justify"/>
    </xf>
    <xf numFmtId="165" fontId="17" fillId="3" borderId="20" xfId="1" applyNumberFormat="1" applyFont="1" applyFill="1" applyBorder="1" applyAlignment="1">
      <alignment horizontal="left" vertical="justify"/>
    </xf>
    <xf numFmtId="0" fontId="18" fillId="3" borderId="21" xfId="2" applyNumberFormat="1" applyFont="1" applyFill="1" applyBorder="1" applyAlignment="1">
      <alignment horizontal="left"/>
    </xf>
    <xf numFmtId="0" fontId="16" fillId="0" borderId="2" xfId="0" applyFont="1" applyBorder="1" applyAlignment="1"/>
    <xf numFmtId="49" fontId="17" fillId="3" borderId="20" xfId="0" applyNumberFormat="1" applyFont="1" applyFill="1" applyBorder="1" applyAlignment="1">
      <alignment horizontal="center" vertical="center"/>
    </xf>
    <xf numFmtId="0" fontId="18" fillId="3" borderId="21" xfId="0" applyFont="1" applyFill="1" applyBorder="1" applyAlignment="1">
      <alignment vertical="center" wrapText="1"/>
    </xf>
    <xf numFmtId="0" fontId="17" fillId="3" borderId="21" xfId="0" applyFont="1" applyFill="1" applyBorder="1" applyAlignment="1">
      <alignment horizontal="center" vertical="center"/>
    </xf>
    <xf numFmtId="164" fontId="17" fillId="3" borderId="21"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xf>
    <xf numFmtId="0" fontId="18" fillId="6" borderId="21" xfId="0" applyFont="1" applyFill="1" applyBorder="1" applyAlignment="1">
      <alignment vertical="center" wrapText="1"/>
    </xf>
    <xf numFmtId="0" fontId="17" fillId="6" borderId="21" xfId="0" applyFont="1" applyFill="1" applyBorder="1" applyAlignment="1">
      <alignment horizontal="center" vertical="center"/>
    </xf>
    <xf numFmtId="164" fontId="17" fillId="6" borderId="21" xfId="0" applyNumberFormat="1" applyFont="1" applyFill="1" applyBorder="1" applyAlignment="1">
      <alignment horizontal="center" vertical="center"/>
    </xf>
    <xf numFmtId="0" fontId="17" fillId="3" borderId="21" xfId="0" applyFont="1" applyFill="1" applyBorder="1" applyAlignment="1">
      <alignment vertical="center" wrapText="1"/>
    </xf>
    <xf numFmtId="0" fontId="21" fillId="3" borderId="21" xfId="0" applyFont="1" applyFill="1" applyBorder="1" applyAlignment="1">
      <alignment vertical="center" wrapText="1"/>
    </xf>
    <xf numFmtId="49" fontId="17" fillId="3" borderId="28" xfId="0" applyNumberFormat="1" applyFont="1" applyFill="1" applyBorder="1" applyAlignment="1">
      <alignment horizontal="center" vertical="center"/>
    </xf>
    <xf numFmtId="0" fontId="17" fillId="3" borderId="24" xfId="0" applyFont="1" applyFill="1" applyBorder="1" applyAlignment="1">
      <alignment vertical="center" wrapText="1"/>
    </xf>
    <xf numFmtId="0" fontId="17" fillId="3" borderId="24" xfId="0" applyFont="1" applyFill="1" applyBorder="1" applyAlignment="1">
      <alignment horizontal="center" vertical="center"/>
    </xf>
    <xf numFmtId="164" fontId="17" fillId="3" borderId="24" xfId="0" applyNumberFormat="1" applyFont="1" applyFill="1" applyBorder="1" applyAlignment="1">
      <alignment horizontal="center" vertical="center"/>
    </xf>
    <xf numFmtId="49" fontId="19" fillId="3" borderId="20" xfId="0" applyNumberFormat="1" applyFont="1" applyFill="1" applyBorder="1" applyAlignment="1">
      <alignment horizontal="center" vertical="top"/>
    </xf>
    <xf numFmtId="0" fontId="18" fillId="3" borderId="21" xfId="0" applyFont="1" applyFill="1" applyBorder="1" applyAlignment="1">
      <alignment vertical="justify" wrapText="1"/>
    </xf>
    <xf numFmtId="49" fontId="17" fillId="3" borderId="20" xfId="0" applyNumberFormat="1" applyFont="1" applyFill="1" applyBorder="1" applyAlignment="1">
      <alignment horizontal="center" vertical="top"/>
    </xf>
    <xf numFmtId="0" fontId="17" fillId="3" borderId="21" xfId="0" applyFont="1" applyFill="1" applyBorder="1" applyAlignment="1">
      <alignment wrapText="1"/>
    </xf>
    <xf numFmtId="0" fontId="17" fillId="3" borderId="21" xfId="0" applyFont="1" applyFill="1" applyBorder="1" applyAlignment="1">
      <alignment horizontal="center"/>
    </xf>
    <xf numFmtId="164" fontId="17" fillId="3" borderId="21" xfId="0" applyNumberFormat="1" applyFont="1" applyFill="1" applyBorder="1" applyAlignment="1">
      <alignment horizontal="center"/>
    </xf>
    <xf numFmtId="0" fontId="17" fillId="3" borderId="21" xfId="0" applyFont="1" applyFill="1" applyBorder="1" applyAlignment="1">
      <alignment vertical="justify" wrapText="1"/>
    </xf>
    <xf numFmtId="0" fontId="19" fillId="3" borderId="21" xfId="0" applyFont="1" applyFill="1" applyBorder="1" applyAlignment="1">
      <alignment horizontal="center" vertical="center"/>
    </xf>
    <xf numFmtId="164" fontId="19" fillId="3" borderId="21" xfId="0" applyNumberFormat="1" applyFont="1" applyFill="1" applyBorder="1" applyAlignment="1">
      <alignment horizontal="center" vertical="center"/>
    </xf>
    <xf numFmtId="0" fontId="17" fillId="3" borderId="21" xfId="0" applyFont="1" applyFill="1" applyBorder="1" applyAlignment="1">
      <alignment vertical="top" wrapText="1"/>
    </xf>
    <xf numFmtId="49" fontId="17" fillId="3" borderId="28" xfId="0" applyNumberFormat="1" applyFont="1" applyFill="1" applyBorder="1" applyAlignment="1">
      <alignment horizontal="center" vertical="top"/>
    </xf>
    <xf numFmtId="0" fontId="17" fillId="3" borderId="24" xfId="0" applyFont="1" applyFill="1" applyBorder="1" applyAlignment="1">
      <alignment vertical="justify" wrapText="1"/>
    </xf>
    <xf numFmtId="168" fontId="2" fillId="12" borderId="20" xfId="4" applyNumberFormat="1" applyFont="1" applyFill="1" applyBorder="1" applyAlignment="1" applyProtection="1">
      <alignment horizontal="left" wrapText="1"/>
    </xf>
    <xf numFmtId="167" fontId="28" fillId="12" borderId="21" xfId="4" applyFont="1" applyFill="1" applyBorder="1" applyAlignment="1" applyProtection="1">
      <alignment horizontal="justify" wrapText="1"/>
    </xf>
    <xf numFmtId="164" fontId="29" fillId="0" borderId="21" xfId="1" applyFont="1" applyFill="1" applyBorder="1" applyAlignment="1" applyProtection="1">
      <alignment horizontal="center"/>
    </xf>
    <xf numFmtId="0" fontId="29" fillId="0" borderId="21" xfId="5" applyFont="1" applyFill="1" applyBorder="1" applyAlignment="1">
      <alignment horizontal="center"/>
    </xf>
    <xf numFmtId="167" fontId="31" fillId="0" borderId="21" xfId="6" applyNumberFormat="1" applyFont="1" applyFill="1" applyBorder="1" applyAlignment="1" applyProtection="1">
      <alignment horizontal="right"/>
    </xf>
    <xf numFmtId="164" fontId="30" fillId="0" borderId="22" xfId="1" applyFont="1" applyBorder="1"/>
    <xf numFmtId="170" fontId="17" fillId="0" borderId="20" xfId="4" applyNumberFormat="1" applyFont="1" applyFill="1" applyBorder="1" applyAlignment="1" applyProtection="1">
      <alignment horizontal="left" wrapText="1"/>
    </xf>
    <xf numFmtId="167" fontId="16" fillId="12" borderId="21" xfId="4" applyFont="1" applyFill="1" applyBorder="1" applyAlignment="1" applyProtection="1">
      <alignment horizontal="left" wrapText="1"/>
    </xf>
    <xf numFmtId="164" fontId="16" fillId="0" borderId="21" xfId="1" applyFont="1" applyFill="1" applyBorder="1" applyAlignment="1" applyProtection="1">
      <alignment horizontal="center"/>
    </xf>
    <xf numFmtId="167" fontId="16" fillId="0" borderId="21" xfId="6" applyNumberFormat="1" applyFont="1" applyFill="1" applyBorder="1" applyAlignment="1" applyProtection="1">
      <alignment horizontal="right"/>
    </xf>
    <xf numFmtId="49" fontId="16" fillId="3" borderId="28" xfId="0" applyNumberFormat="1" applyFont="1" applyFill="1" applyBorder="1"/>
    <xf numFmtId="0" fontId="16" fillId="3" borderId="24" xfId="0" applyFont="1" applyFill="1" applyBorder="1" applyAlignment="1">
      <alignment wrapText="1"/>
    </xf>
    <xf numFmtId="0" fontId="16" fillId="3" borderId="24" xfId="0" applyFont="1" applyFill="1" applyBorder="1" applyAlignment="1">
      <alignment horizontal="center"/>
    </xf>
    <xf numFmtId="164" fontId="16" fillId="3" borderId="24" xfId="1" applyNumberFormat="1" applyFont="1" applyFill="1" applyBorder="1"/>
    <xf numFmtId="0" fontId="18" fillId="2" borderId="21" xfId="2" quotePrefix="1" applyNumberFormat="1" applyFont="1" applyFill="1" applyBorder="1" applyAlignment="1">
      <alignment horizontal="left"/>
    </xf>
    <xf numFmtId="0" fontId="17" fillId="2" borderId="21" xfId="2" quotePrefix="1" applyNumberFormat="1" applyFont="1" applyFill="1" applyBorder="1" applyAlignment="1">
      <alignment horizontal="left"/>
    </xf>
    <xf numFmtId="0" fontId="21" fillId="2" borderId="21" xfId="2" quotePrefix="1" applyNumberFormat="1" applyFont="1" applyFill="1" applyBorder="1" applyAlignment="1">
      <alignment horizontal="left"/>
    </xf>
    <xf numFmtId="0" fontId="17" fillId="2" borderId="24" xfId="2" quotePrefix="1" applyNumberFormat="1" applyFont="1" applyFill="1" applyBorder="1" applyAlignment="1">
      <alignment horizontal="left"/>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1" fillId="0" borderId="0" xfId="0"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7" fillId="0" borderId="17" xfId="3" applyFont="1" applyBorder="1" applyAlignment="1">
      <alignment horizontal="left" wrapText="1"/>
    </xf>
    <xf numFmtId="0" fontId="17" fillId="0" borderId="18" xfId="3" applyFont="1" applyBorder="1" applyAlignment="1">
      <alignment horizontal="left" wrapText="1"/>
    </xf>
    <xf numFmtId="0" fontId="17" fillId="0" borderId="19" xfId="3" applyFont="1" applyBorder="1" applyAlignment="1">
      <alignment horizontal="left" wrapText="1"/>
    </xf>
    <xf numFmtId="0" fontId="19" fillId="2" borderId="13" xfId="2" applyNumberFormat="1" applyFont="1" applyFill="1" applyBorder="1" applyAlignment="1">
      <alignment horizontal="left" wrapText="1"/>
    </xf>
    <xf numFmtId="0" fontId="19" fillId="2" borderId="0" xfId="2" applyNumberFormat="1" applyFont="1" applyFill="1" applyBorder="1" applyAlignment="1">
      <alignment horizontal="left" wrapText="1"/>
    </xf>
    <xf numFmtId="0" fontId="19" fillId="2" borderId="23" xfId="2" applyNumberFormat="1" applyFont="1" applyFill="1" applyBorder="1" applyAlignment="1">
      <alignment horizontal="left" wrapText="1"/>
    </xf>
    <xf numFmtId="0" fontId="19" fillId="2" borderId="17" xfId="2" applyNumberFormat="1" applyFont="1" applyFill="1" applyBorder="1" applyAlignment="1">
      <alignment horizontal="left" wrapText="1"/>
    </xf>
    <xf numFmtId="0" fontId="19" fillId="2" borderId="18" xfId="2" applyNumberFormat="1" applyFont="1" applyFill="1" applyBorder="1" applyAlignment="1">
      <alignment horizontal="left" wrapText="1"/>
    </xf>
    <xf numFmtId="0" fontId="19" fillId="2" borderId="19" xfId="2" applyNumberFormat="1" applyFont="1" applyFill="1" applyBorder="1" applyAlignment="1">
      <alignment horizontal="left" wrapText="1"/>
    </xf>
    <xf numFmtId="0" fontId="17" fillId="0" borderId="14" xfId="3" applyFont="1" applyBorder="1" applyAlignment="1">
      <alignment horizontal="left" wrapText="1"/>
    </xf>
    <xf numFmtId="0" fontId="17" fillId="0" borderId="15" xfId="3" applyFont="1" applyBorder="1" applyAlignment="1">
      <alignment horizontal="left" wrapText="1"/>
    </xf>
    <xf numFmtId="0" fontId="17" fillId="0" borderId="16" xfId="3" applyFont="1" applyBorder="1" applyAlignment="1">
      <alignment horizontal="left" wrapText="1"/>
    </xf>
    <xf numFmtId="0" fontId="17" fillId="0" borderId="13" xfId="3" applyFont="1" applyBorder="1" applyAlignment="1">
      <alignment horizontal="left" wrapText="1"/>
    </xf>
    <xf numFmtId="0" fontId="17" fillId="0" borderId="0" xfId="3" applyFont="1" applyBorder="1" applyAlignment="1">
      <alignment horizontal="left" wrapText="1"/>
    </xf>
    <xf numFmtId="0" fontId="17" fillId="0" borderId="23" xfId="3" applyFont="1" applyBorder="1" applyAlignment="1">
      <alignment horizontal="left" wrapText="1"/>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7" fillId="2" borderId="14" xfId="2" applyNumberFormat="1" applyFont="1" applyFill="1" applyBorder="1" applyAlignment="1">
      <alignment horizontal="left" wrapText="1"/>
    </xf>
    <xf numFmtId="0" fontId="17" fillId="2" borderId="15" xfId="2" applyNumberFormat="1" applyFont="1" applyFill="1" applyBorder="1" applyAlignment="1">
      <alignment horizontal="left" wrapText="1"/>
    </xf>
    <xf numFmtId="0" fontId="17" fillId="2" borderId="16" xfId="2" applyNumberFormat="1" applyFont="1" applyFill="1" applyBorder="1" applyAlignment="1">
      <alignment horizontal="left" wrapText="1"/>
    </xf>
    <xf numFmtId="0" fontId="17" fillId="2" borderId="13" xfId="2" applyNumberFormat="1" applyFont="1" applyFill="1" applyBorder="1" applyAlignment="1">
      <alignment horizontal="left" wrapText="1"/>
    </xf>
    <xf numFmtId="0" fontId="17" fillId="2" borderId="0" xfId="2" applyNumberFormat="1" applyFont="1" applyFill="1" applyBorder="1" applyAlignment="1">
      <alignment horizontal="left" wrapText="1"/>
    </xf>
    <xf numFmtId="0" fontId="17" fillId="2" borderId="23" xfId="2" applyNumberFormat="1" applyFont="1" applyFill="1" applyBorder="1" applyAlignment="1">
      <alignment horizontal="left" wrapText="1"/>
    </xf>
    <xf numFmtId="49" fontId="22" fillId="0" borderId="0" xfId="0" applyNumberFormat="1" applyFont="1" applyAlignment="1">
      <alignment horizontal="center"/>
    </xf>
    <xf numFmtId="0" fontId="19" fillId="2" borderId="21" xfId="2" applyNumberFormat="1" applyFont="1" applyFill="1" applyBorder="1" applyAlignment="1">
      <alignment horizontal="left" wrapText="1"/>
    </xf>
    <xf numFmtId="0" fontId="19" fillId="2" borderId="21" xfId="2" applyNumberFormat="1" applyFont="1" applyFill="1" applyBorder="1" applyAlignment="1">
      <alignment horizontal="left"/>
    </xf>
    <xf numFmtId="0" fontId="19" fillId="2" borderId="22" xfId="2" applyNumberFormat="1" applyFont="1" applyFill="1" applyBorder="1" applyAlignment="1">
      <alignment horizontal="left"/>
    </xf>
    <xf numFmtId="0" fontId="17" fillId="2" borderId="14" xfId="2" applyNumberFormat="1" applyFont="1" applyFill="1" applyBorder="1" applyAlignment="1">
      <alignment horizontal="left" vertical="top" wrapText="1"/>
    </xf>
    <xf numFmtId="0" fontId="17" fillId="2" borderId="15" xfId="2" applyNumberFormat="1" applyFont="1" applyFill="1" applyBorder="1" applyAlignment="1">
      <alignment horizontal="left" vertical="top" wrapText="1"/>
    </xf>
    <xf numFmtId="0" fontId="17" fillId="2" borderId="16" xfId="2" applyNumberFormat="1" applyFont="1" applyFill="1" applyBorder="1" applyAlignment="1">
      <alignment horizontal="left" vertical="top" wrapText="1"/>
    </xf>
  </cellXfs>
  <cellStyles count="7">
    <cellStyle name="Comma" xfId="1" builtinId="3"/>
    <cellStyle name="Comma 2" xfId="2"/>
    <cellStyle name="Comma 2 2" xfId="4"/>
    <cellStyle name="Currency 2 2" xfId="6"/>
    <cellStyle name="Normal" xfId="0" builtinId="0"/>
    <cellStyle name="Normal 2" xfId="3"/>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2130937</xdr:colOff>
      <xdr:row>29</xdr:row>
      <xdr:rowOff>104775</xdr:rowOff>
    </xdr:from>
    <xdr:to>
      <xdr:col>0</xdr:col>
      <xdr:colOff>4171950</xdr:colOff>
      <xdr:row>30</xdr:row>
      <xdr:rowOff>762000</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0937" y="6972300"/>
          <a:ext cx="2041013"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47625</xdr:rowOff>
    </xdr:from>
    <xdr:to>
      <xdr:col>6</xdr:col>
      <xdr:colOff>771525</xdr:colOff>
      <xdr:row>54</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33"/>
  <sheetViews>
    <sheetView tabSelected="1" workbookViewId="0">
      <selection activeCell="A18" sqref="A18"/>
    </sheetView>
  </sheetViews>
  <sheetFormatPr defaultRowHeight="15" x14ac:dyDescent="0.25"/>
  <cols>
    <col min="1" max="1" width="100.85546875" style="18" customWidth="1"/>
    <col min="2" max="16384" width="9.140625" style="18"/>
  </cols>
  <sheetData>
    <row r="10" spans="1:1" ht="33.75" x14ac:dyDescent="0.65">
      <c r="A10" s="17" t="s">
        <v>454</v>
      </c>
    </row>
    <row r="11" spans="1:1" ht="18.75" x14ac:dyDescent="0.4">
      <c r="A11" s="19"/>
    </row>
    <row r="12" spans="1:1" ht="18.75" x14ac:dyDescent="0.4">
      <c r="A12" s="19"/>
    </row>
    <row r="13" spans="1:1" ht="18.75" x14ac:dyDescent="0.4">
      <c r="A13" s="19"/>
    </row>
    <row r="14" spans="1:1" ht="24.75" x14ac:dyDescent="0.5">
      <c r="A14" s="20"/>
    </row>
    <row r="15" spans="1:1" ht="18.75" x14ac:dyDescent="0.4">
      <c r="A15" s="19"/>
    </row>
    <row r="16" spans="1:1" ht="18.75" x14ac:dyDescent="0.4">
      <c r="A16" s="19"/>
    </row>
    <row r="17" spans="1:1" s="22" customFormat="1" ht="47.25" customHeight="1" x14ac:dyDescent="0.25">
      <c r="A17" s="21" t="s">
        <v>566</v>
      </c>
    </row>
    <row r="23" spans="1:1" ht="18.75" x14ac:dyDescent="0.4">
      <c r="A23" s="23" t="s">
        <v>430</v>
      </c>
    </row>
    <row r="24" spans="1:1" ht="18.75" x14ac:dyDescent="0.4">
      <c r="A24" s="24" t="s">
        <v>428</v>
      </c>
    </row>
    <row r="25" spans="1:1" ht="18.75" x14ac:dyDescent="0.4">
      <c r="A25" s="24" t="s">
        <v>429</v>
      </c>
    </row>
    <row r="26" spans="1:1" ht="18.75" x14ac:dyDescent="0.4">
      <c r="A26" s="19"/>
    </row>
    <row r="27" spans="1:1" ht="18.75" x14ac:dyDescent="0.4">
      <c r="A27" s="19"/>
    </row>
    <row r="28" spans="1:1" ht="18.75" x14ac:dyDescent="0.4">
      <c r="A28" s="19"/>
    </row>
    <row r="29" spans="1:1" ht="18.75" x14ac:dyDescent="0.4">
      <c r="A29" s="23" t="s">
        <v>165</v>
      </c>
    </row>
    <row r="30" spans="1:1" ht="18.75" customHeight="1" x14ac:dyDescent="0.25">
      <c r="A30" s="416"/>
    </row>
    <row r="31" spans="1:1" ht="65.25" customHeight="1" x14ac:dyDescent="0.25">
      <c r="A31" s="416"/>
    </row>
    <row r="32" spans="1:1" ht="18.75" x14ac:dyDescent="0.4">
      <c r="A32" s="25"/>
    </row>
    <row r="33" spans="1:1" ht="18.75" x14ac:dyDescent="0.4">
      <c r="A33" s="19"/>
    </row>
  </sheetData>
  <mergeCells count="1">
    <mergeCell ref="A30:A31"/>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6" workbookViewId="0">
      <selection activeCell="B8" sqref="B8"/>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17" t="s">
        <v>505</v>
      </c>
      <c r="B1" s="417"/>
      <c r="C1" s="417"/>
    </row>
    <row r="2" spans="1:6" ht="15.75" x14ac:dyDescent="0.25">
      <c r="A2" s="418" t="s">
        <v>75</v>
      </c>
      <c r="B2" s="418"/>
      <c r="C2" s="418"/>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Boq!G44</f>
        <v>0</v>
      </c>
    </row>
    <row r="6" spans="1:6" ht="24.95" customHeight="1" x14ac:dyDescent="0.25">
      <c r="A6" s="10" t="s">
        <v>80</v>
      </c>
      <c r="B6" s="11" t="s">
        <v>81</v>
      </c>
      <c r="C6" s="12">
        <f>Boq!G80</f>
        <v>0</v>
      </c>
    </row>
    <row r="7" spans="1:6" ht="24.95" customHeight="1" x14ac:dyDescent="0.25">
      <c r="A7" s="10" t="s">
        <v>82</v>
      </c>
      <c r="B7" s="11" t="s">
        <v>83</v>
      </c>
      <c r="C7" s="12">
        <f>Boq!G427</f>
        <v>0</v>
      </c>
    </row>
    <row r="8" spans="1:6" ht="24.95" customHeight="1" x14ac:dyDescent="0.25">
      <c r="A8" s="10" t="s">
        <v>84</v>
      </c>
      <c r="B8" s="11" t="s">
        <v>85</v>
      </c>
      <c r="C8" s="12">
        <f>Boq!G498</f>
        <v>0</v>
      </c>
    </row>
    <row r="9" spans="1:6" ht="24.95" customHeight="1" x14ac:dyDescent="0.25">
      <c r="A9" s="10" t="s">
        <v>86</v>
      </c>
      <c r="B9" s="11" t="s">
        <v>87</v>
      </c>
      <c r="C9" s="12">
        <f>Boq!G640</f>
        <v>0</v>
      </c>
    </row>
    <row r="10" spans="1:6" ht="24.95" customHeight="1" x14ac:dyDescent="0.25">
      <c r="A10" s="10" t="s">
        <v>88</v>
      </c>
      <c r="B10" s="11" t="s">
        <v>90</v>
      </c>
      <c r="C10" s="12">
        <f>Boq!G705</f>
        <v>0</v>
      </c>
    </row>
    <row r="11" spans="1:6" ht="24.95" customHeight="1" x14ac:dyDescent="0.25">
      <c r="A11" s="10" t="s">
        <v>89</v>
      </c>
      <c r="B11" s="11" t="s">
        <v>92</v>
      </c>
      <c r="C11" s="12">
        <f>Boq!G751</f>
        <v>0</v>
      </c>
    </row>
    <row r="12" spans="1:6" ht="24.95" customHeight="1" x14ac:dyDescent="0.25">
      <c r="A12" s="10" t="s">
        <v>91</v>
      </c>
      <c r="B12" s="11" t="s">
        <v>94</v>
      </c>
      <c r="C12" s="12">
        <f>Boq!G784</f>
        <v>0</v>
      </c>
    </row>
    <row r="13" spans="1:6" ht="24.95" customHeight="1" x14ac:dyDescent="0.25">
      <c r="A13" s="10" t="s">
        <v>93</v>
      </c>
      <c r="B13" s="11" t="s">
        <v>96</v>
      </c>
      <c r="C13" s="12">
        <f>Boq!G867</f>
        <v>0</v>
      </c>
    </row>
    <row r="14" spans="1:6" ht="24.95" customHeight="1" x14ac:dyDescent="0.25">
      <c r="A14" s="10" t="s">
        <v>95</v>
      </c>
      <c r="B14" s="11" t="s">
        <v>98</v>
      </c>
      <c r="C14" s="12">
        <f>Boq!G951</f>
        <v>0</v>
      </c>
    </row>
    <row r="15" spans="1:6" ht="24.95" customHeight="1" x14ac:dyDescent="0.25">
      <c r="A15" s="10" t="s">
        <v>97</v>
      </c>
      <c r="B15" s="11" t="s">
        <v>99</v>
      </c>
      <c r="C15" s="12">
        <f>Boq!G1114</f>
        <v>0</v>
      </c>
    </row>
    <row r="16" spans="1:6" ht="24.95" customHeight="1" x14ac:dyDescent="0.25">
      <c r="A16" s="10" t="s">
        <v>377</v>
      </c>
      <c r="B16" s="11" t="s">
        <v>378</v>
      </c>
      <c r="C16" s="12">
        <f>Boq!G1164</f>
        <v>0</v>
      </c>
      <c r="F16" s="16"/>
    </row>
    <row r="17" spans="1:6" ht="24.95" customHeight="1" x14ac:dyDescent="0.25">
      <c r="A17" s="10" t="s">
        <v>409</v>
      </c>
      <c r="B17" s="11" t="s">
        <v>565</v>
      </c>
      <c r="C17" s="12">
        <f>Boq!G1334</f>
        <v>0</v>
      </c>
      <c r="F17" s="16" t="e">
        <f>C20/#REF!</f>
        <v>#REF!</v>
      </c>
    </row>
    <row r="18" spans="1:6" ht="24.95" customHeight="1" x14ac:dyDescent="0.25">
      <c r="A18" s="10" t="s">
        <v>410</v>
      </c>
      <c r="B18" s="11" t="s">
        <v>411</v>
      </c>
      <c r="C18" s="12">
        <f>Boq!G1393</f>
        <v>0</v>
      </c>
    </row>
    <row r="19" spans="1:6" ht="24.95" customHeight="1" thickBot="1" x14ac:dyDescent="0.3">
      <c r="A19" s="10" t="s">
        <v>564</v>
      </c>
      <c r="B19" s="11" t="s">
        <v>412</v>
      </c>
      <c r="C19" s="12">
        <f>-Boq!G1452</f>
        <v>0</v>
      </c>
      <c r="F19" s="16">
        <f>C20*3%</f>
        <v>0</v>
      </c>
    </row>
    <row r="20" spans="1:6" ht="24.95" customHeight="1" thickTop="1" thickBot="1" x14ac:dyDescent="0.3">
      <c r="A20" s="13"/>
      <c r="B20" s="14" t="s">
        <v>373</v>
      </c>
      <c r="C20" s="15">
        <f>SUM(C5:C19)</f>
        <v>0</v>
      </c>
      <c r="F20" s="16">
        <f>C20*0.05</f>
        <v>0</v>
      </c>
    </row>
    <row r="21" spans="1:6" ht="24.95" customHeight="1" thickTop="1" thickBot="1" x14ac:dyDescent="0.3">
      <c r="A21" s="13"/>
      <c r="B21" s="14" t="s">
        <v>374</v>
      </c>
      <c r="C21" s="15">
        <f>C20*6%</f>
        <v>0</v>
      </c>
    </row>
    <row r="22" spans="1:6" ht="31.5" customHeight="1" thickTop="1" thickBot="1" x14ac:dyDescent="0.3">
      <c r="A22" s="13"/>
      <c r="B22" s="14" t="s">
        <v>375</v>
      </c>
      <c r="C22" s="1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52"/>
  <sheetViews>
    <sheetView view="pageBreakPreview" topLeftCell="A64" zoomScaleNormal="100" zoomScaleSheetLayoutView="100" workbookViewId="0">
      <selection activeCell="B72" sqref="B72"/>
    </sheetView>
  </sheetViews>
  <sheetFormatPr defaultRowHeight="12" x14ac:dyDescent="0.2"/>
  <cols>
    <col min="1" max="1" width="6.85546875" style="27" customWidth="1"/>
    <col min="2" max="2" width="37.85546875" style="28" customWidth="1"/>
    <col min="3" max="3" width="5.140625" style="29" customWidth="1"/>
    <col min="4" max="4" width="9.140625" style="30" customWidth="1"/>
    <col min="5" max="5" width="11.85546875" style="31" customWidth="1"/>
    <col min="6" max="7" width="11.5703125"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7.7109375" style="28" customWidth="1"/>
    <col min="16" max="16384" width="9.140625" style="28"/>
  </cols>
  <sheetData>
    <row r="1" spans="1:10" s="26" customFormat="1" ht="18.75" customHeight="1" x14ac:dyDescent="0.2">
      <c r="A1" s="443" t="s">
        <v>479</v>
      </c>
      <c r="B1" s="443"/>
      <c r="C1" s="443"/>
      <c r="D1" s="443"/>
      <c r="E1" s="443"/>
      <c r="F1" s="443"/>
      <c r="G1" s="443"/>
    </row>
    <row r="2" spans="1:10" ht="12.75" thickBot="1" x14ac:dyDescent="0.25"/>
    <row r="3" spans="1:10" s="39" customFormat="1" ht="24" x14ac:dyDescent="0.25">
      <c r="A3" s="33" t="s">
        <v>0</v>
      </c>
      <c r="B3" s="34" t="s">
        <v>1</v>
      </c>
      <c r="C3" s="34" t="s">
        <v>2</v>
      </c>
      <c r="D3" s="35" t="s">
        <v>3</v>
      </c>
      <c r="E3" s="36" t="s">
        <v>4</v>
      </c>
      <c r="F3" s="37" t="s">
        <v>5</v>
      </c>
      <c r="G3" s="38" t="s">
        <v>6</v>
      </c>
    </row>
    <row r="4" spans="1:10" s="39" customFormat="1" x14ac:dyDescent="0.2">
      <c r="A4" s="40"/>
      <c r="B4" s="41" t="s">
        <v>17</v>
      </c>
      <c r="C4" s="42"/>
      <c r="D4" s="43"/>
      <c r="E4" s="44"/>
      <c r="F4" s="45"/>
      <c r="G4" s="46"/>
      <c r="I4" s="47"/>
      <c r="J4" s="48"/>
    </row>
    <row r="5" spans="1:10" s="39" customFormat="1" x14ac:dyDescent="0.2">
      <c r="A5" s="40"/>
      <c r="B5" s="49" t="s">
        <v>18</v>
      </c>
      <c r="C5" s="42"/>
      <c r="D5" s="43"/>
      <c r="E5" s="44"/>
      <c r="F5" s="45"/>
      <c r="G5" s="46"/>
    </row>
    <row r="6" spans="1:10" s="39" customFormat="1" x14ac:dyDescent="0.2">
      <c r="A6" s="40"/>
      <c r="B6" s="50"/>
      <c r="C6" s="42"/>
      <c r="D6" s="43"/>
      <c r="E6" s="44"/>
      <c r="F6" s="45"/>
      <c r="G6" s="46"/>
    </row>
    <row r="7" spans="1:10" s="39" customFormat="1" x14ac:dyDescent="0.2">
      <c r="A7" s="40">
        <v>1.1000000000000001</v>
      </c>
      <c r="B7" s="51" t="s">
        <v>19</v>
      </c>
      <c r="C7" s="42"/>
      <c r="D7" s="43"/>
      <c r="E7" s="44"/>
      <c r="F7" s="45"/>
      <c r="G7" s="46"/>
    </row>
    <row r="8" spans="1:10" s="39" customFormat="1" x14ac:dyDescent="0.2">
      <c r="A8" s="52" t="s">
        <v>7</v>
      </c>
      <c r="B8" s="53" t="s">
        <v>20</v>
      </c>
      <c r="C8" s="42"/>
      <c r="D8" s="43"/>
      <c r="E8" s="44"/>
      <c r="F8" s="45"/>
      <c r="G8" s="46"/>
    </row>
    <row r="9" spans="1:10" s="39" customFormat="1" x14ac:dyDescent="0.2">
      <c r="A9" s="40"/>
      <c r="B9" s="54" t="s">
        <v>21</v>
      </c>
      <c r="C9" s="42"/>
      <c r="D9" s="43"/>
      <c r="E9" s="44"/>
      <c r="F9" s="45"/>
      <c r="G9" s="46"/>
    </row>
    <row r="10" spans="1:10" s="39" customFormat="1" x14ac:dyDescent="0.2">
      <c r="A10" s="40"/>
      <c r="B10" s="54" t="s">
        <v>22</v>
      </c>
      <c r="C10" s="42"/>
      <c r="D10" s="43"/>
      <c r="E10" s="44"/>
      <c r="F10" s="45"/>
      <c r="G10" s="46"/>
    </row>
    <row r="11" spans="1:10" s="39" customFormat="1" x14ac:dyDescent="0.2">
      <c r="A11" s="40"/>
      <c r="B11" s="54" t="s">
        <v>23</v>
      </c>
      <c r="C11" s="42"/>
      <c r="D11" s="43"/>
      <c r="E11" s="44"/>
      <c r="F11" s="45"/>
      <c r="G11" s="46"/>
    </row>
    <row r="12" spans="1:10" s="39" customFormat="1" x14ac:dyDescent="0.2">
      <c r="A12" s="40"/>
      <c r="B12" s="54" t="s">
        <v>24</v>
      </c>
      <c r="C12" s="42"/>
      <c r="D12" s="43"/>
      <c r="E12" s="44"/>
      <c r="F12" s="45"/>
      <c r="G12" s="46"/>
    </row>
    <row r="13" spans="1:10" s="39" customFormat="1" x14ac:dyDescent="0.2">
      <c r="A13" s="40"/>
      <c r="B13" s="54" t="s">
        <v>21</v>
      </c>
      <c r="C13" s="42"/>
      <c r="D13" s="43"/>
      <c r="E13" s="44"/>
      <c r="F13" s="45"/>
      <c r="G13" s="46"/>
    </row>
    <row r="14" spans="1:10" s="39" customFormat="1" x14ac:dyDescent="0.2">
      <c r="A14" s="40"/>
      <c r="B14" s="54" t="s">
        <v>25</v>
      </c>
      <c r="C14" s="42"/>
      <c r="D14" s="43"/>
      <c r="E14" s="44"/>
      <c r="F14" s="45"/>
      <c r="G14" s="46"/>
    </row>
    <row r="15" spans="1:10" s="39" customFormat="1" x14ac:dyDescent="0.2">
      <c r="A15" s="40"/>
      <c r="B15" s="54" t="s">
        <v>26</v>
      </c>
      <c r="C15" s="42"/>
      <c r="D15" s="43"/>
      <c r="E15" s="44"/>
      <c r="F15" s="45"/>
      <c r="G15" s="46"/>
    </row>
    <row r="16" spans="1:10" s="39" customFormat="1" x14ac:dyDescent="0.2">
      <c r="A16" s="40"/>
      <c r="B16" s="54" t="s">
        <v>27</v>
      </c>
      <c r="C16" s="42"/>
      <c r="D16" s="43"/>
      <c r="E16" s="44"/>
      <c r="F16" s="45"/>
      <c r="G16" s="46"/>
    </row>
    <row r="17" spans="1:7" s="39" customFormat="1" x14ac:dyDescent="0.2">
      <c r="A17" s="40"/>
      <c r="B17" s="54" t="s">
        <v>28</v>
      </c>
      <c r="C17" s="42"/>
      <c r="D17" s="43"/>
      <c r="E17" s="44"/>
      <c r="F17" s="45"/>
      <c r="G17" s="46"/>
    </row>
    <row r="18" spans="1:7" s="39" customFormat="1" x14ac:dyDescent="0.2">
      <c r="A18" s="40"/>
      <c r="B18" s="54" t="s">
        <v>29</v>
      </c>
      <c r="C18" s="42"/>
      <c r="D18" s="43"/>
      <c r="E18" s="44"/>
      <c r="F18" s="45"/>
      <c r="G18" s="46"/>
    </row>
    <row r="19" spans="1:7" s="39" customFormat="1" x14ac:dyDescent="0.2">
      <c r="A19" s="40"/>
      <c r="B19" s="54" t="s">
        <v>30</v>
      </c>
      <c r="C19" s="42"/>
      <c r="D19" s="43"/>
      <c r="E19" s="44"/>
      <c r="F19" s="45"/>
      <c r="G19" s="46"/>
    </row>
    <row r="20" spans="1:7" s="39" customFormat="1" x14ac:dyDescent="0.2">
      <c r="A20" s="40"/>
      <c r="B20" s="54"/>
      <c r="C20" s="42"/>
      <c r="D20" s="43"/>
      <c r="E20" s="44"/>
      <c r="F20" s="45"/>
      <c r="G20" s="46"/>
    </row>
    <row r="21" spans="1:7" s="39" customFormat="1" x14ac:dyDescent="0.2">
      <c r="A21" s="52">
        <v>1.2</v>
      </c>
      <c r="B21" s="55" t="s">
        <v>31</v>
      </c>
      <c r="C21" s="56"/>
      <c r="D21" s="57"/>
      <c r="E21" s="44"/>
      <c r="F21" s="45"/>
      <c r="G21" s="46"/>
    </row>
    <row r="22" spans="1:7" s="39" customFormat="1" ht="60.75" customHeight="1" x14ac:dyDescent="0.2">
      <c r="A22" s="40" t="s">
        <v>7</v>
      </c>
      <c r="B22" s="58" t="s">
        <v>217</v>
      </c>
      <c r="C22" s="56" t="s">
        <v>0</v>
      </c>
      <c r="D22" s="57">
        <v>1</v>
      </c>
      <c r="E22" s="44"/>
      <c r="F22" s="59"/>
      <c r="G22" s="60">
        <f t="shared" ref="G22:G32" si="0">(D22*E22)+(D22*F22)</f>
        <v>0</v>
      </c>
    </row>
    <row r="23" spans="1:7" s="39" customFormat="1" x14ac:dyDescent="0.2">
      <c r="A23" s="52"/>
      <c r="B23" s="58"/>
      <c r="C23" s="56"/>
      <c r="D23" s="57"/>
      <c r="E23" s="44"/>
      <c r="F23" s="59"/>
      <c r="G23" s="60">
        <f t="shared" si="0"/>
        <v>0</v>
      </c>
    </row>
    <row r="24" spans="1:7" s="39" customFormat="1" x14ac:dyDescent="0.2">
      <c r="A24" s="40">
        <v>1.3</v>
      </c>
      <c r="B24" s="55" t="s">
        <v>32</v>
      </c>
      <c r="C24" s="56"/>
      <c r="D24" s="57"/>
      <c r="E24" s="44"/>
      <c r="F24" s="59"/>
      <c r="G24" s="60">
        <f t="shared" si="0"/>
        <v>0</v>
      </c>
    </row>
    <row r="25" spans="1:7" s="39" customFormat="1" x14ac:dyDescent="0.2">
      <c r="A25" s="40" t="s">
        <v>7</v>
      </c>
      <c r="B25" s="61" t="s">
        <v>33</v>
      </c>
      <c r="C25" s="56" t="s">
        <v>34</v>
      </c>
      <c r="D25" s="57">
        <v>1</v>
      </c>
      <c r="E25" s="44"/>
      <c r="F25" s="59"/>
      <c r="G25" s="60">
        <f t="shared" si="0"/>
        <v>0</v>
      </c>
    </row>
    <row r="26" spans="1:7" s="39" customFormat="1" x14ac:dyDescent="0.2">
      <c r="A26" s="40"/>
      <c r="B26" s="61"/>
      <c r="C26" s="56"/>
      <c r="D26" s="57"/>
      <c r="E26" s="44"/>
      <c r="F26" s="59"/>
      <c r="G26" s="60">
        <f t="shared" si="0"/>
        <v>0</v>
      </c>
    </row>
    <row r="27" spans="1:7" s="39" customFormat="1" ht="12.75" x14ac:dyDescent="0.2">
      <c r="A27" s="395">
        <v>1.4</v>
      </c>
      <c r="B27" s="396" t="s">
        <v>511</v>
      </c>
      <c r="C27" s="397"/>
      <c r="D27" s="398"/>
      <c r="E27" s="399"/>
      <c r="F27" s="399">
        <f t="shared" ref="F27" si="1">E27*C27</f>
        <v>0</v>
      </c>
      <c r="G27" s="400">
        <f t="shared" si="0"/>
        <v>0</v>
      </c>
    </row>
    <row r="28" spans="1:7" s="39" customFormat="1" ht="92.25" customHeight="1" x14ac:dyDescent="0.2">
      <c r="A28" s="401"/>
      <c r="B28" s="402" t="s">
        <v>512</v>
      </c>
      <c r="C28" s="403" t="s">
        <v>15</v>
      </c>
      <c r="D28" s="57">
        <v>1</v>
      </c>
      <c r="E28" s="404"/>
      <c r="F28" s="404"/>
      <c r="G28" s="60">
        <f t="shared" si="0"/>
        <v>0</v>
      </c>
    </row>
    <row r="29" spans="1:7" s="39" customFormat="1" x14ac:dyDescent="0.2">
      <c r="A29" s="40"/>
      <c r="B29" s="61"/>
      <c r="C29" s="56"/>
      <c r="D29" s="57"/>
      <c r="E29" s="44"/>
      <c r="F29" s="59"/>
      <c r="G29" s="60"/>
    </row>
    <row r="30" spans="1:7" s="39" customFormat="1" x14ac:dyDescent="0.2">
      <c r="A30" s="63" t="s">
        <v>173</v>
      </c>
      <c r="B30" s="64" t="s">
        <v>513</v>
      </c>
      <c r="C30" s="65"/>
      <c r="D30" s="66"/>
      <c r="E30" s="44"/>
      <c r="F30" s="59"/>
      <c r="G30" s="60">
        <f t="shared" si="0"/>
        <v>0</v>
      </c>
    </row>
    <row r="31" spans="1:7" s="39" customFormat="1" ht="51" customHeight="1" x14ac:dyDescent="0.2">
      <c r="A31" s="40" t="s">
        <v>7</v>
      </c>
      <c r="B31" s="67" t="s">
        <v>514</v>
      </c>
      <c r="C31" s="56" t="s">
        <v>0</v>
      </c>
      <c r="D31" s="57">
        <v>1</v>
      </c>
      <c r="E31" s="44"/>
      <c r="F31" s="59"/>
      <c r="G31" s="60">
        <f t="shared" si="0"/>
        <v>0</v>
      </c>
    </row>
    <row r="32" spans="1:7" s="39" customFormat="1" x14ac:dyDescent="0.2">
      <c r="A32" s="52"/>
      <c r="B32" s="67"/>
      <c r="C32" s="56"/>
      <c r="D32" s="57"/>
      <c r="E32" s="44"/>
      <c r="F32" s="45"/>
      <c r="G32" s="60">
        <f t="shared" si="0"/>
        <v>0</v>
      </c>
    </row>
    <row r="33" spans="1:7" s="39" customFormat="1" x14ac:dyDescent="0.2">
      <c r="A33" s="63" t="s">
        <v>510</v>
      </c>
      <c r="B33" s="64" t="s">
        <v>35</v>
      </c>
      <c r="C33" s="65"/>
      <c r="D33" s="66"/>
      <c r="E33" s="44"/>
      <c r="F33" s="59"/>
      <c r="G33" s="60">
        <f t="shared" ref="G33:G34" si="2">(D33*E33)+(D33*F33)</f>
        <v>0</v>
      </c>
    </row>
    <row r="34" spans="1:7" s="39" customFormat="1" ht="24" x14ac:dyDescent="0.2">
      <c r="A34" s="40" t="s">
        <v>7</v>
      </c>
      <c r="B34" s="67" t="s">
        <v>36</v>
      </c>
      <c r="C34" s="56" t="s">
        <v>0</v>
      </c>
      <c r="D34" s="57">
        <v>1</v>
      </c>
      <c r="E34" s="44"/>
      <c r="F34" s="59"/>
      <c r="G34" s="60">
        <f t="shared" si="2"/>
        <v>0</v>
      </c>
    </row>
    <row r="35" spans="1:7" s="39" customFormat="1" x14ac:dyDescent="0.2">
      <c r="A35" s="52"/>
      <c r="B35" s="67"/>
      <c r="C35" s="56"/>
      <c r="D35" s="57"/>
      <c r="E35" s="44"/>
      <c r="F35" s="45"/>
      <c r="G35" s="46"/>
    </row>
    <row r="36" spans="1:7" s="39" customFormat="1" x14ac:dyDescent="0.2">
      <c r="A36" s="52"/>
      <c r="B36" s="67"/>
      <c r="C36" s="56"/>
      <c r="D36" s="57"/>
      <c r="E36" s="44"/>
      <c r="F36" s="45"/>
      <c r="G36" s="46"/>
    </row>
    <row r="37" spans="1:7" s="39" customFormat="1" x14ac:dyDescent="0.2">
      <c r="A37" s="52"/>
      <c r="B37" s="67"/>
      <c r="C37" s="56"/>
      <c r="D37" s="57"/>
      <c r="E37" s="44"/>
      <c r="F37" s="45"/>
      <c r="G37" s="46"/>
    </row>
    <row r="38" spans="1:7" s="39" customFormat="1" x14ac:dyDescent="0.2">
      <c r="A38" s="52"/>
      <c r="B38" s="67"/>
      <c r="C38" s="56"/>
      <c r="D38" s="57"/>
      <c r="E38" s="44"/>
      <c r="F38" s="45"/>
      <c r="G38" s="46"/>
    </row>
    <row r="39" spans="1:7" s="39" customFormat="1" x14ac:dyDescent="0.2">
      <c r="A39" s="52"/>
      <c r="B39" s="67"/>
      <c r="C39" s="56"/>
      <c r="D39" s="57"/>
      <c r="E39" s="44"/>
      <c r="F39" s="45"/>
      <c r="G39" s="46"/>
    </row>
    <row r="40" spans="1:7" s="39" customFormat="1" x14ac:dyDescent="0.2">
      <c r="A40" s="52"/>
      <c r="B40" s="67"/>
      <c r="C40" s="56"/>
      <c r="D40" s="57"/>
      <c r="E40" s="44"/>
      <c r="F40" s="45"/>
      <c r="G40" s="46"/>
    </row>
    <row r="41" spans="1:7" s="39" customFormat="1" x14ac:dyDescent="0.2">
      <c r="A41" s="52"/>
      <c r="B41" s="67"/>
      <c r="C41" s="56"/>
      <c r="D41" s="57"/>
      <c r="E41" s="44"/>
      <c r="F41" s="45"/>
      <c r="G41" s="46"/>
    </row>
    <row r="42" spans="1:7" s="39" customFormat="1" ht="12.75" thickBot="1" x14ac:dyDescent="0.25">
      <c r="A42" s="52"/>
      <c r="B42" s="67"/>
      <c r="C42" s="56"/>
      <c r="D42" s="57"/>
      <c r="E42" s="44"/>
      <c r="F42" s="45"/>
      <c r="G42" s="46"/>
    </row>
    <row r="43" spans="1:7" s="39" customFormat="1" x14ac:dyDescent="0.2">
      <c r="A43" s="68"/>
      <c r="B43" s="69" t="s">
        <v>37</v>
      </c>
      <c r="C43" s="70"/>
      <c r="D43" s="71"/>
      <c r="E43" s="72"/>
      <c r="F43" s="37"/>
      <c r="G43" s="38"/>
    </row>
    <row r="44" spans="1:7" s="39" customFormat="1" ht="12.75" thickBot="1" x14ac:dyDescent="0.25">
      <c r="A44" s="73"/>
      <c r="B44" s="74" t="s">
        <v>38</v>
      </c>
      <c r="C44" s="75"/>
      <c r="D44" s="76"/>
      <c r="E44" s="77"/>
      <c r="F44" s="78"/>
      <c r="G44" s="79">
        <f>SUM(G22:G43)</f>
        <v>0</v>
      </c>
    </row>
    <row r="45" spans="1:7" s="39" customFormat="1" x14ac:dyDescent="0.2">
      <c r="A45" s="40"/>
      <c r="B45" s="80"/>
      <c r="C45" s="81"/>
      <c r="D45" s="57"/>
      <c r="E45" s="44"/>
      <c r="F45" s="45"/>
      <c r="G45" s="46"/>
    </row>
    <row r="46" spans="1:7" s="39" customFormat="1" x14ac:dyDescent="0.2">
      <c r="A46" s="40"/>
      <c r="B46" s="49" t="s">
        <v>39</v>
      </c>
      <c r="C46" s="42"/>
      <c r="D46" s="43"/>
      <c r="E46" s="44"/>
      <c r="F46" s="45"/>
      <c r="G46" s="46"/>
    </row>
    <row r="47" spans="1:7" s="39" customFormat="1" x14ac:dyDescent="0.2">
      <c r="A47" s="40"/>
      <c r="B47" s="49" t="s">
        <v>40</v>
      </c>
      <c r="C47" s="42"/>
      <c r="D47" s="43"/>
      <c r="E47" s="44"/>
      <c r="F47" s="45"/>
      <c r="G47" s="46"/>
    </row>
    <row r="48" spans="1:7" s="39" customFormat="1" x14ac:dyDescent="0.2">
      <c r="A48" s="40">
        <v>2.1</v>
      </c>
      <c r="B48" s="51" t="s">
        <v>41</v>
      </c>
      <c r="C48" s="42"/>
      <c r="D48" s="43"/>
      <c r="E48" s="44"/>
      <c r="F48" s="45"/>
      <c r="G48" s="46"/>
    </row>
    <row r="49" spans="1:18" s="39" customFormat="1" ht="65.25" customHeight="1" x14ac:dyDescent="0.2">
      <c r="A49" s="40"/>
      <c r="B49" s="82" t="s">
        <v>218</v>
      </c>
      <c r="C49" s="83"/>
      <c r="D49" s="83"/>
      <c r="E49" s="83"/>
      <c r="F49" s="83"/>
      <c r="G49" s="84"/>
    </row>
    <row r="50" spans="1:18" s="39" customFormat="1" x14ac:dyDescent="0.25">
      <c r="A50" s="85"/>
      <c r="B50" s="86"/>
      <c r="C50" s="86"/>
      <c r="D50" s="87"/>
      <c r="E50" s="88"/>
      <c r="F50" s="86"/>
      <c r="G50" s="89"/>
    </row>
    <row r="51" spans="1:18" s="39" customFormat="1" x14ac:dyDescent="0.2">
      <c r="A51" s="40" t="s">
        <v>10</v>
      </c>
      <c r="B51" s="90" t="s">
        <v>60</v>
      </c>
      <c r="C51" s="56"/>
      <c r="D51" s="91"/>
      <c r="E51" s="92"/>
      <c r="F51" s="59"/>
      <c r="G51" s="60">
        <f t="shared" ref="G51:G61" si="3">(D51*E51)+(D51*F51)</f>
        <v>0</v>
      </c>
    </row>
    <row r="52" spans="1:18" s="39" customFormat="1" ht="61.5" customHeight="1" x14ac:dyDescent="0.2">
      <c r="A52" s="40"/>
      <c r="B52" s="58" t="s">
        <v>585</v>
      </c>
      <c r="C52" s="56" t="s">
        <v>44</v>
      </c>
      <c r="D52" s="93">
        <v>506</v>
      </c>
      <c r="E52" s="44"/>
      <c r="F52" s="59"/>
      <c r="G52" s="60">
        <f t="shared" si="3"/>
        <v>0</v>
      </c>
      <c r="I52" s="39">
        <f>36*14.05</f>
        <v>505.8</v>
      </c>
    </row>
    <row r="53" spans="1:18" s="39" customFormat="1" x14ac:dyDescent="0.2">
      <c r="A53" s="40"/>
      <c r="B53" s="58"/>
      <c r="C53" s="56"/>
      <c r="D53" s="93"/>
      <c r="E53" s="44"/>
      <c r="F53" s="59"/>
      <c r="G53" s="60">
        <f t="shared" si="3"/>
        <v>0</v>
      </c>
    </row>
    <row r="54" spans="1:18" s="39" customFormat="1" x14ac:dyDescent="0.2">
      <c r="A54" s="40" t="s">
        <v>16</v>
      </c>
      <c r="B54" s="94" t="s">
        <v>42</v>
      </c>
      <c r="C54" s="56"/>
      <c r="D54" s="95"/>
      <c r="E54" s="44"/>
      <c r="F54" s="59"/>
      <c r="G54" s="60">
        <f t="shared" si="3"/>
        <v>0</v>
      </c>
    </row>
    <row r="55" spans="1:18" s="39" customFormat="1" ht="51" customHeight="1" x14ac:dyDescent="0.2">
      <c r="A55" s="40"/>
      <c r="B55" s="96" t="s">
        <v>43</v>
      </c>
      <c r="C55" s="56" t="s">
        <v>44</v>
      </c>
      <c r="D55" s="95"/>
      <c r="E55" s="44"/>
      <c r="F55" s="59"/>
      <c r="G55" s="60">
        <f t="shared" si="3"/>
        <v>0</v>
      </c>
      <c r="I55" s="39">
        <f>16.336*8.75</f>
        <v>142.94</v>
      </c>
    </row>
    <row r="56" spans="1:18" s="39" customFormat="1" x14ac:dyDescent="0.2">
      <c r="A56" s="40"/>
      <c r="B56" s="97"/>
      <c r="C56" s="56"/>
      <c r="D56" s="57"/>
      <c r="E56" s="44"/>
      <c r="F56" s="59"/>
      <c r="G56" s="60">
        <f t="shared" si="3"/>
        <v>0</v>
      </c>
    </row>
    <row r="57" spans="1:18" s="39" customFormat="1" x14ac:dyDescent="0.2">
      <c r="A57" s="40" t="s">
        <v>48</v>
      </c>
      <c r="B57" s="98" t="s">
        <v>45</v>
      </c>
      <c r="C57" s="56"/>
      <c r="D57" s="57"/>
      <c r="E57" s="44"/>
      <c r="F57" s="59"/>
      <c r="G57" s="60">
        <f t="shared" si="3"/>
        <v>0</v>
      </c>
    </row>
    <row r="58" spans="1:18" s="39" customFormat="1" ht="59.25" customHeight="1" x14ac:dyDescent="0.2">
      <c r="A58" s="85"/>
      <c r="B58" s="99" t="s">
        <v>46</v>
      </c>
      <c r="C58" s="99"/>
      <c r="D58" s="99"/>
      <c r="E58" s="99"/>
      <c r="F58" s="59"/>
      <c r="G58" s="60">
        <f t="shared" si="3"/>
        <v>0</v>
      </c>
      <c r="I58" s="39">
        <f>1.35*1.35*9</f>
        <v>16.402500000000003</v>
      </c>
      <c r="J58" s="39">
        <f>1.45*1.45*5</f>
        <v>10.512499999999999</v>
      </c>
      <c r="K58" s="39">
        <f>1.75*1.75*9</f>
        <v>27.5625</v>
      </c>
      <c r="L58" s="39">
        <f>1.65*1.65*5</f>
        <v>13.612499999999999</v>
      </c>
      <c r="M58" s="39">
        <f>1.85*1.85*5</f>
        <v>17.112500000000001</v>
      </c>
      <c r="N58" s="39">
        <f>2.5*2.5*3</f>
        <v>18.75</v>
      </c>
      <c r="O58" s="39">
        <f>2.65*2.65*2</f>
        <v>14.045</v>
      </c>
      <c r="P58" s="39">
        <f>1.1*1.1*2</f>
        <v>2.4200000000000004</v>
      </c>
      <c r="Q58" s="39">
        <f>SUM(I58:P58)</f>
        <v>120.4175</v>
      </c>
      <c r="R58" s="39">
        <f>Q58*1.55</f>
        <v>186.64712500000002</v>
      </c>
    </row>
    <row r="59" spans="1:18" s="39" customFormat="1" ht="12.75" customHeight="1" x14ac:dyDescent="0.2">
      <c r="A59" s="40" t="s">
        <v>50</v>
      </c>
      <c r="B59" s="100" t="s">
        <v>45</v>
      </c>
      <c r="C59" s="56"/>
      <c r="D59" s="57"/>
      <c r="E59" s="44"/>
      <c r="F59" s="59"/>
      <c r="G59" s="60">
        <f t="shared" si="3"/>
        <v>0</v>
      </c>
      <c r="I59" s="39">
        <f>1.95+1.8+1.85*2+1.8+1.9+1.95*2+1.8*2+1.375+4.125*2+2+4.2+4.575+2.92*2+2.98*2+1.7*7+1.65+1.9+1.85+2.275*2+2.15*8</f>
        <v>89.9</v>
      </c>
      <c r="J59" s="368">
        <f>I59*0.6</f>
        <v>53.940000000000005</v>
      </c>
      <c r="K59" s="29"/>
      <c r="L59" s="29">
        <f>2.395*7+2.37+2.318+2.545</f>
        <v>23.998000000000005</v>
      </c>
      <c r="M59" s="29">
        <f>L59*0.6</f>
        <v>14.398800000000001</v>
      </c>
      <c r="N59" s="39">
        <f>J59+M59</f>
        <v>68.338800000000006</v>
      </c>
      <c r="O59" s="39">
        <f>N59*1.25</f>
        <v>85.423500000000004</v>
      </c>
      <c r="P59" s="39">
        <f>R58+O59</f>
        <v>272.07062500000001</v>
      </c>
    </row>
    <row r="60" spans="1:18" s="29" customFormat="1" x14ac:dyDescent="0.2">
      <c r="A60" s="101" t="s">
        <v>7</v>
      </c>
      <c r="B60" s="102" t="s">
        <v>207</v>
      </c>
      <c r="C60" s="56" t="s">
        <v>47</v>
      </c>
      <c r="D60" s="57">
        <v>272.10000000000002</v>
      </c>
      <c r="E60" s="44"/>
      <c r="F60" s="103"/>
      <c r="G60" s="104">
        <f t="shared" si="3"/>
        <v>0</v>
      </c>
      <c r="J60" s="368"/>
    </row>
    <row r="61" spans="1:18" s="39" customFormat="1" x14ac:dyDescent="0.2">
      <c r="A61" s="40"/>
      <c r="B61" s="105"/>
      <c r="C61" s="56"/>
      <c r="D61" s="57"/>
      <c r="E61" s="44"/>
      <c r="F61" s="45"/>
      <c r="G61" s="60">
        <f t="shared" si="3"/>
        <v>0</v>
      </c>
    </row>
    <row r="62" spans="1:18" s="39" customFormat="1" x14ac:dyDescent="0.2">
      <c r="A62" s="40" t="s">
        <v>48</v>
      </c>
      <c r="B62" s="106" t="s">
        <v>49</v>
      </c>
      <c r="C62" s="56"/>
      <c r="D62" s="57"/>
      <c r="E62" s="44"/>
      <c r="F62" s="45"/>
      <c r="G62" s="46"/>
    </row>
    <row r="63" spans="1:18" s="39" customFormat="1" ht="25.5" customHeight="1" x14ac:dyDescent="0.25">
      <c r="A63" s="40"/>
      <c r="B63" s="107" t="s">
        <v>238</v>
      </c>
      <c r="C63" s="108"/>
      <c r="D63" s="108"/>
      <c r="E63" s="108"/>
      <c r="F63" s="45"/>
      <c r="G63" s="46"/>
    </row>
    <row r="64" spans="1:18" s="39" customFormat="1" ht="25.5" customHeight="1" x14ac:dyDescent="0.25">
      <c r="A64" s="40"/>
      <c r="B64" s="67" t="s">
        <v>239</v>
      </c>
      <c r="C64" s="109"/>
      <c r="D64" s="109"/>
      <c r="E64" s="109"/>
      <c r="F64" s="45"/>
      <c r="G64" s="46"/>
    </row>
    <row r="65" spans="1:10" s="39" customFormat="1" ht="24" x14ac:dyDescent="0.2">
      <c r="A65" s="40" t="s">
        <v>163</v>
      </c>
      <c r="B65" s="110" t="s">
        <v>275</v>
      </c>
      <c r="C65" s="56" t="s">
        <v>44</v>
      </c>
      <c r="D65" s="93">
        <v>344.54</v>
      </c>
      <c r="E65" s="44"/>
      <c r="F65" s="59"/>
      <c r="G65" s="60">
        <f t="shared" ref="G65:G70" si="4">(D65*E65)+(D65*F65)</f>
        <v>0</v>
      </c>
      <c r="I65" s="39">
        <f>32.2*10.7</f>
        <v>344.54</v>
      </c>
    </row>
    <row r="66" spans="1:10" s="39" customFormat="1" ht="38.25" customHeight="1" x14ac:dyDescent="0.2">
      <c r="A66" s="40" t="s">
        <v>164</v>
      </c>
      <c r="B66" s="110" t="s">
        <v>276</v>
      </c>
      <c r="C66" s="56" t="s">
        <v>44</v>
      </c>
      <c r="D66" s="93">
        <f>D65</f>
        <v>344.54</v>
      </c>
      <c r="E66" s="44"/>
      <c r="F66" s="59"/>
      <c r="G66" s="60">
        <f t="shared" si="4"/>
        <v>0</v>
      </c>
    </row>
    <row r="67" spans="1:10" s="39" customFormat="1" x14ac:dyDescent="0.2">
      <c r="A67" s="40">
        <v>2.5</v>
      </c>
      <c r="B67" s="98" t="s">
        <v>51</v>
      </c>
      <c r="C67" s="56"/>
      <c r="D67" s="57"/>
      <c r="E67" s="44"/>
      <c r="F67" s="59"/>
      <c r="G67" s="60">
        <f t="shared" si="4"/>
        <v>0</v>
      </c>
    </row>
    <row r="68" spans="1:10" s="39" customFormat="1" ht="27" customHeight="1" x14ac:dyDescent="0.2">
      <c r="A68" s="40"/>
      <c r="B68" s="111" t="s">
        <v>52</v>
      </c>
      <c r="C68" s="56"/>
      <c r="D68" s="57"/>
      <c r="E68" s="44"/>
      <c r="F68" s="59"/>
      <c r="G68" s="60">
        <f t="shared" si="4"/>
        <v>0</v>
      </c>
    </row>
    <row r="69" spans="1:10" s="39" customFormat="1" ht="24" x14ac:dyDescent="0.2">
      <c r="A69" s="40" t="s">
        <v>163</v>
      </c>
      <c r="B69" s="111" t="s">
        <v>53</v>
      </c>
      <c r="C69" s="56" t="s">
        <v>44</v>
      </c>
      <c r="D69" s="57">
        <f>D89+320</f>
        <v>508.76</v>
      </c>
      <c r="E69" s="44"/>
      <c r="F69" s="59"/>
      <c r="G69" s="60">
        <f t="shared" si="4"/>
        <v>0</v>
      </c>
      <c r="I69" s="112"/>
      <c r="J69" s="112"/>
    </row>
    <row r="70" spans="1:10" s="39" customFormat="1" x14ac:dyDescent="0.2">
      <c r="A70" s="40"/>
      <c r="B70" s="111"/>
      <c r="C70" s="56"/>
      <c r="D70" s="57"/>
      <c r="E70" s="44"/>
      <c r="F70" s="45"/>
      <c r="G70" s="60">
        <f t="shared" si="4"/>
        <v>0</v>
      </c>
      <c r="I70" s="112"/>
    </row>
    <row r="71" spans="1:10" s="39" customFormat="1" x14ac:dyDescent="0.2">
      <c r="A71" s="40"/>
      <c r="B71" s="111"/>
      <c r="C71" s="56"/>
      <c r="D71" s="57"/>
      <c r="E71" s="44"/>
      <c r="F71" s="45"/>
      <c r="G71" s="46"/>
    </row>
    <row r="72" spans="1:10" s="39" customFormat="1" x14ac:dyDescent="0.2">
      <c r="A72" s="40"/>
      <c r="B72" s="111"/>
      <c r="C72" s="56"/>
      <c r="D72" s="57"/>
      <c r="E72" s="44"/>
      <c r="F72" s="45"/>
      <c r="G72" s="46"/>
    </row>
    <row r="73" spans="1:10" s="39" customFormat="1" x14ac:dyDescent="0.2">
      <c r="A73" s="40"/>
      <c r="B73" s="111"/>
      <c r="C73" s="56"/>
      <c r="D73" s="57"/>
      <c r="E73" s="44"/>
      <c r="F73" s="45"/>
      <c r="G73" s="46"/>
    </row>
    <row r="74" spans="1:10" s="39" customFormat="1" x14ac:dyDescent="0.2">
      <c r="A74" s="40"/>
      <c r="B74" s="111"/>
      <c r="C74" s="56"/>
      <c r="D74" s="57"/>
      <c r="E74" s="44"/>
      <c r="F74" s="45"/>
      <c r="G74" s="46"/>
    </row>
    <row r="75" spans="1:10" s="39" customFormat="1" x14ac:dyDescent="0.2">
      <c r="A75" s="40"/>
      <c r="B75" s="111"/>
      <c r="C75" s="56"/>
      <c r="D75" s="57"/>
      <c r="E75" s="44"/>
      <c r="F75" s="45"/>
      <c r="G75" s="46"/>
    </row>
    <row r="76" spans="1:10" s="39" customFormat="1" x14ac:dyDescent="0.2">
      <c r="A76" s="40"/>
      <c r="B76" s="111"/>
      <c r="C76" s="56"/>
      <c r="D76" s="57"/>
      <c r="E76" s="44"/>
      <c r="F76" s="45"/>
      <c r="G76" s="46"/>
    </row>
    <row r="77" spans="1:10" s="39" customFormat="1" x14ac:dyDescent="0.2">
      <c r="A77" s="40"/>
      <c r="B77" s="111"/>
      <c r="C77" s="56"/>
      <c r="D77" s="57"/>
      <c r="E77" s="44"/>
      <c r="F77" s="45"/>
      <c r="G77" s="46"/>
    </row>
    <row r="78" spans="1:10" s="39" customFormat="1" ht="12.75" thickBot="1" x14ac:dyDescent="0.25">
      <c r="A78" s="40"/>
      <c r="B78" s="111"/>
      <c r="C78" s="56"/>
      <c r="D78" s="57"/>
      <c r="E78" s="44"/>
      <c r="F78" s="45"/>
      <c r="G78" s="46"/>
    </row>
    <row r="79" spans="1:10" s="39" customFormat="1" x14ac:dyDescent="0.2">
      <c r="A79" s="68"/>
      <c r="B79" s="69" t="s">
        <v>54</v>
      </c>
      <c r="C79" s="113"/>
      <c r="D79" s="71"/>
      <c r="E79" s="72"/>
      <c r="F79" s="37"/>
      <c r="G79" s="38"/>
    </row>
    <row r="80" spans="1:10" s="39" customFormat="1" ht="12.75" thickBot="1" x14ac:dyDescent="0.25">
      <c r="A80" s="73"/>
      <c r="B80" s="74" t="s">
        <v>55</v>
      </c>
      <c r="C80" s="114"/>
      <c r="D80" s="76"/>
      <c r="E80" s="77"/>
      <c r="F80" s="78"/>
      <c r="G80" s="79">
        <f>SUM(G52:G79)</f>
        <v>0</v>
      </c>
    </row>
    <row r="81" spans="1:18" s="39" customFormat="1" x14ac:dyDescent="0.2">
      <c r="A81" s="40"/>
      <c r="B81" s="80"/>
      <c r="C81" s="56"/>
      <c r="D81" s="57"/>
      <c r="E81" s="44"/>
      <c r="F81" s="45"/>
      <c r="G81" s="115"/>
    </row>
    <row r="82" spans="1:18" s="39" customFormat="1" x14ac:dyDescent="0.2">
      <c r="A82" s="40"/>
      <c r="B82" s="49" t="s">
        <v>56</v>
      </c>
      <c r="C82" s="56"/>
      <c r="D82" s="57"/>
      <c r="E82" s="44"/>
      <c r="F82" s="45"/>
      <c r="G82" s="46"/>
    </row>
    <row r="83" spans="1:18" s="39" customFormat="1" x14ac:dyDescent="0.2">
      <c r="A83" s="40" t="s">
        <v>57</v>
      </c>
      <c r="B83" s="116" t="s">
        <v>58</v>
      </c>
      <c r="C83" s="56"/>
      <c r="D83" s="57"/>
      <c r="E83" s="44"/>
      <c r="F83" s="45"/>
      <c r="G83" s="46"/>
    </row>
    <row r="84" spans="1:18" s="39" customFormat="1" ht="58.5" customHeight="1" x14ac:dyDescent="0.25">
      <c r="A84" s="40"/>
      <c r="B84" s="107" t="s">
        <v>220</v>
      </c>
      <c r="C84" s="108"/>
      <c r="D84" s="108"/>
      <c r="E84" s="108"/>
      <c r="F84" s="108"/>
      <c r="G84" s="117"/>
    </row>
    <row r="85" spans="1:18" s="39" customFormat="1" ht="35.25" customHeight="1" x14ac:dyDescent="0.25">
      <c r="A85" s="40"/>
      <c r="B85" s="107" t="s">
        <v>219</v>
      </c>
      <c r="C85" s="108"/>
      <c r="D85" s="108"/>
      <c r="E85" s="108"/>
      <c r="F85" s="108"/>
      <c r="G85" s="117"/>
    </row>
    <row r="86" spans="1:18" s="39" customFormat="1" ht="36" customHeight="1" x14ac:dyDescent="0.25">
      <c r="A86" s="40"/>
      <c r="B86" s="107" t="s">
        <v>157</v>
      </c>
      <c r="C86" s="108"/>
      <c r="D86" s="108"/>
      <c r="E86" s="108"/>
      <c r="F86" s="108"/>
      <c r="G86" s="117"/>
    </row>
    <row r="87" spans="1:18" s="39" customFormat="1" ht="15" customHeight="1" x14ac:dyDescent="0.2">
      <c r="A87" s="118" t="s">
        <v>61</v>
      </c>
      <c r="B87" s="119" t="s">
        <v>62</v>
      </c>
      <c r="C87" s="120"/>
      <c r="D87" s="121"/>
      <c r="E87" s="122"/>
      <c r="F87" s="123"/>
      <c r="G87" s="124"/>
    </row>
    <row r="88" spans="1:18" s="128" customFormat="1" ht="14.25" customHeight="1" x14ac:dyDescent="0.25">
      <c r="A88" s="63"/>
      <c r="B88" s="98" t="s">
        <v>257</v>
      </c>
      <c r="C88" s="65"/>
      <c r="D88" s="66"/>
      <c r="E88" s="125"/>
      <c r="F88" s="126"/>
      <c r="G88" s="127"/>
      <c r="I88" s="39">
        <f>1.35*1.35*9</f>
        <v>16.402500000000003</v>
      </c>
      <c r="J88" s="39">
        <f>1.45*1.45*5</f>
        <v>10.512499999999999</v>
      </c>
      <c r="K88" s="39">
        <f>1.75*1.75*9</f>
        <v>27.5625</v>
      </c>
      <c r="L88" s="39">
        <f>1.65*1.65*5</f>
        <v>13.612499999999999</v>
      </c>
      <c r="M88" s="39">
        <f>1.85*1.85*5</f>
        <v>17.112500000000001</v>
      </c>
      <c r="N88" s="39">
        <f>2.5*2.5*3</f>
        <v>18.75</v>
      </c>
      <c r="O88" s="39">
        <f>2.65*2.65*2</f>
        <v>14.045</v>
      </c>
      <c r="P88" s="39">
        <f>1.1*1.1*2</f>
        <v>2.4200000000000004</v>
      </c>
      <c r="Q88" s="39">
        <f>SUM(I88:P88)</f>
        <v>120.4175</v>
      </c>
      <c r="R88" s="39">
        <f>Q88</f>
        <v>120.4175</v>
      </c>
    </row>
    <row r="89" spans="1:18" s="39" customFormat="1" ht="12" customHeight="1" x14ac:dyDescent="0.2">
      <c r="A89" s="40"/>
      <c r="B89" s="105" t="s">
        <v>269</v>
      </c>
      <c r="C89" s="56" t="s">
        <v>44</v>
      </c>
      <c r="D89" s="57">
        <v>188.76</v>
      </c>
      <c r="E89" s="44"/>
      <c r="F89" s="59"/>
      <c r="G89" s="60">
        <f t="shared" ref="G89" si="5">(D89*E89)+(D89*F89)</f>
        <v>0</v>
      </c>
      <c r="I89" s="39">
        <f>1.95+1.8+1.85*2+1.8+1.9+1.95*2+1.8*2+1.375+4.125*2+2+4.2+4.575+2.92*2+2.98*2+1.7*7+1.65+1.9+1.85+2.275*2+2.15*8</f>
        <v>89.9</v>
      </c>
      <c r="J89" s="368">
        <f>I89*0.6</f>
        <v>53.940000000000005</v>
      </c>
      <c r="K89" s="29"/>
      <c r="L89" s="29">
        <f>2.395*7+2.37+2.318+2.545</f>
        <v>23.998000000000005</v>
      </c>
      <c r="M89" s="29">
        <f>L89*0.6</f>
        <v>14.398800000000001</v>
      </c>
      <c r="N89" s="39">
        <f>J89+M89</f>
        <v>68.338800000000006</v>
      </c>
      <c r="O89" s="39">
        <f>N89</f>
        <v>68.338800000000006</v>
      </c>
      <c r="P89" s="39">
        <f>R88+O89</f>
        <v>188.75630000000001</v>
      </c>
    </row>
    <row r="90" spans="1:18" s="39" customFormat="1" ht="15" customHeight="1" x14ac:dyDescent="0.2">
      <c r="A90" s="129" t="s">
        <v>67</v>
      </c>
      <c r="B90" s="130" t="s">
        <v>13</v>
      </c>
      <c r="C90" s="131"/>
      <c r="D90" s="121"/>
      <c r="E90" s="122"/>
      <c r="F90" s="123"/>
      <c r="G90" s="124"/>
    </row>
    <row r="91" spans="1:18" x14ac:dyDescent="0.2">
      <c r="A91" s="132" t="s">
        <v>150</v>
      </c>
      <c r="B91" s="133" t="s">
        <v>63</v>
      </c>
      <c r="C91" s="134"/>
      <c r="D91" s="135"/>
      <c r="E91" s="136"/>
      <c r="F91" s="137"/>
      <c r="G91" s="138"/>
    </row>
    <row r="92" spans="1:18" x14ac:dyDescent="0.2">
      <c r="A92" s="40"/>
      <c r="B92" s="105" t="s">
        <v>438</v>
      </c>
      <c r="C92" s="56" t="s">
        <v>47</v>
      </c>
      <c r="D92" s="57">
        <v>25.03</v>
      </c>
      <c r="E92" s="44"/>
      <c r="F92" s="59"/>
      <c r="G92" s="60">
        <f t="shared" ref="G92" si="6">(D92*E92)+(D92*F92)</f>
        <v>0</v>
      </c>
      <c r="I92" s="39">
        <f>1.05*1.05*9</f>
        <v>9.9224999999999994</v>
      </c>
      <c r="J92" s="39">
        <f>1.15*1.15*5</f>
        <v>6.6124999999999989</v>
      </c>
      <c r="K92" s="39">
        <f>1.45*1.45*9</f>
        <v>18.922499999999999</v>
      </c>
      <c r="L92" s="39">
        <f>1.35*1.35*5</f>
        <v>9.1125000000000007</v>
      </c>
      <c r="M92" s="39">
        <f>1.55*1.55*5</f>
        <v>12.012500000000001</v>
      </c>
      <c r="N92" s="39">
        <f>2.2*2.2*3</f>
        <v>14.520000000000003</v>
      </c>
      <c r="O92" s="39">
        <f>2.35*2.35*2</f>
        <v>11.045000000000002</v>
      </c>
      <c r="P92" s="39">
        <f>0.8*0.8*2</f>
        <v>1.2800000000000002</v>
      </c>
      <c r="Q92" s="39">
        <f>SUM(I92:P92)</f>
        <v>83.427499999999995</v>
      </c>
      <c r="R92" s="28">
        <f>Q92*0.3</f>
        <v>25.028249999999996</v>
      </c>
    </row>
    <row r="93" spans="1:18" x14ac:dyDescent="0.2">
      <c r="A93" s="40"/>
      <c r="B93" s="105" t="s">
        <v>277</v>
      </c>
      <c r="C93" s="56" t="s">
        <v>47</v>
      </c>
      <c r="D93" s="57">
        <v>17.62</v>
      </c>
      <c r="E93" s="44"/>
      <c r="F93" s="59"/>
      <c r="G93" s="60">
        <f t="shared" ref="G93:G94" si="7">(D93*E93)+(D93*F93)</f>
        <v>0</v>
      </c>
      <c r="I93" s="139">
        <f>32.25*4+3.97*2+4.055*2+1.75*2+3.995+4.055</f>
        <v>156.60000000000002</v>
      </c>
      <c r="J93" s="112">
        <f>I93*0.25*0.45</f>
        <v>17.617500000000003</v>
      </c>
      <c r="K93" s="112"/>
      <c r="L93" s="140"/>
      <c r="M93" s="39"/>
      <c r="N93" s="140"/>
    </row>
    <row r="94" spans="1:18" x14ac:dyDescent="0.2">
      <c r="A94" s="40"/>
      <c r="B94" s="105" t="s">
        <v>278</v>
      </c>
      <c r="C94" s="56" t="s">
        <v>47</v>
      </c>
      <c r="D94" s="57">
        <v>3.61</v>
      </c>
      <c r="E94" s="44"/>
      <c r="F94" s="59"/>
      <c r="G94" s="60">
        <f t="shared" si="7"/>
        <v>0</v>
      </c>
      <c r="I94" s="139">
        <f>3.97*4+4.055*4</f>
        <v>32.1</v>
      </c>
      <c r="J94" s="112">
        <f>I94*0.25*0.45</f>
        <v>3.6112500000000001</v>
      </c>
      <c r="K94" s="112"/>
      <c r="L94" s="140"/>
      <c r="M94" s="39"/>
      <c r="N94" s="140"/>
    </row>
    <row r="95" spans="1:18" x14ac:dyDescent="0.2">
      <c r="A95" s="141"/>
      <c r="B95" s="142"/>
      <c r="C95" s="143"/>
      <c r="D95" s="91"/>
      <c r="E95" s="44"/>
      <c r="F95" s="59"/>
      <c r="G95" s="60"/>
    </row>
    <row r="96" spans="1:18" x14ac:dyDescent="0.2">
      <c r="A96" s="132" t="s">
        <v>151</v>
      </c>
      <c r="B96" s="133" t="s">
        <v>66</v>
      </c>
      <c r="C96" s="134"/>
      <c r="D96" s="135"/>
      <c r="E96" s="136"/>
      <c r="F96" s="137"/>
      <c r="G96" s="138"/>
    </row>
    <row r="97" spans="1:12" x14ac:dyDescent="0.2">
      <c r="A97" s="144" t="s">
        <v>155</v>
      </c>
      <c r="B97" s="145" t="s">
        <v>171</v>
      </c>
      <c r="C97" s="146"/>
      <c r="D97" s="147"/>
      <c r="E97" s="148"/>
      <c r="F97" s="149"/>
      <c r="G97" s="150"/>
    </row>
    <row r="98" spans="1:12" ht="13.5" x14ac:dyDescent="0.2">
      <c r="A98" s="141"/>
      <c r="B98" s="142" t="s">
        <v>480</v>
      </c>
      <c r="C98" s="143" t="s">
        <v>455</v>
      </c>
      <c r="D98" s="91">
        <v>5.86</v>
      </c>
      <c r="E98" s="44"/>
      <c r="F98" s="59"/>
      <c r="G98" s="60">
        <f t="shared" ref="G98:G100" si="8">(D98*E98)+(D98*F98)</f>
        <v>0</v>
      </c>
      <c r="I98" s="28">
        <f>0.2*0.2*4.575*32</f>
        <v>5.8560000000000016</v>
      </c>
    </row>
    <row r="99" spans="1:12" ht="13.5" x14ac:dyDescent="0.2">
      <c r="A99" s="141"/>
      <c r="B99" s="142" t="s">
        <v>481</v>
      </c>
      <c r="C99" s="143" t="s">
        <v>455</v>
      </c>
      <c r="D99" s="91">
        <v>1.83</v>
      </c>
      <c r="E99" s="44"/>
      <c r="F99" s="59"/>
      <c r="G99" s="60">
        <f t="shared" si="8"/>
        <v>0</v>
      </c>
      <c r="I99" s="28">
        <f>0.4*0.2*4.575*5</f>
        <v>1.8300000000000005</v>
      </c>
    </row>
    <row r="100" spans="1:12" ht="13.5" x14ac:dyDescent="0.2">
      <c r="A100" s="141"/>
      <c r="B100" s="142" t="s">
        <v>482</v>
      </c>
      <c r="C100" s="143" t="s">
        <v>455</v>
      </c>
      <c r="D100" s="91">
        <v>0.74299999999999999</v>
      </c>
      <c r="E100" s="44"/>
      <c r="F100" s="59"/>
      <c r="G100" s="60">
        <f t="shared" si="8"/>
        <v>0</v>
      </c>
      <c r="I100" s="28">
        <f>0.15*0.15*4.125*8</f>
        <v>0.74249999999999994</v>
      </c>
    </row>
    <row r="101" spans="1:12" x14ac:dyDescent="0.2">
      <c r="A101" s="144" t="s">
        <v>10</v>
      </c>
      <c r="B101" s="145" t="s">
        <v>197</v>
      </c>
      <c r="C101" s="146"/>
      <c r="D101" s="147"/>
      <c r="E101" s="148"/>
      <c r="F101" s="59"/>
      <c r="G101" s="60">
        <f t="shared" ref="G101:G102" si="9">(D101*E101)+(D101*F101)</f>
        <v>0</v>
      </c>
    </row>
    <row r="102" spans="1:12" ht="13.5" x14ac:dyDescent="0.2">
      <c r="A102" s="141"/>
      <c r="B102" s="142" t="s">
        <v>280</v>
      </c>
      <c r="C102" s="143" t="s">
        <v>455</v>
      </c>
      <c r="D102" s="91">
        <v>3.1</v>
      </c>
      <c r="E102" s="44"/>
      <c r="F102" s="59"/>
      <c r="G102" s="60">
        <f t="shared" si="9"/>
        <v>0</v>
      </c>
    </row>
    <row r="103" spans="1:12" x14ac:dyDescent="0.2">
      <c r="A103" s="144" t="s">
        <v>16</v>
      </c>
      <c r="B103" s="145" t="s">
        <v>199</v>
      </c>
      <c r="C103" s="146"/>
      <c r="D103" s="147"/>
      <c r="E103" s="148"/>
      <c r="F103" s="59"/>
      <c r="G103" s="60">
        <f t="shared" ref="G103:G104" si="10">(D103*E103)+(D103*F103)</f>
        <v>0</v>
      </c>
    </row>
    <row r="104" spans="1:12" ht="13.5" x14ac:dyDescent="0.2">
      <c r="A104" s="141"/>
      <c r="B104" s="142" t="s">
        <v>279</v>
      </c>
      <c r="C104" s="143" t="s">
        <v>455</v>
      </c>
      <c r="D104" s="91">
        <v>21.8</v>
      </c>
      <c r="E104" s="44"/>
      <c r="F104" s="59"/>
      <c r="G104" s="60">
        <f t="shared" si="10"/>
        <v>0</v>
      </c>
      <c r="I104" s="28">
        <f>19.2*11.05</f>
        <v>212.16</v>
      </c>
      <c r="J104" s="28">
        <f>19.2*0.15*2</f>
        <v>5.76</v>
      </c>
      <c r="K104" s="28">
        <f>SUM(I104:J104)</f>
        <v>217.92</v>
      </c>
      <c r="L104" s="28">
        <f>K104*0.1</f>
        <v>21.792000000000002</v>
      </c>
    </row>
    <row r="105" spans="1:12" x14ac:dyDescent="0.2">
      <c r="A105" s="144" t="s">
        <v>48</v>
      </c>
      <c r="B105" s="145" t="s">
        <v>441</v>
      </c>
      <c r="C105" s="146"/>
      <c r="D105" s="147"/>
      <c r="E105" s="148"/>
      <c r="F105" s="149"/>
      <c r="G105" s="150"/>
    </row>
    <row r="106" spans="1:12" ht="13.5" x14ac:dyDescent="0.2">
      <c r="A106" s="141"/>
      <c r="B106" s="142" t="s">
        <v>283</v>
      </c>
      <c r="C106" s="143" t="s">
        <v>455</v>
      </c>
      <c r="D106" s="91">
        <v>0.82</v>
      </c>
      <c r="E106" s="44"/>
      <c r="F106" s="59"/>
      <c r="G106" s="60">
        <f t="shared" ref="G106:G108" si="11">(D106*E106)+(D106*F106)</f>
        <v>0</v>
      </c>
      <c r="I106" s="28">
        <f>3.82*2+3*2</f>
        <v>13.64</v>
      </c>
      <c r="J106" s="28">
        <f>I106*0.2*0.3</f>
        <v>0.81840000000000002</v>
      </c>
      <c r="L106" s="28">
        <f>K106*0.1</f>
        <v>0</v>
      </c>
    </row>
    <row r="107" spans="1:12" x14ac:dyDescent="0.2">
      <c r="A107" s="144" t="s">
        <v>440</v>
      </c>
      <c r="B107" s="145" t="s">
        <v>442</v>
      </c>
      <c r="C107" s="146"/>
      <c r="D107" s="147"/>
      <c r="E107" s="148"/>
      <c r="F107" s="59"/>
      <c r="G107" s="60">
        <f t="shared" si="11"/>
        <v>0</v>
      </c>
    </row>
    <row r="108" spans="1:12" ht="13.5" x14ac:dyDescent="0.2">
      <c r="A108" s="141"/>
      <c r="B108" s="142" t="s">
        <v>290</v>
      </c>
      <c r="C108" s="143" t="s">
        <v>455</v>
      </c>
      <c r="D108" s="91">
        <v>3.05</v>
      </c>
      <c r="E108" s="44"/>
      <c r="F108" s="59"/>
      <c r="G108" s="60">
        <f t="shared" si="11"/>
        <v>0</v>
      </c>
      <c r="I108" s="28">
        <f>5.925*3.4</f>
        <v>20.145</v>
      </c>
      <c r="J108" s="28">
        <f>I108*0.15</f>
        <v>3.0217499999999999</v>
      </c>
    </row>
    <row r="109" spans="1:12" x14ac:dyDescent="0.2">
      <c r="A109" s="141"/>
      <c r="B109" s="142"/>
      <c r="C109" s="143"/>
      <c r="D109" s="91"/>
      <c r="E109" s="44"/>
      <c r="F109" s="59"/>
      <c r="G109" s="60"/>
    </row>
    <row r="110" spans="1:12" x14ac:dyDescent="0.2">
      <c r="A110" s="132" t="s">
        <v>57</v>
      </c>
      <c r="B110" s="133" t="s">
        <v>68</v>
      </c>
      <c r="C110" s="134"/>
      <c r="D110" s="135"/>
      <c r="E110" s="136"/>
      <c r="F110" s="137"/>
      <c r="G110" s="138"/>
    </row>
    <row r="111" spans="1:12" x14ac:dyDescent="0.2">
      <c r="A111" s="144" t="s">
        <v>156</v>
      </c>
      <c r="B111" s="145" t="s">
        <v>281</v>
      </c>
      <c r="C111" s="146"/>
      <c r="D111" s="147"/>
      <c r="E111" s="148"/>
      <c r="F111" s="149"/>
      <c r="G111" s="150"/>
    </row>
    <row r="112" spans="1:12" ht="13.5" x14ac:dyDescent="0.2">
      <c r="A112" s="141"/>
      <c r="B112" s="142" t="s">
        <v>283</v>
      </c>
      <c r="C112" s="143" t="s">
        <v>455</v>
      </c>
      <c r="D112" s="91">
        <v>3.64</v>
      </c>
      <c r="E112" s="44"/>
      <c r="F112" s="59"/>
      <c r="G112" s="60">
        <f t="shared" ref="G112:G114" si="12">(D112*E112)+(D112*F112)</f>
        <v>0</v>
      </c>
      <c r="I112" s="28">
        <f>3*19+1.8*2</f>
        <v>60.6</v>
      </c>
      <c r="J112" s="28">
        <f>I112*0.2*0.3</f>
        <v>3.6360000000000001</v>
      </c>
    </row>
    <row r="113" spans="1:13" ht="13.5" x14ac:dyDescent="0.2">
      <c r="A113" s="141"/>
      <c r="B113" s="142" t="s">
        <v>284</v>
      </c>
      <c r="C113" s="143" t="s">
        <v>455</v>
      </c>
      <c r="D113" s="91">
        <v>0.97199999999999998</v>
      </c>
      <c r="E113" s="44"/>
      <c r="F113" s="59"/>
      <c r="G113" s="60">
        <f t="shared" si="12"/>
        <v>0</v>
      </c>
      <c r="I113" s="28">
        <f>4.02*2+4.08*2</f>
        <v>16.2</v>
      </c>
      <c r="J113" s="28">
        <f t="shared" ref="J113:J114" si="13">I113*0.2*0.3</f>
        <v>0.97199999999999998</v>
      </c>
    </row>
    <row r="114" spans="1:13" ht="13.5" x14ac:dyDescent="0.2">
      <c r="A114" s="141"/>
      <c r="B114" s="142" t="s">
        <v>285</v>
      </c>
      <c r="C114" s="143" t="s">
        <v>455</v>
      </c>
      <c r="D114" s="91">
        <v>2.37</v>
      </c>
      <c r="E114" s="44"/>
      <c r="F114" s="59"/>
      <c r="G114" s="60">
        <f t="shared" si="12"/>
        <v>0</v>
      </c>
      <c r="I114" s="28">
        <f>3.82*5+4.08*5</f>
        <v>39.5</v>
      </c>
      <c r="J114" s="28">
        <f t="shared" si="13"/>
        <v>2.37</v>
      </c>
    </row>
    <row r="115" spans="1:13" ht="13.5" x14ac:dyDescent="0.2">
      <c r="A115" s="141"/>
      <c r="B115" s="142" t="s">
        <v>286</v>
      </c>
      <c r="C115" s="143" t="s">
        <v>455</v>
      </c>
      <c r="D115" s="91">
        <v>1.8</v>
      </c>
      <c r="E115" s="44"/>
      <c r="F115" s="59"/>
      <c r="G115" s="60">
        <f t="shared" ref="G115:G119" si="14">(D115*E115)+(D115*F115)</f>
        <v>0</v>
      </c>
      <c r="I115" s="28">
        <f>3*10</f>
        <v>30</v>
      </c>
      <c r="J115" s="28">
        <f>I115*0.2*0.3</f>
        <v>1.7999999999999998</v>
      </c>
    </row>
    <row r="116" spans="1:13" ht="13.5" x14ac:dyDescent="0.2">
      <c r="A116" s="141"/>
      <c r="B116" s="142" t="s">
        <v>287</v>
      </c>
      <c r="C116" s="143" t="s">
        <v>455</v>
      </c>
      <c r="D116" s="91">
        <v>0.48</v>
      </c>
      <c r="E116" s="44"/>
      <c r="F116" s="59"/>
      <c r="G116" s="60">
        <f t="shared" si="14"/>
        <v>0</v>
      </c>
      <c r="I116" s="28">
        <f>3*2</f>
        <v>6</v>
      </c>
      <c r="J116" s="28">
        <f>I116*0.2*0.4</f>
        <v>0.48000000000000009</v>
      </c>
    </row>
    <row r="117" spans="1:13" ht="13.5" x14ac:dyDescent="0.2">
      <c r="A117" s="141"/>
      <c r="B117" s="142" t="s">
        <v>288</v>
      </c>
      <c r="C117" s="143" t="s">
        <v>455</v>
      </c>
      <c r="D117" s="91">
        <v>1.984</v>
      </c>
      <c r="E117" s="44"/>
      <c r="F117" s="59"/>
      <c r="G117" s="60">
        <f t="shared" si="14"/>
        <v>0</v>
      </c>
      <c r="I117" s="28">
        <f>6.2*4</f>
        <v>24.8</v>
      </c>
      <c r="J117" s="28">
        <f>I117*0.2*0.4</f>
        <v>1.9840000000000004</v>
      </c>
    </row>
    <row r="118" spans="1:13" x14ac:dyDescent="0.2">
      <c r="A118" s="144" t="s">
        <v>67</v>
      </c>
      <c r="B118" s="145" t="s">
        <v>282</v>
      </c>
      <c r="C118" s="146"/>
      <c r="D118" s="147"/>
      <c r="E118" s="148"/>
      <c r="F118" s="59"/>
      <c r="G118" s="60">
        <f t="shared" si="14"/>
        <v>0</v>
      </c>
    </row>
    <row r="119" spans="1:13" ht="13.5" x14ac:dyDescent="0.2">
      <c r="A119" s="141"/>
      <c r="B119" s="142" t="s">
        <v>289</v>
      </c>
      <c r="C119" s="143" t="s">
        <v>455</v>
      </c>
      <c r="D119" s="91">
        <v>47.86</v>
      </c>
      <c r="E119" s="44"/>
      <c r="F119" s="59"/>
      <c r="G119" s="60">
        <f t="shared" si="14"/>
        <v>0</v>
      </c>
      <c r="I119" s="28">
        <f>32.2*2.2</f>
        <v>70.840000000000018</v>
      </c>
      <c r="J119" s="28">
        <f>16.2*8.5</f>
        <v>137.69999999999999</v>
      </c>
      <c r="K119" s="28">
        <f>13*8.5</f>
        <v>110.5</v>
      </c>
      <c r="L119" s="28">
        <f>SUM(I119:K119)</f>
        <v>319.04000000000002</v>
      </c>
      <c r="M119" s="28">
        <f>L119*0.15</f>
        <v>47.856000000000002</v>
      </c>
    </row>
    <row r="120" spans="1:13" x14ac:dyDescent="0.2">
      <c r="A120" s="144" t="s">
        <v>71</v>
      </c>
      <c r="B120" s="145" t="s">
        <v>171</v>
      </c>
      <c r="C120" s="146"/>
      <c r="D120" s="147"/>
      <c r="E120" s="148"/>
      <c r="F120" s="149"/>
      <c r="G120" s="150"/>
    </row>
    <row r="121" spans="1:13" ht="13.5" x14ac:dyDescent="0.2">
      <c r="A121" s="141"/>
      <c r="B121" s="142" t="s">
        <v>483</v>
      </c>
      <c r="C121" s="143" t="s">
        <v>455</v>
      </c>
      <c r="D121" s="91">
        <v>4.4800000000000004</v>
      </c>
      <c r="E121" s="44"/>
      <c r="F121" s="59"/>
      <c r="G121" s="60">
        <f t="shared" ref="G121:G125" si="15">(D121*E121)+(D121*F121)</f>
        <v>0</v>
      </c>
      <c r="I121" s="28">
        <f>0.2*0.2*3.5*32</f>
        <v>4.4800000000000004</v>
      </c>
    </row>
    <row r="122" spans="1:13" ht="13.5" x14ac:dyDescent="0.2">
      <c r="A122" s="141"/>
      <c r="B122" s="142" t="s">
        <v>484</v>
      </c>
      <c r="C122" s="143" t="s">
        <v>455</v>
      </c>
      <c r="D122" s="91">
        <v>1.4</v>
      </c>
      <c r="E122" s="44"/>
      <c r="F122" s="59"/>
      <c r="G122" s="60">
        <f t="shared" si="15"/>
        <v>0</v>
      </c>
      <c r="I122" s="28">
        <f>0.4*0.2*3.5*5</f>
        <v>1.4000000000000001</v>
      </c>
    </row>
    <row r="123" spans="1:13" ht="13.5" x14ac:dyDescent="0.2">
      <c r="A123" s="141"/>
      <c r="B123" s="142" t="s">
        <v>485</v>
      </c>
      <c r="C123" s="143" t="s">
        <v>455</v>
      </c>
      <c r="D123" s="91">
        <v>0.55000000000000004</v>
      </c>
      <c r="E123" s="44"/>
      <c r="F123" s="59"/>
      <c r="G123" s="60">
        <f t="shared" si="15"/>
        <v>0</v>
      </c>
      <c r="I123" s="28">
        <f>0.15*0.15*3.05*8</f>
        <v>0.54899999999999993</v>
      </c>
    </row>
    <row r="124" spans="1:13" x14ac:dyDescent="0.2">
      <c r="A124" s="144" t="s">
        <v>100</v>
      </c>
      <c r="B124" s="145" t="s">
        <v>197</v>
      </c>
      <c r="C124" s="146"/>
      <c r="D124" s="147"/>
      <c r="E124" s="148"/>
      <c r="F124" s="59"/>
      <c r="G124" s="60">
        <f t="shared" si="15"/>
        <v>0</v>
      </c>
    </row>
    <row r="125" spans="1:13" ht="13.5" x14ac:dyDescent="0.2">
      <c r="A125" s="141"/>
      <c r="B125" s="142" t="s">
        <v>280</v>
      </c>
      <c r="C125" s="143" t="s">
        <v>455</v>
      </c>
      <c r="D125" s="91">
        <v>2.95</v>
      </c>
      <c r="E125" s="44"/>
      <c r="F125" s="59"/>
      <c r="G125" s="60">
        <f t="shared" si="15"/>
        <v>0</v>
      </c>
      <c r="I125" s="28">
        <f>19.4*0.56</f>
        <v>10.864000000000001</v>
      </c>
      <c r="J125" s="28">
        <f>214.37+I125</f>
        <v>225.23400000000001</v>
      </c>
      <c r="K125" s="28">
        <f>J125*0.1</f>
        <v>22.523400000000002</v>
      </c>
    </row>
    <row r="126" spans="1:13" x14ac:dyDescent="0.2">
      <c r="A126" s="144" t="s">
        <v>446</v>
      </c>
      <c r="B126" s="145" t="s">
        <v>441</v>
      </c>
      <c r="C126" s="146"/>
      <c r="D126" s="147"/>
      <c r="E126" s="148"/>
      <c r="F126" s="149"/>
      <c r="G126" s="150"/>
    </row>
    <row r="127" spans="1:13" ht="13.5" x14ac:dyDescent="0.2">
      <c r="A127" s="141"/>
      <c r="B127" s="142" t="s">
        <v>283</v>
      </c>
      <c r="C127" s="143" t="s">
        <v>455</v>
      </c>
      <c r="D127" s="91">
        <v>0.82</v>
      </c>
      <c r="E127" s="44"/>
      <c r="F127" s="59"/>
      <c r="G127" s="60">
        <f t="shared" ref="G127:G130" si="16">(D127*E127)+(D127*F127)</f>
        <v>0</v>
      </c>
      <c r="I127" s="28">
        <f>3.82*2+3*2</f>
        <v>13.64</v>
      </c>
      <c r="J127" s="28">
        <f>I127*0.2*0.3</f>
        <v>0.81840000000000002</v>
      </c>
    </row>
    <row r="128" spans="1:13" ht="12.75" thickBot="1" x14ac:dyDescent="0.25">
      <c r="A128" s="151"/>
      <c r="B128" s="152"/>
      <c r="C128" s="153"/>
      <c r="D128" s="154"/>
      <c r="E128" s="77"/>
      <c r="F128" s="155"/>
      <c r="G128" s="156"/>
    </row>
    <row r="129" spans="1:13" x14ac:dyDescent="0.2">
      <c r="A129" s="144" t="s">
        <v>447</v>
      </c>
      <c r="B129" s="145" t="s">
        <v>442</v>
      </c>
      <c r="C129" s="146"/>
      <c r="D129" s="147"/>
      <c r="E129" s="148"/>
      <c r="F129" s="59"/>
      <c r="G129" s="60">
        <f t="shared" si="16"/>
        <v>0</v>
      </c>
    </row>
    <row r="130" spans="1:13" ht="13.5" x14ac:dyDescent="0.2">
      <c r="A130" s="141"/>
      <c r="B130" s="142" t="s">
        <v>290</v>
      </c>
      <c r="C130" s="143" t="s">
        <v>455</v>
      </c>
      <c r="D130" s="91">
        <v>3.05</v>
      </c>
      <c r="E130" s="44"/>
      <c r="F130" s="59"/>
      <c r="G130" s="60">
        <f t="shared" si="16"/>
        <v>0</v>
      </c>
      <c r="I130" s="28">
        <f>5.925*3.4</f>
        <v>20.145</v>
      </c>
      <c r="J130" s="28">
        <f>I130*0.15</f>
        <v>3.0217499999999999</v>
      </c>
    </row>
    <row r="131" spans="1:13" x14ac:dyDescent="0.2">
      <c r="A131" s="141"/>
      <c r="B131" s="142"/>
      <c r="C131" s="143"/>
      <c r="D131" s="91"/>
      <c r="E131" s="44"/>
      <c r="F131" s="59"/>
      <c r="G131" s="60"/>
    </row>
    <row r="132" spans="1:13" x14ac:dyDescent="0.2">
      <c r="A132" s="132" t="s">
        <v>152</v>
      </c>
      <c r="B132" s="133" t="s">
        <v>70</v>
      </c>
      <c r="C132" s="134"/>
      <c r="D132" s="135"/>
      <c r="E132" s="136"/>
      <c r="F132" s="137"/>
      <c r="G132" s="138"/>
    </row>
    <row r="133" spans="1:13" x14ac:dyDescent="0.2">
      <c r="A133" s="144" t="s">
        <v>103</v>
      </c>
      <c r="B133" s="145" t="s">
        <v>281</v>
      </c>
      <c r="C133" s="146"/>
      <c r="D133" s="147"/>
      <c r="E133" s="148"/>
      <c r="F133" s="149"/>
      <c r="G133" s="150"/>
    </row>
    <row r="134" spans="1:13" ht="13.5" x14ac:dyDescent="0.2">
      <c r="A134" s="141"/>
      <c r="B134" s="142" t="s">
        <v>283</v>
      </c>
      <c r="C134" s="143" t="s">
        <v>455</v>
      </c>
      <c r="D134" s="91">
        <v>3.64</v>
      </c>
      <c r="E134" s="44"/>
      <c r="F134" s="59"/>
      <c r="G134" s="60">
        <f t="shared" ref="G134:G141" si="17">(D134*E134)+(D134*F134)</f>
        <v>0</v>
      </c>
      <c r="I134" s="28">
        <f>3*19+1.8*2</f>
        <v>60.6</v>
      </c>
      <c r="J134" s="28">
        <f>I134*0.2*0.3</f>
        <v>3.6360000000000001</v>
      </c>
    </row>
    <row r="135" spans="1:13" ht="13.5" x14ac:dyDescent="0.2">
      <c r="A135" s="141"/>
      <c r="B135" s="142" t="s">
        <v>284</v>
      </c>
      <c r="C135" s="143" t="s">
        <v>455</v>
      </c>
      <c r="D135" s="91">
        <v>0.97199999999999998</v>
      </c>
      <c r="E135" s="44"/>
      <c r="F135" s="59"/>
      <c r="G135" s="60">
        <f t="shared" si="17"/>
        <v>0</v>
      </c>
      <c r="I135" s="28">
        <f>4.02*2+4.08*2</f>
        <v>16.2</v>
      </c>
      <c r="J135" s="28">
        <f t="shared" ref="J135:J136" si="18">I135*0.2*0.3</f>
        <v>0.97199999999999998</v>
      </c>
    </row>
    <row r="136" spans="1:13" ht="13.5" x14ac:dyDescent="0.2">
      <c r="A136" s="141"/>
      <c r="B136" s="142" t="s">
        <v>285</v>
      </c>
      <c r="C136" s="143" t="s">
        <v>455</v>
      </c>
      <c r="D136" s="91">
        <v>2.37</v>
      </c>
      <c r="E136" s="44"/>
      <c r="F136" s="59"/>
      <c r="G136" s="60">
        <f t="shared" si="17"/>
        <v>0</v>
      </c>
      <c r="I136" s="28">
        <f>3.82*5+4.08*5</f>
        <v>39.5</v>
      </c>
      <c r="J136" s="28">
        <f t="shared" si="18"/>
        <v>2.37</v>
      </c>
    </row>
    <row r="137" spans="1:13" ht="13.5" x14ac:dyDescent="0.2">
      <c r="A137" s="141"/>
      <c r="B137" s="142" t="s">
        <v>286</v>
      </c>
      <c r="C137" s="143" t="s">
        <v>455</v>
      </c>
      <c r="D137" s="91">
        <v>1.8</v>
      </c>
      <c r="E137" s="44"/>
      <c r="F137" s="59"/>
      <c r="G137" s="60">
        <f t="shared" si="17"/>
        <v>0</v>
      </c>
      <c r="I137" s="28">
        <f>3*10</f>
        <v>30</v>
      </c>
      <c r="J137" s="28">
        <f>I137*0.2*0.3</f>
        <v>1.7999999999999998</v>
      </c>
    </row>
    <row r="138" spans="1:13" ht="13.5" x14ac:dyDescent="0.2">
      <c r="A138" s="141"/>
      <c r="B138" s="142" t="s">
        <v>287</v>
      </c>
      <c r="C138" s="143" t="s">
        <v>455</v>
      </c>
      <c r="D138" s="91">
        <v>0.48</v>
      </c>
      <c r="E138" s="44"/>
      <c r="F138" s="59"/>
      <c r="G138" s="60">
        <f t="shared" si="17"/>
        <v>0</v>
      </c>
      <c r="I138" s="28">
        <f>3*2</f>
        <v>6</v>
      </c>
      <c r="J138" s="28">
        <f>I138*0.2*0.4</f>
        <v>0.48000000000000009</v>
      </c>
    </row>
    <row r="139" spans="1:13" ht="13.5" x14ac:dyDescent="0.2">
      <c r="A139" s="141"/>
      <c r="B139" s="142" t="s">
        <v>288</v>
      </c>
      <c r="C139" s="143" t="s">
        <v>455</v>
      </c>
      <c r="D139" s="91">
        <v>1.984</v>
      </c>
      <c r="E139" s="44"/>
      <c r="F139" s="59"/>
      <c r="G139" s="60">
        <f t="shared" si="17"/>
        <v>0</v>
      </c>
      <c r="I139" s="28">
        <f>6.2*4</f>
        <v>24.8</v>
      </c>
      <c r="J139" s="28">
        <f>I139*0.2*0.4</f>
        <v>1.9840000000000004</v>
      </c>
    </row>
    <row r="140" spans="1:13" x14ac:dyDescent="0.2">
      <c r="A140" s="144" t="s">
        <v>136</v>
      </c>
      <c r="B140" s="145" t="s">
        <v>282</v>
      </c>
      <c r="C140" s="146"/>
      <c r="D140" s="147"/>
      <c r="E140" s="148"/>
      <c r="F140" s="59"/>
      <c r="G140" s="60">
        <f t="shared" si="17"/>
        <v>0</v>
      </c>
    </row>
    <row r="141" spans="1:13" ht="13.5" x14ac:dyDescent="0.2">
      <c r="A141" s="141"/>
      <c r="B141" s="142" t="s">
        <v>289</v>
      </c>
      <c r="C141" s="143" t="s">
        <v>455</v>
      </c>
      <c r="D141" s="91">
        <v>47.86</v>
      </c>
      <c r="E141" s="44"/>
      <c r="F141" s="59"/>
      <c r="G141" s="60">
        <f t="shared" si="17"/>
        <v>0</v>
      </c>
      <c r="I141" s="28">
        <f>32.2*2.2</f>
        <v>70.840000000000018</v>
      </c>
      <c r="J141" s="28">
        <f>16.2*8.5</f>
        <v>137.69999999999999</v>
      </c>
      <c r="K141" s="28">
        <f>13*8.5</f>
        <v>110.5</v>
      </c>
      <c r="L141" s="28">
        <f>SUM(I141:K141)</f>
        <v>319.04000000000002</v>
      </c>
      <c r="M141" s="28">
        <f>L141*0.15</f>
        <v>47.856000000000002</v>
      </c>
    </row>
    <row r="142" spans="1:13" x14ac:dyDescent="0.2">
      <c r="A142" s="144" t="s">
        <v>137</v>
      </c>
      <c r="B142" s="145" t="s">
        <v>171</v>
      </c>
      <c r="C142" s="146"/>
      <c r="D142" s="147"/>
      <c r="E142" s="148"/>
      <c r="F142" s="149"/>
      <c r="G142" s="150"/>
    </row>
    <row r="143" spans="1:13" ht="13.5" x14ac:dyDescent="0.2">
      <c r="A143" s="141"/>
      <c r="B143" s="142" t="s">
        <v>483</v>
      </c>
      <c r="C143" s="143" t="s">
        <v>455</v>
      </c>
      <c r="D143" s="91">
        <v>4.4800000000000004</v>
      </c>
      <c r="E143" s="44"/>
      <c r="F143" s="59"/>
      <c r="G143" s="60">
        <f t="shared" ref="G143:G145" si="19">(D143*E143)+(D143*F143)</f>
        <v>0</v>
      </c>
      <c r="I143" s="28">
        <f>0.2*0.2*3.5*32</f>
        <v>4.4800000000000004</v>
      </c>
    </row>
    <row r="144" spans="1:13" ht="13.5" x14ac:dyDescent="0.2">
      <c r="A144" s="141"/>
      <c r="B144" s="142" t="s">
        <v>484</v>
      </c>
      <c r="C144" s="143" t="s">
        <v>455</v>
      </c>
      <c r="D144" s="91">
        <v>1.4</v>
      </c>
      <c r="E144" s="44"/>
      <c r="F144" s="59"/>
      <c r="G144" s="60">
        <f t="shared" si="19"/>
        <v>0</v>
      </c>
      <c r="I144" s="28">
        <f>0.4*0.2*3.5*5</f>
        <v>1.4000000000000001</v>
      </c>
    </row>
    <row r="145" spans="1:17" ht="13.5" x14ac:dyDescent="0.2">
      <c r="A145" s="141"/>
      <c r="B145" s="142" t="s">
        <v>485</v>
      </c>
      <c r="C145" s="143" t="s">
        <v>455</v>
      </c>
      <c r="D145" s="91">
        <v>0.55000000000000004</v>
      </c>
      <c r="E145" s="44"/>
      <c r="F145" s="59"/>
      <c r="G145" s="60">
        <f t="shared" si="19"/>
        <v>0</v>
      </c>
      <c r="I145" s="28">
        <f>0.15*0.15*3.05*8</f>
        <v>0.54899999999999993</v>
      </c>
    </row>
    <row r="146" spans="1:17" x14ac:dyDescent="0.2">
      <c r="A146" s="141"/>
      <c r="B146" s="142"/>
      <c r="C146" s="143"/>
      <c r="D146" s="91"/>
      <c r="E146" s="44"/>
      <c r="F146" s="59"/>
      <c r="G146" s="60"/>
    </row>
    <row r="147" spans="1:17" x14ac:dyDescent="0.2">
      <c r="A147" s="132" t="s">
        <v>153</v>
      </c>
      <c r="B147" s="133" t="s">
        <v>260</v>
      </c>
      <c r="C147" s="134"/>
      <c r="D147" s="135"/>
      <c r="E147" s="136"/>
      <c r="F147" s="137"/>
      <c r="G147" s="138"/>
    </row>
    <row r="148" spans="1:17" x14ac:dyDescent="0.2">
      <c r="A148" s="144" t="s">
        <v>109</v>
      </c>
      <c r="B148" s="145" t="s">
        <v>273</v>
      </c>
      <c r="C148" s="146"/>
      <c r="D148" s="147"/>
      <c r="E148" s="148"/>
      <c r="F148" s="149"/>
      <c r="G148" s="150"/>
    </row>
    <row r="149" spans="1:17" ht="13.5" x14ac:dyDescent="0.2">
      <c r="A149" s="141"/>
      <c r="B149" s="142" t="s">
        <v>294</v>
      </c>
      <c r="C149" s="143" t="s">
        <v>455</v>
      </c>
      <c r="D149" s="91">
        <v>2.2320000000000002</v>
      </c>
      <c r="E149" s="44"/>
      <c r="F149" s="59"/>
      <c r="G149" s="60">
        <f t="shared" ref="G149:G151" si="20">(D149*E149)+(D149*F149)</f>
        <v>0</v>
      </c>
      <c r="I149" s="28">
        <f>6.2*4</f>
        <v>24.8</v>
      </c>
      <c r="J149" s="28">
        <f>I149*0.2*0.45</f>
        <v>2.2320000000000007</v>
      </c>
    </row>
    <row r="150" spans="1:17" ht="13.5" x14ac:dyDescent="0.2">
      <c r="A150" s="141"/>
      <c r="B150" s="142" t="s">
        <v>293</v>
      </c>
      <c r="C150" s="143" t="s">
        <v>455</v>
      </c>
      <c r="D150" s="91">
        <v>0.54</v>
      </c>
      <c r="E150" s="44"/>
      <c r="F150" s="59"/>
      <c r="G150" s="60">
        <f t="shared" si="20"/>
        <v>0</v>
      </c>
      <c r="I150" s="28">
        <f>3*2</f>
        <v>6</v>
      </c>
      <c r="J150" s="28">
        <f>I150*0.2*0.45</f>
        <v>0.54000000000000015</v>
      </c>
    </row>
    <row r="151" spans="1:17" ht="13.5" x14ac:dyDescent="0.2">
      <c r="A151" s="141"/>
      <c r="B151" s="142" t="s">
        <v>292</v>
      </c>
      <c r="C151" s="143" t="s">
        <v>455</v>
      </c>
      <c r="D151" s="91">
        <v>12.64</v>
      </c>
      <c r="E151" s="44"/>
      <c r="F151" s="59"/>
      <c r="G151" s="60">
        <f t="shared" si="20"/>
        <v>0</v>
      </c>
      <c r="I151" s="28">
        <f>3*10*3+4.02*7+3.82*5+4.08*2+1.8*7</f>
        <v>158</v>
      </c>
      <c r="J151" s="28">
        <f>I151*0.2*0.4</f>
        <v>12.64</v>
      </c>
    </row>
    <row r="152" spans="1:17" x14ac:dyDescent="0.2">
      <c r="A152" s="141"/>
      <c r="B152" s="142"/>
      <c r="C152" s="143"/>
      <c r="D152" s="91"/>
      <c r="E152" s="44"/>
      <c r="F152" s="59"/>
      <c r="G152" s="60"/>
    </row>
    <row r="153" spans="1:17" x14ac:dyDescent="0.2">
      <c r="A153" s="118" t="s">
        <v>71</v>
      </c>
      <c r="B153" s="157" t="s">
        <v>12</v>
      </c>
      <c r="C153" s="131"/>
      <c r="D153" s="121"/>
      <c r="E153" s="122"/>
      <c r="F153" s="121"/>
      <c r="G153" s="158"/>
      <c r="M153" s="28" t="e">
        <f>#REF!-#REF!</f>
        <v>#REF!</v>
      </c>
    </row>
    <row r="154" spans="1:17" ht="25.5" customHeight="1" x14ac:dyDescent="0.2">
      <c r="A154" s="40"/>
      <c r="B154" s="67" t="s">
        <v>134</v>
      </c>
      <c r="C154" s="67"/>
      <c r="D154" s="67"/>
      <c r="E154" s="67"/>
      <c r="F154" s="67"/>
      <c r="G154" s="159"/>
    </row>
    <row r="155" spans="1:17" ht="59.25" customHeight="1" x14ac:dyDescent="0.2">
      <c r="A155" s="40"/>
      <c r="B155" s="67" t="s">
        <v>72</v>
      </c>
      <c r="C155" s="67"/>
      <c r="D155" s="67"/>
      <c r="E155" s="67"/>
      <c r="F155" s="67"/>
      <c r="G155" s="159"/>
    </row>
    <row r="156" spans="1:17" ht="50.25" customHeight="1" x14ac:dyDescent="0.2">
      <c r="A156" s="40"/>
      <c r="B156" s="67" t="s">
        <v>73</v>
      </c>
      <c r="C156" s="67"/>
      <c r="D156" s="67"/>
      <c r="E156" s="67"/>
      <c r="F156" s="67"/>
      <c r="G156" s="159"/>
    </row>
    <row r="157" spans="1:17" ht="59.25" customHeight="1" x14ac:dyDescent="0.2">
      <c r="A157" s="40"/>
      <c r="B157" s="62" t="s">
        <v>74</v>
      </c>
      <c r="C157" s="62"/>
      <c r="D157" s="62"/>
      <c r="E157" s="62"/>
      <c r="F157" s="62"/>
      <c r="G157" s="160"/>
    </row>
    <row r="158" spans="1:17" x14ac:dyDescent="0.2">
      <c r="A158" s="132" t="s">
        <v>150</v>
      </c>
      <c r="B158" s="133" t="s">
        <v>63</v>
      </c>
      <c r="C158" s="134"/>
      <c r="D158" s="135"/>
      <c r="E158" s="136"/>
      <c r="F158" s="137"/>
      <c r="G158" s="138"/>
    </row>
    <row r="159" spans="1:17" ht="13.5" x14ac:dyDescent="0.2">
      <c r="A159" s="40"/>
      <c r="B159" s="105" t="s">
        <v>439</v>
      </c>
      <c r="C159" s="161" t="s">
        <v>456</v>
      </c>
      <c r="D159" s="57">
        <v>66.78</v>
      </c>
      <c r="E159" s="44"/>
      <c r="F159" s="59"/>
      <c r="G159" s="60">
        <f t="shared" ref="G159:G161" si="21">(D159*E159)+(D159*F159)</f>
        <v>0</v>
      </c>
      <c r="I159" s="39">
        <f>1.05*4*0.3*9</f>
        <v>11.34</v>
      </c>
      <c r="J159" s="39">
        <f>1.15*4*0.3*5</f>
        <v>6.8999999999999995</v>
      </c>
      <c r="K159" s="39">
        <f>1.45*4*0.3*9</f>
        <v>15.66</v>
      </c>
      <c r="L159" s="39">
        <f>1.35*4*0.3*5</f>
        <v>8.1000000000000014</v>
      </c>
      <c r="M159" s="39">
        <f>1.55*4*0.3*5</f>
        <v>9.2999999999999989</v>
      </c>
      <c r="N159" s="39">
        <f>2.2*4*0.3*3</f>
        <v>7.92</v>
      </c>
      <c r="O159" s="39">
        <f>2.35*4*0.3*2</f>
        <v>5.64</v>
      </c>
      <c r="P159" s="39">
        <f>0.8*4*0.3*2</f>
        <v>1.92</v>
      </c>
      <c r="Q159" s="39">
        <f>SUM(I159:P159)</f>
        <v>66.78</v>
      </c>
    </row>
    <row r="160" spans="1:17" ht="13.5" x14ac:dyDescent="0.2">
      <c r="A160" s="40"/>
      <c r="B160" s="105" t="s">
        <v>277</v>
      </c>
      <c r="C160" s="161" t="s">
        <v>456</v>
      </c>
      <c r="D160" s="57">
        <v>140.94</v>
      </c>
      <c r="E160" s="44"/>
      <c r="F160" s="59"/>
      <c r="G160" s="60">
        <f t="shared" si="21"/>
        <v>0</v>
      </c>
      <c r="I160" s="139">
        <f>32.25*4+3.97*2+4.055*2+1.75*2+3.995+4.055</f>
        <v>156.60000000000002</v>
      </c>
      <c r="J160" s="112">
        <f>I160*0.45*2</f>
        <v>140.94000000000003</v>
      </c>
      <c r="K160" s="112"/>
      <c r="L160" s="140"/>
      <c r="M160" s="39"/>
      <c r="N160" s="140"/>
    </row>
    <row r="161" spans="1:14" ht="13.5" x14ac:dyDescent="0.2">
      <c r="A161" s="40"/>
      <c r="B161" s="105" t="s">
        <v>278</v>
      </c>
      <c r="C161" s="161" t="s">
        <v>456</v>
      </c>
      <c r="D161" s="57">
        <v>28.89</v>
      </c>
      <c r="E161" s="44"/>
      <c r="F161" s="59"/>
      <c r="G161" s="60">
        <f t="shared" si="21"/>
        <v>0</v>
      </c>
      <c r="I161" s="139">
        <f>3.97*4+4.055*4</f>
        <v>32.1</v>
      </c>
      <c r="J161" s="112">
        <f>I161*0.45*2</f>
        <v>28.89</v>
      </c>
      <c r="K161" s="112"/>
      <c r="L161" s="140"/>
      <c r="M161" s="39"/>
      <c r="N161" s="140"/>
    </row>
    <row r="162" spans="1:14" x14ac:dyDescent="0.2">
      <c r="A162" s="132" t="s">
        <v>151</v>
      </c>
      <c r="B162" s="133" t="s">
        <v>66</v>
      </c>
      <c r="C162" s="134"/>
      <c r="D162" s="135"/>
      <c r="E162" s="136"/>
      <c r="F162" s="137"/>
      <c r="G162" s="138"/>
    </row>
    <row r="163" spans="1:14" x14ac:dyDescent="0.2">
      <c r="A163" s="144" t="s">
        <v>155</v>
      </c>
      <c r="B163" s="145" t="s">
        <v>171</v>
      </c>
      <c r="C163" s="146"/>
      <c r="D163" s="147"/>
      <c r="E163" s="148"/>
      <c r="F163" s="149"/>
      <c r="G163" s="150"/>
    </row>
    <row r="164" spans="1:14" ht="13.5" x14ac:dyDescent="0.2">
      <c r="A164" s="141"/>
      <c r="B164" s="142" t="s">
        <v>480</v>
      </c>
      <c r="C164" s="161" t="s">
        <v>456</v>
      </c>
      <c r="D164" s="91">
        <v>190.32</v>
      </c>
      <c r="E164" s="44"/>
      <c r="F164" s="59"/>
      <c r="G164" s="60">
        <f t="shared" ref="G164:G172" si="22">(D164*E164)+(D164*F164)</f>
        <v>0</v>
      </c>
      <c r="I164" s="28">
        <f>0.2*4*4.575*52</f>
        <v>190.32</v>
      </c>
    </row>
    <row r="165" spans="1:14" ht="13.5" x14ac:dyDescent="0.2">
      <c r="A165" s="141"/>
      <c r="B165" s="142" t="s">
        <v>481</v>
      </c>
      <c r="C165" s="161" t="s">
        <v>456</v>
      </c>
      <c r="D165" s="91">
        <v>27.45</v>
      </c>
      <c r="E165" s="44"/>
      <c r="F165" s="59"/>
      <c r="G165" s="60">
        <f t="shared" si="22"/>
        <v>0</v>
      </c>
      <c r="I165" s="28">
        <f>1.2*4.575*5</f>
        <v>27.450000000000003</v>
      </c>
    </row>
    <row r="166" spans="1:14" ht="13.5" x14ac:dyDescent="0.2">
      <c r="A166" s="141"/>
      <c r="B166" s="142" t="s">
        <v>482</v>
      </c>
      <c r="C166" s="161" t="s">
        <v>456</v>
      </c>
      <c r="D166" s="91">
        <v>19.8</v>
      </c>
      <c r="E166" s="44"/>
      <c r="F166" s="59"/>
      <c r="G166" s="60">
        <f t="shared" si="22"/>
        <v>0</v>
      </c>
      <c r="I166" s="28">
        <f>0.6*4.125*8</f>
        <v>19.8</v>
      </c>
    </row>
    <row r="167" spans="1:14" x14ac:dyDescent="0.2">
      <c r="A167" s="144" t="s">
        <v>10</v>
      </c>
      <c r="B167" s="145" t="s">
        <v>197</v>
      </c>
      <c r="C167" s="146"/>
      <c r="D167" s="147"/>
      <c r="E167" s="148"/>
      <c r="F167" s="59"/>
      <c r="G167" s="60">
        <f t="shared" si="22"/>
        <v>0</v>
      </c>
    </row>
    <row r="168" spans="1:14" ht="13.5" x14ac:dyDescent="0.2">
      <c r="A168" s="141"/>
      <c r="B168" s="142" t="s">
        <v>280</v>
      </c>
      <c r="C168" s="161" t="s">
        <v>456</v>
      </c>
      <c r="D168" s="91">
        <v>28.5</v>
      </c>
      <c r="E168" s="44"/>
      <c r="F168" s="59"/>
      <c r="G168" s="60">
        <f t="shared" si="22"/>
        <v>0</v>
      </c>
    </row>
    <row r="169" spans="1:14" x14ac:dyDescent="0.2">
      <c r="A169" s="144" t="s">
        <v>16</v>
      </c>
      <c r="B169" s="145" t="s">
        <v>443</v>
      </c>
      <c r="C169" s="146"/>
      <c r="D169" s="147"/>
      <c r="E169" s="148"/>
      <c r="F169" s="59"/>
      <c r="G169" s="60">
        <f t="shared" si="22"/>
        <v>0</v>
      </c>
    </row>
    <row r="170" spans="1:14" ht="13.5" x14ac:dyDescent="0.2">
      <c r="A170" s="141"/>
      <c r="B170" s="142" t="s">
        <v>283</v>
      </c>
      <c r="C170" s="161" t="s">
        <v>456</v>
      </c>
      <c r="D170" s="91">
        <v>14.35</v>
      </c>
      <c r="E170" s="44"/>
      <c r="F170" s="59"/>
      <c r="G170" s="60">
        <f t="shared" si="22"/>
        <v>0</v>
      </c>
      <c r="I170" s="28">
        <f>3.82*2+3*2</f>
        <v>13.64</v>
      </c>
      <c r="J170" s="28">
        <f>I170*1.05</f>
        <v>14.322000000000001</v>
      </c>
    </row>
    <row r="171" spans="1:14" x14ac:dyDescent="0.2">
      <c r="A171" s="144" t="s">
        <v>48</v>
      </c>
      <c r="B171" s="145" t="s">
        <v>444</v>
      </c>
      <c r="C171" s="146"/>
      <c r="D171" s="147"/>
      <c r="E171" s="148"/>
      <c r="F171" s="59"/>
      <c r="G171" s="60">
        <f t="shared" si="22"/>
        <v>0</v>
      </c>
    </row>
    <row r="172" spans="1:14" ht="14.25" thickBot="1" x14ac:dyDescent="0.25">
      <c r="A172" s="151"/>
      <c r="B172" s="152" t="s">
        <v>445</v>
      </c>
      <c r="C172" s="162" t="s">
        <v>456</v>
      </c>
      <c r="D172" s="154">
        <v>20.655000000000001</v>
      </c>
      <c r="E172" s="77"/>
      <c r="F172" s="155"/>
      <c r="G172" s="156">
        <f t="shared" si="22"/>
        <v>0</v>
      </c>
      <c r="I172" s="28">
        <f>5.925*3.4</f>
        <v>20.145</v>
      </c>
    </row>
    <row r="173" spans="1:14" x14ac:dyDescent="0.2">
      <c r="A173" s="141"/>
      <c r="B173" s="142"/>
      <c r="C173" s="161"/>
      <c r="D173" s="91"/>
      <c r="E173" s="44"/>
      <c r="F173" s="59"/>
      <c r="G173" s="60"/>
    </row>
    <row r="174" spans="1:14" x14ac:dyDescent="0.2">
      <c r="A174" s="132" t="s">
        <v>57</v>
      </c>
      <c r="B174" s="133" t="s">
        <v>68</v>
      </c>
      <c r="C174" s="134"/>
      <c r="D174" s="135"/>
      <c r="E174" s="136"/>
      <c r="F174" s="137"/>
      <c r="G174" s="138"/>
    </row>
    <row r="175" spans="1:14" x14ac:dyDescent="0.2">
      <c r="A175" s="144" t="s">
        <v>156</v>
      </c>
      <c r="B175" s="145" t="s">
        <v>281</v>
      </c>
      <c r="C175" s="146"/>
      <c r="D175" s="147"/>
      <c r="E175" s="148"/>
      <c r="F175" s="149"/>
      <c r="G175" s="150"/>
    </row>
    <row r="176" spans="1:14" ht="13.5" x14ac:dyDescent="0.2">
      <c r="A176" s="141"/>
      <c r="B176" s="142" t="s">
        <v>283</v>
      </c>
      <c r="C176" s="161" t="s">
        <v>456</v>
      </c>
      <c r="D176" s="91">
        <v>63.63</v>
      </c>
      <c r="E176" s="44"/>
      <c r="F176" s="59"/>
      <c r="G176" s="60">
        <f t="shared" ref="G176:G183" si="23">(D176*E176)+(D176*F176)</f>
        <v>0</v>
      </c>
      <c r="I176" s="28">
        <f>3*19+1.8*2</f>
        <v>60.6</v>
      </c>
      <c r="J176" s="28">
        <f>I176*1.05</f>
        <v>63.63</v>
      </c>
    </row>
    <row r="177" spans="1:12" ht="13.5" x14ac:dyDescent="0.2">
      <c r="A177" s="141"/>
      <c r="B177" s="142" t="s">
        <v>284</v>
      </c>
      <c r="C177" s="161" t="s">
        <v>456</v>
      </c>
      <c r="D177" s="91">
        <v>17.25</v>
      </c>
      <c r="E177" s="44"/>
      <c r="F177" s="59"/>
      <c r="G177" s="60">
        <f t="shared" si="23"/>
        <v>0</v>
      </c>
      <c r="I177" s="28">
        <f>4.02*2+4.08*2</f>
        <v>16.2</v>
      </c>
      <c r="J177" s="28">
        <f>I177*1.05</f>
        <v>17.010000000000002</v>
      </c>
    </row>
    <row r="178" spans="1:12" ht="13.5" x14ac:dyDescent="0.2">
      <c r="A178" s="141"/>
      <c r="B178" s="142" t="s">
        <v>285</v>
      </c>
      <c r="C178" s="161" t="s">
        <v>456</v>
      </c>
      <c r="D178" s="91">
        <v>35.549999999999997</v>
      </c>
      <c r="E178" s="44"/>
      <c r="F178" s="59"/>
      <c r="G178" s="60">
        <f t="shared" si="23"/>
        <v>0</v>
      </c>
      <c r="I178" s="28">
        <f>3.82*5+4.08*5</f>
        <v>39.5</v>
      </c>
      <c r="J178" s="28">
        <f>I178*0.9</f>
        <v>35.550000000000004</v>
      </c>
    </row>
    <row r="179" spans="1:12" ht="13.5" x14ac:dyDescent="0.2">
      <c r="A179" s="141"/>
      <c r="B179" s="142" t="s">
        <v>286</v>
      </c>
      <c r="C179" s="161" t="s">
        <v>456</v>
      </c>
      <c r="D179" s="91">
        <v>27</v>
      </c>
      <c r="E179" s="44"/>
      <c r="F179" s="59"/>
      <c r="G179" s="60">
        <f t="shared" si="23"/>
        <v>0</v>
      </c>
      <c r="I179" s="28">
        <f>3*10</f>
        <v>30</v>
      </c>
      <c r="J179" s="28">
        <f>I179*0.9</f>
        <v>27</v>
      </c>
    </row>
    <row r="180" spans="1:12" ht="13.5" x14ac:dyDescent="0.2">
      <c r="A180" s="141"/>
      <c r="B180" s="142" t="s">
        <v>287</v>
      </c>
      <c r="C180" s="161" t="s">
        <v>456</v>
      </c>
      <c r="D180" s="91">
        <v>6.6</v>
      </c>
      <c r="E180" s="44"/>
      <c r="F180" s="59"/>
      <c r="G180" s="60">
        <f t="shared" si="23"/>
        <v>0</v>
      </c>
      <c r="I180" s="28">
        <f>3*2</f>
        <v>6</v>
      </c>
      <c r="J180" s="28">
        <f>I180*1.1</f>
        <v>6.6000000000000005</v>
      </c>
    </row>
    <row r="181" spans="1:12" ht="13.5" x14ac:dyDescent="0.2">
      <c r="A181" s="141"/>
      <c r="B181" s="142" t="s">
        <v>288</v>
      </c>
      <c r="C181" s="161" t="s">
        <v>456</v>
      </c>
      <c r="D181" s="91">
        <v>27.28</v>
      </c>
      <c r="E181" s="44"/>
      <c r="F181" s="59"/>
      <c r="G181" s="60">
        <f t="shared" si="23"/>
        <v>0</v>
      </c>
      <c r="I181" s="28">
        <f>6.2*4</f>
        <v>24.8</v>
      </c>
      <c r="J181" s="28">
        <f>I181*1.1</f>
        <v>27.280000000000005</v>
      </c>
    </row>
    <row r="182" spans="1:12" x14ac:dyDescent="0.2">
      <c r="A182" s="144" t="s">
        <v>67</v>
      </c>
      <c r="B182" s="145" t="s">
        <v>282</v>
      </c>
      <c r="C182" s="146"/>
      <c r="D182" s="147"/>
      <c r="E182" s="148"/>
      <c r="F182" s="59"/>
      <c r="G182" s="60">
        <f t="shared" si="23"/>
        <v>0</v>
      </c>
    </row>
    <row r="183" spans="1:12" ht="13.5" x14ac:dyDescent="0.2">
      <c r="A183" s="141"/>
      <c r="B183" s="142" t="s">
        <v>289</v>
      </c>
      <c r="C183" s="161" t="s">
        <v>456</v>
      </c>
      <c r="D183" s="91">
        <v>319.05</v>
      </c>
      <c r="E183" s="44"/>
      <c r="F183" s="59"/>
      <c r="G183" s="60">
        <f t="shared" si="23"/>
        <v>0</v>
      </c>
      <c r="I183" s="28">
        <f>32.2*2.2</f>
        <v>70.840000000000018</v>
      </c>
      <c r="J183" s="28">
        <f>16.2*8.5</f>
        <v>137.69999999999999</v>
      </c>
      <c r="K183" s="28">
        <f>13*8.5</f>
        <v>110.5</v>
      </c>
      <c r="L183" s="28">
        <f>SUM(I183:K183)</f>
        <v>319.04000000000002</v>
      </c>
    </row>
    <row r="184" spans="1:12" x14ac:dyDescent="0.2">
      <c r="A184" s="144" t="s">
        <v>71</v>
      </c>
      <c r="B184" s="145" t="s">
        <v>171</v>
      </c>
      <c r="C184" s="146"/>
      <c r="D184" s="147"/>
      <c r="E184" s="148"/>
      <c r="F184" s="149"/>
      <c r="G184" s="150"/>
    </row>
    <row r="185" spans="1:12" ht="13.5" x14ac:dyDescent="0.2">
      <c r="A185" s="141"/>
      <c r="B185" s="142" t="s">
        <v>483</v>
      </c>
      <c r="C185" s="161" t="s">
        <v>456</v>
      </c>
      <c r="D185" s="91">
        <v>89.6</v>
      </c>
      <c r="E185" s="44"/>
      <c r="F185" s="59"/>
      <c r="G185" s="60">
        <f t="shared" ref="G185:G189" si="24">(D185*E185)+(D185*F185)</f>
        <v>0</v>
      </c>
      <c r="I185" s="28">
        <f>0.8*3.5*32</f>
        <v>89.600000000000009</v>
      </c>
    </row>
    <row r="186" spans="1:12" ht="13.5" x14ac:dyDescent="0.2">
      <c r="A186" s="141"/>
      <c r="B186" s="142" t="s">
        <v>484</v>
      </c>
      <c r="C186" s="161" t="s">
        <v>456</v>
      </c>
      <c r="D186" s="91">
        <v>21</v>
      </c>
      <c r="E186" s="44"/>
      <c r="F186" s="59"/>
      <c r="G186" s="60">
        <f t="shared" si="24"/>
        <v>0</v>
      </c>
      <c r="I186" s="28">
        <f>1.2*3.5*5</f>
        <v>21</v>
      </c>
    </row>
    <row r="187" spans="1:12" ht="13.5" x14ac:dyDescent="0.2">
      <c r="A187" s="141"/>
      <c r="B187" s="142" t="s">
        <v>485</v>
      </c>
      <c r="C187" s="161" t="s">
        <v>456</v>
      </c>
      <c r="D187" s="91">
        <v>14.64</v>
      </c>
      <c r="E187" s="44"/>
      <c r="F187" s="59"/>
      <c r="G187" s="60">
        <f t="shared" si="24"/>
        <v>0</v>
      </c>
      <c r="I187" s="28">
        <f>0.6*3.05*8</f>
        <v>14.639999999999999</v>
      </c>
    </row>
    <row r="188" spans="1:12" x14ac:dyDescent="0.2">
      <c r="A188" s="144" t="s">
        <v>100</v>
      </c>
      <c r="B188" s="145" t="s">
        <v>197</v>
      </c>
      <c r="C188" s="146"/>
      <c r="D188" s="147"/>
      <c r="E188" s="148"/>
      <c r="F188" s="59"/>
      <c r="G188" s="60">
        <f t="shared" si="24"/>
        <v>0</v>
      </c>
    </row>
    <row r="189" spans="1:12" ht="13.5" x14ac:dyDescent="0.2">
      <c r="A189" s="141"/>
      <c r="B189" s="142" t="s">
        <v>280</v>
      </c>
      <c r="C189" s="161" t="s">
        <v>456</v>
      </c>
      <c r="D189" s="91">
        <v>24.5</v>
      </c>
      <c r="E189" s="44"/>
      <c r="F189" s="59"/>
      <c r="G189" s="60">
        <f t="shared" si="24"/>
        <v>0</v>
      </c>
      <c r="I189" s="28">
        <f>19.4*0.56</f>
        <v>10.864000000000001</v>
      </c>
      <c r="J189" s="28">
        <f>214.37+I189</f>
        <v>225.23400000000001</v>
      </c>
      <c r="K189" s="28">
        <f>J189*0.1</f>
        <v>22.523400000000002</v>
      </c>
    </row>
    <row r="190" spans="1:12" x14ac:dyDescent="0.2">
      <c r="A190" s="144" t="s">
        <v>446</v>
      </c>
      <c r="B190" s="145" t="s">
        <v>443</v>
      </c>
      <c r="C190" s="146"/>
      <c r="D190" s="147"/>
      <c r="E190" s="148"/>
      <c r="F190" s="59"/>
      <c r="G190" s="60">
        <f t="shared" ref="G190:G193" si="25">(D190*E190)+(D190*F190)</f>
        <v>0</v>
      </c>
    </row>
    <row r="191" spans="1:12" ht="13.5" x14ac:dyDescent="0.2">
      <c r="A191" s="141"/>
      <c r="B191" s="142" t="s">
        <v>283</v>
      </c>
      <c r="C191" s="161" t="s">
        <v>456</v>
      </c>
      <c r="D191" s="91">
        <v>7.3710000000000004</v>
      </c>
      <c r="E191" s="44"/>
      <c r="F191" s="59"/>
      <c r="G191" s="60">
        <f t="shared" si="25"/>
        <v>0</v>
      </c>
      <c r="I191" s="28">
        <f>3.82*2+3*2</f>
        <v>13.64</v>
      </c>
      <c r="J191" s="28">
        <f>I191*1.05</f>
        <v>14.322000000000001</v>
      </c>
    </row>
    <row r="192" spans="1:12" x14ac:dyDescent="0.2">
      <c r="A192" s="144" t="s">
        <v>447</v>
      </c>
      <c r="B192" s="145" t="s">
        <v>444</v>
      </c>
      <c r="C192" s="146"/>
      <c r="D192" s="147"/>
      <c r="E192" s="148"/>
      <c r="F192" s="59"/>
      <c r="G192" s="60">
        <f t="shared" si="25"/>
        <v>0</v>
      </c>
    </row>
    <row r="193" spans="1:12" ht="13.5" x14ac:dyDescent="0.2">
      <c r="A193" s="141"/>
      <c r="B193" s="142" t="s">
        <v>445</v>
      </c>
      <c r="C193" s="161" t="s">
        <v>456</v>
      </c>
      <c r="D193" s="91">
        <v>20.655000000000001</v>
      </c>
      <c r="E193" s="44"/>
      <c r="F193" s="59"/>
      <c r="G193" s="60">
        <f t="shared" si="25"/>
        <v>0</v>
      </c>
      <c r="I193" s="28">
        <f>5.925*3.4</f>
        <v>20.145</v>
      </c>
    </row>
    <row r="194" spans="1:12" x14ac:dyDescent="0.2">
      <c r="A194" s="141"/>
      <c r="B194" s="142"/>
      <c r="C194" s="161"/>
      <c r="D194" s="91"/>
      <c r="E194" s="44"/>
      <c r="F194" s="59"/>
      <c r="G194" s="60"/>
    </row>
    <row r="195" spans="1:12" x14ac:dyDescent="0.2">
      <c r="A195" s="132" t="s">
        <v>152</v>
      </c>
      <c r="B195" s="133" t="s">
        <v>70</v>
      </c>
      <c r="C195" s="134"/>
      <c r="D195" s="135"/>
      <c r="E195" s="136"/>
      <c r="F195" s="137"/>
      <c r="G195" s="138"/>
    </row>
    <row r="196" spans="1:12" x14ac:dyDescent="0.2">
      <c r="A196" s="144" t="s">
        <v>103</v>
      </c>
      <c r="B196" s="145" t="s">
        <v>281</v>
      </c>
      <c r="C196" s="146"/>
      <c r="D196" s="147"/>
      <c r="E196" s="148"/>
      <c r="F196" s="149"/>
      <c r="G196" s="150"/>
    </row>
    <row r="197" spans="1:12" ht="13.5" x14ac:dyDescent="0.2">
      <c r="A197" s="141"/>
      <c r="B197" s="142" t="s">
        <v>283</v>
      </c>
      <c r="C197" s="161" t="s">
        <v>456</v>
      </c>
      <c r="D197" s="91">
        <v>63.63</v>
      </c>
      <c r="E197" s="44"/>
      <c r="F197" s="59"/>
      <c r="G197" s="60">
        <f t="shared" ref="G197:G204" si="26">(D197*E197)+(D197*F197)</f>
        <v>0</v>
      </c>
      <c r="I197" s="28">
        <f>3*19+1.8*2</f>
        <v>60.6</v>
      </c>
      <c r="J197" s="28">
        <f>I197*1.05</f>
        <v>63.63</v>
      </c>
    </row>
    <row r="198" spans="1:12" ht="13.5" x14ac:dyDescent="0.2">
      <c r="A198" s="141"/>
      <c r="B198" s="142" t="s">
        <v>284</v>
      </c>
      <c r="C198" s="161" t="s">
        <v>456</v>
      </c>
      <c r="D198" s="91">
        <v>17.25</v>
      </c>
      <c r="E198" s="44"/>
      <c r="F198" s="59"/>
      <c r="G198" s="60">
        <f t="shared" si="26"/>
        <v>0</v>
      </c>
      <c r="I198" s="28">
        <f>4.02*2+4.08*2</f>
        <v>16.2</v>
      </c>
      <c r="J198" s="28">
        <f>I198*1.05</f>
        <v>17.010000000000002</v>
      </c>
    </row>
    <row r="199" spans="1:12" ht="13.5" x14ac:dyDescent="0.2">
      <c r="A199" s="141"/>
      <c r="B199" s="142" t="s">
        <v>285</v>
      </c>
      <c r="C199" s="161" t="s">
        <v>456</v>
      </c>
      <c r="D199" s="91">
        <v>35.549999999999997</v>
      </c>
      <c r="E199" s="44"/>
      <c r="F199" s="59"/>
      <c r="G199" s="60">
        <f t="shared" si="26"/>
        <v>0</v>
      </c>
      <c r="I199" s="28">
        <f>3.82*5+4.08*5</f>
        <v>39.5</v>
      </c>
      <c r="J199" s="28">
        <f>I199*0.9</f>
        <v>35.550000000000004</v>
      </c>
    </row>
    <row r="200" spans="1:12" ht="13.5" x14ac:dyDescent="0.2">
      <c r="A200" s="141"/>
      <c r="B200" s="142" t="s">
        <v>286</v>
      </c>
      <c r="C200" s="161" t="s">
        <v>456</v>
      </c>
      <c r="D200" s="91">
        <v>27</v>
      </c>
      <c r="E200" s="44"/>
      <c r="F200" s="59"/>
      <c r="G200" s="60">
        <f t="shared" si="26"/>
        <v>0</v>
      </c>
      <c r="I200" s="28">
        <f>3*10</f>
        <v>30</v>
      </c>
      <c r="J200" s="28">
        <f>I200*0.9</f>
        <v>27</v>
      </c>
    </row>
    <row r="201" spans="1:12" ht="13.5" x14ac:dyDescent="0.2">
      <c r="A201" s="141"/>
      <c r="B201" s="142" t="s">
        <v>287</v>
      </c>
      <c r="C201" s="161" t="s">
        <v>456</v>
      </c>
      <c r="D201" s="91">
        <v>6.6</v>
      </c>
      <c r="E201" s="44"/>
      <c r="F201" s="59"/>
      <c r="G201" s="60">
        <f t="shared" si="26"/>
        <v>0</v>
      </c>
      <c r="I201" s="28">
        <f>3*2</f>
        <v>6</v>
      </c>
      <c r="J201" s="28">
        <f>I201*1.1</f>
        <v>6.6000000000000005</v>
      </c>
    </row>
    <row r="202" spans="1:12" ht="13.5" x14ac:dyDescent="0.2">
      <c r="A202" s="141"/>
      <c r="B202" s="142" t="s">
        <v>288</v>
      </c>
      <c r="C202" s="161" t="s">
        <v>456</v>
      </c>
      <c r="D202" s="91">
        <v>27.28</v>
      </c>
      <c r="E202" s="44"/>
      <c r="F202" s="59"/>
      <c r="G202" s="60">
        <f t="shared" si="26"/>
        <v>0</v>
      </c>
      <c r="I202" s="28">
        <f>6.2*4</f>
        <v>24.8</v>
      </c>
      <c r="J202" s="28">
        <f>I202*1.1</f>
        <v>27.280000000000005</v>
      </c>
    </row>
    <row r="203" spans="1:12" x14ac:dyDescent="0.2">
      <c r="A203" s="144" t="s">
        <v>136</v>
      </c>
      <c r="B203" s="145" t="s">
        <v>282</v>
      </c>
      <c r="C203" s="146"/>
      <c r="D203" s="147"/>
      <c r="E203" s="148"/>
      <c r="F203" s="59"/>
      <c r="G203" s="60">
        <f t="shared" si="26"/>
        <v>0</v>
      </c>
    </row>
    <row r="204" spans="1:12" ht="13.5" x14ac:dyDescent="0.2">
      <c r="A204" s="141"/>
      <c r="B204" s="142" t="s">
        <v>289</v>
      </c>
      <c r="C204" s="161" t="s">
        <v>456</v>
      </c>
      <c r="D204" s="91">
        <v>319.05</v>
      </c>
      <c r="E204" s="44"/>
      <c r="F204" s="59"/>
      <c r="G204" s="60">
        <f t="shared" si="26"/>
        <v>0</v>
      </c>
      <c r="I204" s="28">
        <f>32.2*2.2</f>
        <v>70.840000000000018</v>
      </c>
      <c r="J204" s="28">
        <f>16.2*8.5</f>
        <v>137.69999999999999</v>
      </c>
      <c r="K204" s="28">
        <f>13*8.5</f>
        <v>110.5</v>
      </c>
      <c r="L204" s="28">
        <f>SUM(I204:K204)</f>
        <v>319.04000000000002</v>
      </c>
    </row>
    <row r="205" spans="1:12" x14ac:dyDescent="0.2">
      <c r="A205" s="144" t="s">
        <v>137</v>
      </c>
      <c r="B205" s="145" t="s">
        <v>171</v>
      </c>
      <c r="C205" s="146"/>
      <c r="D205" s="147"/>
      <c r="E205" s="148"/>
      <c r="F205" s="149"/>
      <c r="G205" s="150"/>
    </row>
    <row r="206" spans="1:12" ht="13.5" x14ac:dyDescent="0.2">
      <c r="A206" s="141"/>
      <c r="B206" s="142" t="s">
        <v>483</v>
      </c>
      <c r="C206" s="161" t="s">
        <v>456</v>
      </c>
      <c r="D206" s="91">
        <v>89.6</v>
      </c>
      <c r="E206" s="44"/>
      <c r="F206" s="59"/>
      <c r="G206" s="60">
        <f t="shared" ref="G206:G208" si="27">(D206*E206)+(D206*F206)</f>
        <v>0</v>
      </c>
      <c r="I206" s="28">
        <f>0.8*3.5*32</f>
        <v>89.600000000000009</v>
      </c>
    </row>
    <row r="207" spans="1:12" ht="13.5" x14ac:dyDescent="0.2">
      <c r="A207" s="141"/>
      <c r="B207" s="142" t="s">
        <v>484</v>
      </c>
      <c r="C207" s="161" t="s">
        <v>456</v>
      </c>
      <c r="D207" s="91">
        <v>21</v>
      </c>
      <c r="E207" s="44"/>
      <c r="F207" s="59"/>
      <c r="G207" s="60">
        <f t="shared" si="27"/>
        <v>0</v>
      </c>
      <c r="I207" s="28">
        <f>1.2*3.5*5</f>
        <v>21</v>
      </c>
    </row>
    <row r="208" spans="1:12" ht="13.5" x14ac:dyDescent="0.2">
      <c r="A208" s="141"/>
      <c r="B208" s="142" t="s">
        <v>485</v>
      </c>
      <c r="C208" s="161" t="s">
        <v>456</v>
      </c>
      <c r="D208" s="91">
        <v>14.64</v>
      </c>
      <c r="E208" s="44"/>
      <c r="F208" s="59"/>
      <c r="G208" s="60">
        <f t="shared" si="27"/>
        <v>0</v>
      </c>
      <c r="I208" s="28">
        <f>0.6*3.05*8</f>
        <v>14.639999999999999</v>
      </c>
    </row>
    <row r="209" spans="1:10" x14ac:dyDescent="0.2">
      <c r="A209" s="132" t="s">
        <v>153</v>
      </c>
      <c r="B209" s="133" t="s">
        <v>260</v>
      </c>
      <c r="C209" s="134"/>
      <c r="D209" s="135"/>
      <c r="E209" s="136"/>
      <c r="F209" s="137"/>
      <c r="G209" s="138"/>
    </row>
    <row r="210" spans="1:10" x14ac:dyDescent="0.2">
      <c r="A210" s="144" t="s">
        <v>109</v>
      </c>
      <c r="B210" s="145" t="s">
        <v>273</v>
      </c>
      <c r="C210" s="146"/>
      <c r="D210" s="147"/>
      <c r="E210" s="148"/>
      <c r="F210" s="149"/>
      <c r="G210" s="150"/>
    </row>
    <row r="211" spans="1:10" ht="13.5" x14ac:dyDescent="0.2">
      <c r="A211" s="141"/>
      <c r="B211" s="142" t="s">
        <v>294</v>
      </c>
      <c r="C211" s="161" t="s">
        <v>456</v>
      </c>
      <c r="D211" s="91">
        <v>29.76</v>
      </c>
      <c r="E211" s="44"/>
      <c r="F211" s="59"/>
      <c r="G211" s="60">
        <f t="shared" ref="G211:G213" si="28">(D211*E211)+(D211*F211)</f>
        <v>0</v>
      </c>
      <c r="I211" s="28">
        <f>6.2*4</f>
        <v>24.8</v>
      </c>
      <c r="J211" s="28">
        <f>I211*1.2</f>
        <v>29.759999999999998</v>
      </c>
    </row>
    <row r="212" spans="1:10" ht="13.5" x14ac:dyDescent="0.2">
      <c r="A212" s="141"/>
      <c r="B212" s="142" t="s">
        <v>293</v>
      </c>
      <c r="C212" s="161" t="s">
        <v>456</v>
      </c>
      <c r="D212" s="91">
        <v>7.2</v>
      </c>
      <c r="E212" s="44"/>
      <c r="F212" s="59"/>
      <c r="G212" s="60">
        <f t="shared" si="28"/>
        <v>0</v>
      </c>
      <c r="I212" s="28">
        <f>3*2</f>
        <v>6</v>
      </c>
      <c r="J212" s="28">
        <f>I212*1.2</f>
        <v>7.1999999999999993</v>
      </c>
    </row>
    <row r="213" spans="1:10" ht="13.5" x14ac:dyDescent="0.2">
      <c r="A213" s="141"/>
      <c r="B213" s="142" t="s">
        <v>292</v>
      </c>
      <c r="C213" s="161" t="s">
        <v>456</v>
      </c>
      <c r="D213" s="91">
        <v>173.8</v>
      </c>
      <c r="E213" s="44"/>
      <c r="F213" s="59"/>
      <c r="G213" s="60">
        <f t="shared" si="28"/>
        <v>0</v>
      </c>
      <c r="I213" s="28">
        <f>3*10*3+4.02*7+3.82*5+4.08*2+1.8*7</f>
        <v>158</v>
      </c>
      <c r="J213" s="28">
        <f>I213*1.1</f>
        <v>173.8</v>
      </c>
    </row>
    <row r="214" spans="1:10" x14ac:dyDescent="0.2">
      <c r="A214" s="141"/>
      <c r="B214" s="142"/>
      <c r="C214" s="161"/>
      <c r="D214" s="91"/>
      <c r="E214" s="44"/>
      <c r="F214" s="59"/>
      <c r="G214" s="60"/>
    </row>
    <row r="215" spans="1:10" x14ac:dyDescent="0.2">
      <c r="A215" s="141"/>
      <c r="B215" s="142"/>
      <c r="C215" s="161"/>
      <c r="D215" s="91"/>
      <c r="E215" s="44"/>
      <c r="F215" s="59"/>
      <c r="G215" s="60"/>
    </row>
    <row r="216" spans="1:10" x14ac:dyDescent="0.2">
      <c r="A216" s="141"/>
      <c r="B216" s="142"/>
      <c r="C216" s="161"/>
      <c r="D216" s="91"/>
      <c r="E216" s="44"/>
      <c r="F216" s="59"/>
      <c r="G216" s="60"/>
    </row>
    <row r="217" spans="1:10" x14ac:dyDescent="0.2">
      <c r="A217" s="141"/>
      <c r="B217" s="142"/>
      <c r="C217" s="161"/>
      <c r="D217" s="91"/>
      <c r="E217" s="44"/>
      <c r="F217" s="59"/>
      <c r="G217" s="60"/>
    </row>
    <row r="218" spans="1:10" x14ac:dyDescent="0.2">
      <c r="A218" s="141"/>
      <c r="B218" s="142"/>
      <c r="C218" s="161"/>
      <c r="D218" s="91"/>
      <c r="E218" s="44"/>
      <c r="F218" s="59"/>
      <c r="G218" s="60"/>
    </row>
    <row r="219" spans="1:10" x14ac:dyDescent="0.2">
      <c r="A219" s="141"/>
      <c r="B219" s="142"/>
      <c r="C219" s="161"/>
      <c r="D219" s="91"/>
      <c r="E219" s="44"/>
      <c r="F219" s="59"/>
      <c r="G219" s="60"/>
    </row>
    <row r="220" spans="1:10" x14ac:dyDescent="0.2">
      <c r="A220" s="141"/>
      <c r="B220" s="142"/>
      <c r="C220" s="161"/>
      <c r="D220" s="91"/>
      <c r="E220" s="44"/>
      <c r="F220" s="59"/>
      <c r="G220" s="60"/>
    </row>
    <row r="221" spans="1:10" x14ac:dyDescent="0.2">
      <c r="A221" s="141"/>
      <c r="B221" s="142"/>
      <c r="C221" s="161"/>
      <c r="D221" s="91"/>
      <c r="E221" s="44"/>
      <c r="F221" s="59"/>
      <c r="G221" s="60"/>
    </row>
    <row r="222" spans="1:10" x14ac:dyDescent="0.2">
      <c r="A222" s="141"/>
      <c r="B222" s="142"/>
      <c r="C222" s="161"/>
      <c r="D222" s="91"/>
      <c r="E222" s="44"/>
      <c r="F222" s="59"/>
      <c r="G222" s="60"/>
    </row>
    <row r="223" spans="1:10" x14ac:dyDescent="0.2">
      <c r="A223" s="141"/>
      <c r="B223" s="142"/>
      <c r="C223" s="161"/>
      <c r="D223" s="91"/>
      <c r="E223" s="44"/>
      <c r="F223" s="59"/>
      <c r="G223" s="60"/>
    </row>
    <row r="224" spans="1:10" x14ac:dyDescent="0.2">
      <c r="A224" s="141"/>
      <c r="B224" s="142"/>
      <c r="C224" s="161"/>
      <c r="D224" s="91"/>
      <c r="E224" s="44"/>
      <c r="F224" s="59"/>
      <c r="G224" s="60"/>
    </row>
    <row r="225" spans="1:11" x14ac:dyDescent="0.2">
      <c r="A225" s="141"/>
      <c r="B225" s="142"/>
      <c r="C225" s="161"/>
      <c r="D225" s="91"/>
      <c r="E225" s="44"/>
      <c r="F225" s="59"/>
      <c r="G225" s="60"/>
    </row>
    <row r="226" spans="1:11" x14ac:dyDescent="0.2">
      <c r="A226" s="141"/>
      <c r="B226" s="142"/>
      <c r="C226" s="161"/>
      <c r="D226" s="91"/>
      <c r="E226" s="44"/>
      <c r="F226" s="59"/>
      <c r="G226" s="60"/>
    </row>
    <row r="227" spans="1:11" x14ac:dyDescent="0.2">
      <c r="A227" s="141"/>
      <c r="B227" s="142"/>
      <c r="C227" s="161"/>
      <c r="D227" s="91"/>
      <c r="E227" s="44"/>
      <c r="F227" s="59"/>
      <c r="G227" s="60"/>
    </row>
    <row r="228" spans="1:11" ht="12.75" thickBot="1" x14ac:dyDescent="0.25">
      <c r="A228" s="151"/>
      <c r="B228" s="152"/>
      <c r="C228" s="162"/>
      <c r="D228" s="154"/>
      <c r="E228" s="77"/>
      <c r="F228" s="155"/>
      <c r="G228" s="156"/>
    </row>
    <row r="229" spans="1:11" x14ac:dyDescent="0.2">
      <c r="A229" s="141"/>
      <c r="B229" s="142"/>
      <c r="C229" s="161"/>
      <c r="D229" s="91"/>
      <c r="E229" s="44"/>
      <c r="F229" s="59"/>
      <c r="G229" s="60"/>
    </row>
    <row r="230" spans="1:11" x14ac:dyDescent="0.2">
      <c r="A230" s="118" t="s">
        <v>100</v>
      </c>
      <c r="B230" s="157" t="s">
        <v>11</v>
      </c>
      <c r="C230" s="131"/>
      <c r="D230" s="121"/>
      <c r="E230" s="122"/>
      <c r="F230" s="121"/>
      <c r="G230" s="158"/>
    </row>
    <row r="231" spans="1:11" ht="48" customHeight="1" x14ac:dyDescent="0.2">
      <c r="A231" s="101"/>
      <c r="B231" s="62" t="s">
        <v>101</v>
      </c>
      <c r="C231" s="62"/>
      <c r="D231" s="62"/>
      <c r="E231" s="62"/>
      <c r="F231" s="62"/>
      <c r="G231" s="160"/>
    </row>
    <row r="232" spans="1:11" ht="43.5" customHeight="1" x14ac:dyDescent="0.2">
      <c r="A232" s="63"/>
      <c r="B232" s="62" t="s">
        <v>102</v>
      </c>
      <c r="C232" s="62"/>
      <c r="D232" s="62"/>
      <c r="E232" s="62"/>
      <c r="F232" s="62"/>
      <c r="G232" s="160"/>
    </row>
    <row r="233" spans="1:11" ht="64.5" customHeight="1" x14ac:dyDescent="0.2">
      <c r="A233" s="101"/>
      <c r="B233" s="62" t="s">
        <v>274</v>
      </c>
      <c r="C233" s="62"/>
      <c r="D233" s="62"/>
      <c r="E233" s="62"/>
      <c r="F233" s="62"/>
      <c r="G233" s="160"/>
    </row>
    <row r="234" spans="1:11" x14ac:dyDescent="0.2">
      <c r="A234" s="132" t="s">
        <v>103</v>
      </c>
      <c r="B234" s="133" t="s">
        <v>221</v>
      </c>
      <c r="C234" s="163"/>
      <c r="D234" s="164"/>
      <c r="E234" s="165"/>
      <c r="F234" s="166"/>
      <c r="G234" s="167"/>
    </row>
    <row r="235" spans="1:11" x14ac:dyDescent="0.2">
      <c r="A235" s="132" t="s">
        <v>163</v>
      </c>
      <c r="B235" s="133" t="s">
        <v>63</v>
      </c>
      <c r="C235" s="163"/>
      <c r="D235" s="164"/>
      <c r="E235" s="165"/>
      <c r="F235" s="166"/>
      <c r="G235" s="167"/>
    </row>
    <row r="236" spans="1:11" x14ac:dyDescent="0.2">
      <c r="A236" s="141"/>
      <c r="B236" s="168" t="s">
        <v>295</v>
      </c>
      <c r="C236" s="143" t="s">
        <v>135</v>
      </c>
      <c r="D236" s="91">
        <f>I239/1000</f>
        <v>2.0024639999999998</v>
      </c>
      <c r="E236" s="92"/>
      <c r="F236" s="59"/>
      <c r="G236" s="60">
        <f t="shared" ref="G236:G239" si="29">(D236*E236)+(D236*F236)</f>
        <v>0</v>
      </c>
    </row>
    <row r="237" spans="1:11" x14ac:dyDescent="0.2">
      <c r="A237" s="141"/>
      <c r="B237" s="142" t="s">
        <v>222</v>
      </c>
      <c r="C237" s="143" t="s">
        <v>8</v>
      </c>
      <c r="D237" s="91">
        <v>114</v>
      </c>
      <c r="E237" s="92"/>
      <c r="F237" s="59"/>
      <c r="G237" s="60">
        <f t="shared" si="29"/>
        <v>0</v>
      </c>
      <c r="I237" s="139">
        <f>D237*1.58*6</f>
        <v>1080.72</v>
      </c>
      <c r="K237" s="139"/>
    </row>
    <row r="238" spans="1:11" x14ac:dyDescent="0.2">
      <c r="A238" s="141"/>
      <c r="B238" s="142" t="s">
        <v>223</v>
      </c>
      <c r="C238" s="143" t="s">
        <v>8</v>
      </c>
      <c r="D238" s="91">
        <v>173</v>
      </c>
      <c r="E238" s="92"/>
      <c r="F238" s="59"/>
      <c r="G238" s="60">
        <f t="shared" si="29"/>
        <v>0</v>
      </c>
      <c r="I238" s="139">
        <f>D238*0.888*6</f>
        <v>921.74399999999991</v>
      </c>
      <c r="J238" s="28">
        <f>15+16+40+14+22+4</f>
        <v>111</v>
      </c>
      <c r="K238" s="139"/>
    </row>
    <row r="239" spans="1:11" x14ac:dyDescent="0.2">
      <c r="A239" s="141"/>
      <c r="B239" s="142" t="s">
        <v>14</v>
      </c>
      <c r="C239" s="143" t="s">
        <v>9</v>
      </c>
      <c r="D239" s="91">
        <f>D236*20</f>
        <v>40.049279999999996</v>
      </c>
      <c r="E239" s="92"/>
      <c r="F239" s="59"/>
      <c r="G239" s="60">
        <f t="shared" si="29"/>
        <v>0</v>
      </c>
      <c r="I239" s="139">
        <f>SUM(I236:I238)</f>
        <v>2002.4639999999999</v>
      </c>
      <c r="J239" s="139"/>
    </row>
    <row r="240" spans="1:11" x14ac:dyDescent="0.2">
      <c r="A240" s="141"/>
      <c r="B240" s="168" t="s">
        <v>296</v>
      </c>
      <c r="C240" s="143" t="s">
        <v>135</v>
      </c>
      <c r="D240" s="91">
        <f>I243/1000</f>
        <v>1.352676</v>
      </c>
      <c r="E240" s="92"/>
      <c r="F240" s="59"/>
      <c r="G240" s="60">
        <f t="shared" ref="G240:G243" si="30">(D240*E240)+(D240*F240)</f>
        <v>0</v>
      </c>
      <c r="J240" s="139"/>
    </row>
    <row r="241" spans="1:14" x14ac:dyDescent="0.2">
      <c r="A241" s="141"/>
      <c r="B241" s="142" t="s">
        <v>222</v>
      </c>
      <c r="C241" s="143" t="s">
        <v>8</v>
      </c>
      <c r="D241" s="91">
        <v>124</v>
      </c>
      <c r="E241" s="92"/>
      <c r="F241" s="59"/>
      <c r="G241" s="60">
        <f t="shared" si="30"/>
        <v>0</v>
      </c>
      <c r="I241" s="139">
        <f>D241*1.58*6</f>
        <v>1175.52</v>
      </c>
      <c r="J241" s="139">
        <f>32.2*4+10.75*2+8.75</f>
        <v>159.05000000000001</v>
      </c>
      <c r="K241" s="169">
        <v>664</v>
      </c>
      <c r="L241" s="169">
        <f>K241/5</f>
        <v>132.80000000000001</v>
      </c>
    </row>
    <row r="242" spans="1:14" x14ac:dyDescent="0.2">
      <c r="A242" s="141"/>
      <c r="B242" s="142" t="s">
        <v>225</v>
      </c>
      <c r="C242" s="143" t="s">
        <v>8</v>
      </c>
      <c r="D242" s="91">
        <v>133</v>
      </c>
      <c r="E242" s="92"/>
      <c r="F242" s="59"/>
      <c r="G242" s="60">
        <f t="shared" si="30"/>
        <v>0</v>
      </c>
      <c r="I242" s="139">
        <f>0.222*D242*6</f>
        <v>177.15600000000001</v>
      </c>
      <c r="J242" s="139"/>
    </row>
    <row r="243" spans="1:14" x14ac:dyDescent="0.2">
      <c r="A243" s="141"/>
      <c r="B243" s="142" t="s">
        <v>14</v>
      </c>
      <c r="C243" s="143" t="s">
        <v>9</v>
      </c>
      <c r="D243" s="91">
        <f>D240*20</f>
        <v>27.053519999999999</v>
      </c>
      <c r="E243" s="92"/>
      <c r="F243" s="59"/>
      <c r="G243" s="60">
        <f t="shared" si="30"/>
        <v>0</v>
      </c>
      <c r="I243" s="139">
        <f>SUM(I241:I242)</f>
        <v>1352.6759999999999</v>
      </c>
      <c r="J243" s="139"/>
    </row>
    <row r="244" spans="1:14" x14ac:dyDescent="0.2">
      <c r="A244" s="141"/>
      <c r="B244" s="168" t="s">
        <v>297</v>
      </c>
      <c r="C244" s="143" t="s">
        <v>135</v>
      </c>
      <c r="D244" s="91">
        <f>I248/1000</f>
        <v>0.96642000000000006</v>
      </c>
      <c r="E244" s="92"/>
      <c r="F244" s="59"/>
      <c r="G244" s="60">
        <f t="shared" ref="G244:G248" si="31">(D244*E244)+(D244*F244)</f>
        <v>0</v>
      </c>
      <c r="J244" s="139"/>
    </row>
    <row r="245" spans="1:14" x14ac:dyDescent="0.2">
      <c r="A245" s="141"/>
      <c r="B245" s="142" t="s">
        <v>222</v>
      </c>
      <c r="C245" s="143" t="s">
        <v>8</v>
      </c>
      <c r="D245" s="91">
        <v>48</v>
      </c>
      <c r="E245" s="92"/>
      <c r="F245" s="59"/>
      <c r="G245" s="60">
        <f t="shared" si="31"/>
        <v>0</v>
      </c>
      <c r="I245" s="139">
        <f>D245*1.58*6</f>
        <v>455.04</v>
      </c>
      <c r="J245" s="139">
        <f>8.75*4</f>
        <v>35</v>
      </c>
      <c r="K245" s="169">
        <f>(J245/0.1)*2</f>
        <v>700</v>
      </c>
      <c r="L245" s="169">
        <f>K245/6</f>
        <v>116.66666666666667</v>
      </c>
    </row>
    <row r="246" spans="1:14" x14ac:dyDescent="0.2">
      <c r="A246" s="141"/>
      <c r="B246" s="142" t="s">
        <v>306</v>
      </c>
      <c r="C246" s="143" t="s">
        <v>8</v>
      </c>
      <c r="D246" s="91">
        <v>24</v>
      </c>
      <c r="E246" s="92"/>
      <c r="F246" s="59"/>
      <c r="G246" s="60">
        <f t="shared" si="31"/>
        <v>0</v>
      </c>
      <c r="I246" s="139">
        <f>D246*2.469*6</f>
        <v>355.536</v>
      </c>
      <c r="J246" s="139"/>
      <c r="K246" s="169"/>
      <c r="L246" s="169"/>
    </row>
    <row r="247" spans="1:14" x14ac:dyDescent="0.2">
      <c r="A247" s="141"/>
      <c r="B247" s="142" t="s">
        <v>225</v>
      </c>
      <c r="C247" s="143" t="s">
        <v>8</v>
      </c>
      <c r="D247" s="91">
        <v>117</v>
      </c>
      <c r="E247" s="92"/>
      <c r="F247" s="59"/>
      <c r="G247" s="60">
        <f t="shared" si="31"/>
        <v>0</v>
      </c>
      <c r="I247" s="139">
        <f>0.222*D247*6</f>
        <v>155.84399999999999</v>
      </c>
      <c r="J247" s="139"/>
    </row>
    <row r="248" spans="1:14" x14ac:dyDescent="0.2">
      <c r="A248" s="141"/>
      <c r="B248" s="142" t="s">
        <v>14</v>
      </c>
      <c r="C248" s="143" t="s">
        <v>9</v>
      </c>
      <c r="D248" s="91">
        <f>D244*20</f>
        <v>19.328400000000002</v>
      </c>
      <c r="E248" s="92"/>
      <c r="F248" s="59"/>
      <c r="G248" s="60">
        <f t="shared" si="31"/>
        <v>0</v>
      </c>
      <c r="I248" s="139">
        <f>SUM(I245:I247)</f>
        <v>966.42000000000007</v>
      </c>
      <c r="J248" s="139"/>
    </row>
    <row r="249" spans="1:14" x14ac:dyDescent="0.2">
      <c r="A249" s="141"/>
      <c r="B249" s="142"/>
      <c r="C249" s="143"/>
      <c r="D249" s="91"/>
      <c r="E249" s="92"/>
      <c r="F249" s="59"/>
      <c r="G249" s="60"/>
      <c r="I249" s="139"/>
      <c r="J249" s="139"/>
    </row>
    <row r="250" spans="1:14" x14ac:dyDescent="0.2">
      <c r="A250" s="132" t="s">
        <v>136</v>
      </c>
      <c r="B250" s="133" t="s">
        <v>66</v>
      </c>
      <c r="C250" s="163"/>
      <c r="D250" s="164"/>
      <c r="E250" s="165"/>
      <c r="F250" s="166"/>
      <c r="G250" s="167">
        <f t="shared" ref="G250" si="32">(D250*E250)+(D250*F250)</f>
        <v>0</v>
      </c>
    </row>
    <row r="251" spans="1:14" x14ac:dyDescent="0.2">
      <c r="A251" s="170" t="s">
        <v>163</v>
      </c>
      <c r="B251" s="171" t="s">
        <v>171</v>
      </c>
      <c r="C251" s="172"/>
      <c r="D251" s="173"/>
      <c r="E251" s="174"/>
      <c r="F251" s="59"/>
      <c r="G251" s="60"/>
    </row>
    <row r="252" spans="1:14" x14ac:dyDescent="0.2">
      <c r="A252" s="141" t="s">
        <v>184</v>
      </c>
      <c r="B252" s="142" t="s">
        <v>486</v>
      </c>
      <c r="C252" s="143" t="s">
        <v>135</v>
      </c>
      <c r="D252" s="91">
        <f>I255/1000</f>
        <v>1.3493040000000001</v>
      </c>
      <c r="E252" s="92"/>
      <c r="F252" s="59"/>
      <c r="G252" s="60">
        <f t="shared" ref="G252" si="33">(D252*E252)+(D252*F252)</f>
        <v>0</v>
      </c>
    </row>
    <row r="253" spans="1:14" x14ac:dyDescent="0.2">
      <c r="A253" s="144"/>
      <c r="B253" s="142" t="s">
        <v>222</v>
      </c>
      <c r="C253" s="143" t="s">
        <v>8</v>
      </c>
      <c r="D253" s="91">
        <v>128</v>
      </c>
      <c r="E253" s="92"/>
      <c r="F253" s="59"/>
      <c r="G253" s="60">
        <f t="shared" ref="G253:G255" si="34">(D253*E253)+(D253*F253)</f>
        <v>0</v>
      </c>
      <c r="I253" s="139">
        <f>D253*1.58*6</f>
        <v>1213.44</v>
      </c>
      <c r="J253" s="28">
        <f>4*32</f>
        <v>128</v>
      </c>
      <c r="L253" s="28">
        <f>5.3/0.15</f>
        <v>35.333333333333336</v>
      </c>
      <c r="M253" s="28">
        <f>35*32</f>
        <v>1120</v>
      </c>
      <c r="N253" s="28">
        <f>M253/11</f>
        <v>101.81818181818181</v>
      </c>
    </row>
    <row r="254" spans="1:14" x14ac:dyDescent="0.2">
      <c r="A254" s="141"/>
      <c r="B254" s="142" t="s">
        <v>225</v>
      </c>
      <c r="C254" s="143" t="s">
        <v>8</v>
      </c>
      <c r="D254" s="91">
        <v>102</v>
      </c>
      <c r="E254" s="92"/>
      <c r="F254" s="59"/>
      <c r="G254" s="60">
        <f t="shared" si="34"/>
        <v>0</v>
      </c>
      <c r="I254" s="139">
        <f>0.222*D254*6</f>
        <v>135.864</v>
      </c>
    </row>
    <row r="255" spans="1:14" x14ac:dyDescent="0.2">
      <c r="A255" s="141"/>
      <c r="B255" s="142" t="s">
        <v>14</v>
      </c>
      <c r="C255" s="143" t="s">
        <v>9</v>
      </c>
      <c r="D255" s="91">
        <f>D252*20</f>
        <v>26.986080000000001</v>
      </c>
      <c r="E255" s="92"/>
      <c r="F255" s="59"/>
      <c r="G255" s="60">
        <f t="shared" si="34"/>
        <v>0</v>
      </c>
      <c r="I255" s="139">
        <f>SUM(I253:I254)</f>
        <v>1349.3040000000001</v>
      </c>
      <c r="J255" s="139"/>
    </row>
    <row r="256" spans="1:14" x14ac:dyDescent="0.2">
      <c r="A256" s="141" t="s">
        <v>185</v>
      </c>
      <c r="B256" s="142" t="s">
        <v>487</v>
      </c>
      <c r="C256" s="143" t="s">
        <v>135</v>
      </c>
      <c r="D256" s="91">
        <f>I259/1000</f>
        <v>0.44180400000000003</v>
      </c>
      <c r="E256" s="92"/>
      <c r="F256" s="59"/>
      <c r="G256" s="60">
        <f t="shared" ref="G256:G263" si="35">(D256*E256)+(D256*F256)</f>
        <v>0</v>
      </c>
      <c r="I256" s="139"/>
      <c r="J256" s="139"/>
    </row>
    <row r="257" spans="1:15" x14ac:dyDescent="0.2">
      <c r="A257" s="141"/>
      <c r="B257" s="142" t="s">
        <v>222</v>
      </c>
      <c r="C257" s="143" t="s">
        <v>8</v>
      </c>
      <c r="D257" s="91">
        <v>40</v>
      </c>
      <c r="E257" s="92"/>
      <c r="F257" s="59"/>
      <c r="G257" s="60">
        <f t="shared" si="35"/>
        <v>0</v>
      </c>
      <c r="I257" s="139">
        <f>D257*1.58*6</f>
        <v>379.20000000000005</v>
      </c>
      <c r="J257" s="28">
        <f>8*5</f>
        <v>40</v>
      </c>
      <c r="L257" s="28">
        <f>35*5</f>
        <v>175</v>
      </c>
      <c r="M257" s="28">
        <f>L257/6</f>
        <v>29.166666666666668</v>
      </c>
      <c r="N257" s="28">
        <f>L257/10</f>
        <v>17.5</v>
      </c>
      <c r="O257" s="28">
        <f>SUM(M257:N257)</f>
        <v>46.666666666666671</v>
      </c>
    </row>
    <row r="258" spans="1:15" x14ac:dyDescent="0.2">
      <c r="A258" s="141"/>
      <c r="B258" s="142" t="s">
        <v>225</v>
      </c>
      <c r="C258" s="143" t="s">
        <v>8</v>
      </c>
      <c r="D258" s="91">
        <v>47</v>
      </c>
      <c r="E258" s="92"/>
      <c r="F258" s="59"/>
      <c r="G258" s="60">
        <f t="shared" si="35"/>
        <v>0</v>
      </c>
      <c r="I258" s="139">
        <f>0.222*D258*6</f>
        <v>62.603999999999999</v>
      </c>
    </row>
    <row r="259" spans="1:15" x14ac:dyDescent="0.2">
      <c r="A259" s="141"/>
      <c r="B259" s="142" t="s">
        <v>14</v>
      </c>
      <c r="C259" s="143" t="s">
        <v>9</v>
      </c>
      <c r="D259" s="91">
        <f>D256*20</f>
        <v>8.8360800000000008</v>
      </c>
      <c r="E259" s="92"/>
      <c r="F259" s="59"/>
      <c r="G259" s="60">
        <f t="shared" si="35"/>
        <v>0</v>
      </c>
      <c r="I259" s="139">
        <f>SUM(I257:I258)</f>
        <v>441.80400000000003</v>
      </c>
      <c r="J259" s="139"/>
    </row>
    <row r="260" spans="1:15" x14ac:dyDescent="0.2">
      <c r="A260" s="141" t="s">
        <v>187</v>
      </c>
      <c r="B260" s="142" t="s">
        <v>488</v>
      </c>
      <c r="C260" s="143" t="s">
        <v>135</v>
      </c>
      <c r="D260" s="91">
        <f>I263/1000</f>
        <v>0.13977600000000001</v>
      </c>
      <c r="E260" s="92"/>
      <c r="F260" s="59"/>
      <c r="G260" s="60">
        <f t="shared" si="35"/>
        <v>0</v>
      </c>
      <c r="I260" s="139"/>
      <c r="J260" s="139"/>
    </row>
    <row r="261" spans="1:15" x14ac:dyDescent="0.2">
      <c r="A261" s="141"/>
      <c r="B261" s="142" t="s">
        <v>224</v>
      </c>
      <c r="C261" s="143" t="s">
        <v>8</v>
      </c>
      <c r="D261" s="91">
        <v>32</v>
      </c>
      <c r="E261" s="92"/>
      <c r="F261" s="59"/>
      <c r="G261" s="60">
        <f t="shared" si="35"/>
        <v>0</v>
      </c>
      <c r="I261" s="139">
        <f>D261*0.617*6</f>
        <v>118.464</v>
      </c>
      <c r="J261" s="139">
        <f>1.5*6</f>
        <v>9</v>
      </c>
      <c r="K261" s="28">
        <f>35*8</f>
        <v>280</v>
      </c>
      <c r="L261" s="28">
        <f>K261/18</f>
        <v>15.555555555555555</v>
      </c>
    </row>
    <row r="262" spans="1:15" x14ac:dyDescent="0.2">
      <c r="A262" s="141"/>
      <c r="B262" s="142" t="s">
        <v>225</v>
      </c>
      <c r="C262" s="143" t="s">
        <v>8</v>
      </c>
      <c r="D262" s="91">
        <v>16</v>
      </c>
      <c r="E262" s="92"/>
      <c r="F262" s="59"/>
      <c r="G262" s="60">
        <f t="shared" si="35"/>
        <v>0</v>
      </c>
      <c r="I262" s="139">
        <f>0.222*D262*6</f>
        <v>21.312000000000001</v>
      </c>
      <c r="J262" s="139"/>
    </row>
    <row r="263" spans="1:15" x14ac:dyDescent="0.2">
      <c r="A263" s="141"/>
      <c r="B263" s="142" t="s">
        <v>14</v>
      </c>
      <c r="C263" s="143" t="s">
        <v>9</v>
      </c>
      <c r="D263" s="91">
        <f>D260*20</f>
        <v>2.7955200000000002</v>
      </c>
      <c r="E263" s="92"/>
      <c r="F263" s="59"/>
      <c r="G263" s="60">
        <f t="shared" si="35"/>
        <v>0</v>
      </c>
      <c r="I263" s="139">
        <f>SUM(I261:I262)</f>
        <v>139.77600000000001</v>
      </c>
      <c r="J263" s="139"/>
    </row>
    <row r="264" spans="1:15" x14ac:dyDescent="0.2">
      <c r="A264" s="170" t="s">
        <v>164</v>
      </c>
      <c r="B264" s="171" t="s">
        <v>197</v>
      </c>
      <c r="C264" s="172" t="s">
        <v>135</v>
      </c>
      <c r="D264" s="173">
        <f>I266/1000</f>
        <v>0.42943200000000004</v>
      </c>
      <c r="E264" s="174"/>
      <c r="F264" s="59"/>
      <c r="G264" s="60">
        <f t="shared" ref="G264:G266" si="36">(D264*E264)+(D264*F264)</f>
        <v>0</v>
      </c>
      <c r="H264" s="175"/>
      <c r="I264" s="176"/>
    </row>
    <row r="265" spans="1:15" x14ac:dyDescent="0.2">
      <c r="A265" s="177" t="s">
        <v>174</v>
      </c>
      <c r="B265" s="142" t="s">
        <v>224</v>
      </c>
      <c r="C265" s="178" t="s">
        <v>8</v>
      </c>
      <c r="D265" s="179">
        <v>116</v>
      </c>
      <c r="E265" s="180"/>
      <c r="F265" s="181"/>
      <c r="G265" s="60">
        <f t="shared" si="36"/>
        <v>0</v>
      </c>
      <c r="H265" s="175"/>
      <c r="I265" s="139">
        <f>0.617*D265*6</f>
        <v>429.43200000000002</v>
      </c>
    </row>
    <row r="266" spans="1:15" x14ac:dyDescent="0.2">
      <c r="A266" s="177"/>
      <c r="B266" s="182" t="s">
        <v>14</v>
      </c>
      <c r="C266" s="178" t="s">
        <v>9</v>
      </c>
      <c r="D266" s="179">
        <f>D264*20</f>
        <v>8.5886400000000016</v>
      </c>
      <c r="E266" s="180"/>
      <c r="F266" s="181"/>
      <c r="G266" s="60">
        <f t="shared" si="36"/>
        <v>0</v>
      </c>
      <c r="H266" s="175"/>
      <c r="I266" s="139">
        <f>SUM(I264:I265)</f>
        <v>429.43200000000002</v>
      </c>
    </row>
    <row r="267" spans="1:15" x14ac:dyDescent="0.2">
      <c r="A267" s="144" t="s">
        <v>175</v>
      </c>
      <c r="B267" s="145" t="s">
        <v>206</v>
      </c>
      <c r="C267" s="146" t="s">
        <v>135</v>
      </c>
      <c r="D267" s="147">
        <f>I269/1000</f>
        <v>0.51457799999999998</v>
      </c>
      <c r="E267" s="148"/>
      <c r="F267" s="59"/>
      <c r="G267" s="60">
        <f t="shared" ref="G267:G269" si="37">(D267*E267)+(D267*F267)</f>
        <v>0</v>
      </c>
    </row>
    <row r="268" spans="1:15" x14ac:dyDescent="0.2">
      <c r="A268" s="144"/>
      <c r="B268" s="142" t="s">
        <v>376</v>
      </c>
      <c r="C268" s="143" t="s">
        <v>8</v>
      </c>
      <c r="D268" s="91">
        <v>139</v>
      </c>
      <c r="E268" s="92"/>
      <c r="F268" s="59"/>
      <c r="G268" s="60">
        <f t="shared" si="37"/>
        <v>0</v>
      </c>
      <c r="I268" s="139">
        <f>0.617*D268*6</f>
        <v>514.57799999999997</v>
      </c>
      <c r="K268" s="28">
        <f>108.1*7*110%</f>
        <v>832.37</v>
      </c>
      <c r="L268" s="28">
        <f>K268/6</f>
        <v>138.72833333333332</v>
      </c>
    </row>
    <row r="269" spans="1:15" x14ac:dyDescent="0.2">
      <c r="A269" s="141"/>
      <c r="B269" s="142" t="s">
        <v>14</v>
      </c>
      <c r="C269" s="143" t="s">
        <v>9</v>
      </c>
      <c r="D269" s="91">
        <f>D267*20</f>
        <v>10.29156</v>
      </c>
      <c r="E269" s="92"/>
      <c r="F269" s="59"/>
      <c r="G269" s="60">
        <f t="shared" si="37"/>
        <v>0</v>
      </c>
      <c r="I269" s="139">
        <f>SUM(I267:I268)</f>
        <v>514.57799999999997</v>
      </c>
    </row>
    <row r="270" spans="1:15" x14ac:dyDescent="0.2">
      <c r="A270" s="170" t="s">
        <v>176</v>
      </c>
      <c r="B270" s="171" t="s">
        <v>448</v>
      </c>
      <c r="C270" s="172"/>
      <c r="D270" s="173"/>
      <c r="E270" s="174"/>
      <c r="F270" s="59"/>
      <c r="G270" s="60"/>
      <c r="I270" s="139"/>
    </row>
    <row r="271" spans="1:15" x14ac:dyDescent="0.2">
      <c r="A271" s="141" t="s">
        <v>184</v>
      </c>
      <c r="B271" s="142" t="s">
        <v>283</v>
      </c>
      <c r="C271" s="143" t="s">
        <v>135</v>
      </c>
      <c r="D271" s="91">
        <f>I274/1000</f>
        <v>0.22556400000000001</v>
      </c>
      <c r="E271" s="92"/>
      <c r="F271" s="59"/>
      <c r="G271" s="60">
        <f t="shared" ref="G271:G277" si="38">(D271*E271)+(D271*F271)</f>
        <v>0</v>
      </c>
    </row>
    <row r="272" spans="1:15" x14ac:dyDescent="0.2">
      <c r="A272" s="144"/>
      <c r="B272" s="142" t="s">
        <v>222</v>
      </c>
      <c r="C272" s="143" t="s">
        <v>8</v>
      </c>
      <c r="D272" s="91">
        <v>20</v>
      </c>
      <c r="E272" s="92"/>
      <c r="F272" s="59"/>
      <c r="G272" s="60">
        <f t="shared" si="38"/>
        <v>0</v>
      </c>
      <c r="I272" s="139">
        <f>D272*1.58*6</f>
        <v>189.60000000000002</v>
      </c>
      <c r="J272" s="28">
        <f>8.7+4.42+3.4+3.4</f>
        <v>19.919999999999998</v>
      </c>
      <c r="K272" s="28">
        <f>J272/0.15</f>
        <v>132.79999999999998</v>
      </c>
      <c r="L272" s="28">
        <f>K272/5</f>
        <v>26.559999999999995</v>
      </c>
    </row>
    <row r="273" spans="1:13" x14ac:dyDescent="0.2">
      <c r="A273" s="141"/>
      <c r="B273" s="142" t="s">
        <v>225</v>
      </c>
      <c r="C273" s="143" t="s">
        <v>8</v>
      </c>
      <c r="D273" s="91">
        <v>27</v>
      </c>
      <c r="E273" s="92"/>
      <c r="F273" s="59"/>
      <c r="G273" s="60">
        <f t="shared" si="38"/>
        <v>0</v>
      </c>
      <c r="I273" s="139">
        <f>0.222*D273*6</f>
        <v>35.963999999999999</v>
      </c>
    </row>
    <row r="274" spans="1:13" x14ac:dyDescent="0.2">
      <c r="A274" s="141"/>
      <c r="B274" s="142" t="s">
        <v>14</v>
      </c>
      <c r="C274" s="143" t="s">
        <v>9</v>
      </c>
      <c r="D274" s="91">
        <f>D271*20</f>
        <v>4.5112800000000002</v>
      </c>
      <c r="E274" s="92"/>
      <c r="F274" s="59"/>
      <c r="G274" s="60">
        <f t="shared" si="38"/>
        <v>0</v>
      </c>
      <c r="I274" s="139">
        <f>SUM(I272:I273)</f>
        <v>225.56400000000002</v>
      </c>
    </row>
    <row r="275" spans="1:13" x14ac:dyDescent="0.2">
      <c r="A275" s="170" t="s">
        <v>177</v>
      </c>
      <c r="B275" s="171" t="s">
        <v>449</v>
      </c>
      <c r="C275" s="172" t="s">
        <v>135</v>
      </c>
      <c r="D275" s="173">
        <f>I277/1000</f>
        <v>0.38500800000000002</v>
      </c>
      <c r="E275" s="174"/>
      <c r="F275" s="59"/>
      <c r="G275" s="60">
        <f t="shared" si="38"/>
        <v>0</v>
      </c>
      <c r="H275" s="175"/>
      <c r="I275" s="176"/>
    </row>
    <row r="276" spans="1:13" x14ac:dyDescent="0.2">
      <c r="A276" s="177" t="s">
        <v>174</v>
      </c>
      <c r="B276" s="142" t="s">
        <v>224</v>
      </c>
      <c r="C276" s="178" t="s">
        <v>8</v>
      </c>
      <c r="D276" s="179">
        <v>104</v>
      </c>
      <c r="E276" s="180"/>
      <c r="F276" s="181"/>
      <c r="G276" s="60">
        <f t="shared" si="38"/>
        <v>0</v>
      </c>
      <c r="H276" s="175"/>
      <c r="I276" s="139">
        <f>0.617*D276*6</f>
        <v>385.00800000000004</v>
      </c>
      <c r="J276" s="28">
        <f>32.2*2.2</f>
        <v>70.840000000000018</v>
      </c>
    </row>
    <row r="277" spans="1:13" ht="12.75" thickBot="1" x14ac:dyDescent="0.25">
      <c r="A277" s="405"/>
      <c r="B277" s="406" t="s">
        <v>14</v>
      </c>
      <c r="C277" s="407" t="s">
        <v>9</v>
      </c>
      <c r="D277" s="408">
        <f>D275*20</f>
        <v>7.7001600000000003</v>
      </c>
      <c r="E277" s="184"/>
      <c r="F277" s="185"/>
      <c r="G277" s="156">
        <f t="shared" si="38"/>
        <v>0</v>
      </c>
      <c r="H277" s="175"/>
      <c r="I277" s="139">
        <f>SUM(I275:I276)</f>
        <v>385.00800000000004</v>
      </c>
    </row>
    <row r="278" spans="1:13" x14ac:dyDescent="0.2">
      <c r="A278" s="141"/>
      <c r="B278" s="142"/>
      <c r="C278" s="143"/>
      <c r="D278" s="91"/>
      <c r="E278" s="92"/>
      <c r="F278" s="59"/>
      <c r="G278" s="60"/>
      <c r="I278" s="139"/>
    </row>
    <row r="279" spans="1:13" x14ac:dyDescent="0.2">
      <c r="A279" s="132" t="s">
        <v>137</v>
      </c>
      <c r="B279" s="133" t="s">
        <v>68</v>
      </c>
      <c r="C279" s="163"/>
      <c r="D279" s="164"/>
      <c r="E279" s="165"/>
      <c r="F279" s="166"/>
      <c r="G279" s="167"/>
    </row>
    <row r="280" spans="1:13" x14ac:dyDescent="0.2">
      <c r="A280" s="170" t="s">
        <v>163</v>
      </c>
      <c r="B280" s="171" t="s">
        <v>298</v>
      </c>
      <c r="C280" s="172"/>
      <c r="D280" s="173"/>
      <c r="E280" s="174"/>
      <c r="F280" s="59"/>
      <c r="G280" s="60"/>
    </row>
    <row r="281" spans="1:13" x14ac:dyDescent="0.2">
      <c r="A281" s="141" t="s">
        <v>184</v>
      </c>
      <c r="B281" s="142" t="s">
        <v>283</v>
      </c>
      <c r="C281" s="143" t="s">
        <v>135</v>
      </c>
      <c r="D281" s="91">
        <f>I284/1000</f>
        <v>0.61017599999999994</v>
      </c>
      <c r="E281" s="92"/>
      <c r="F281" s="59"/>
      <c r="G281" s="60">
        <f t="shared" ref="G281:G308" si="39">(D281*E281)+(D281*F281)</f>
        <v>0</v>
      </c>
    </row>
    <row r="282" spans="1:13" x14ac:dyDescent="0.2">
      <c r="A282" s="144"/>
      <c r="B282" s="142" t="s">
        <v>222</v>
      </c>
      <c r="C282" s="143" t="s">
        <v>8</v>
      </c>
      <c r="D282" s="91">
        <v>52</v>
      </c>
      <c r="E282" s="92"/>
      <c r="F282" s="59"/>
      <c r="G282" s="60">
        <f t="shared" si="39"/>
        <v>0</v>
      </c>
      <c r="I282" s="139">
        <f>D282*1.58*6</f>
        <v>492.96</v>
      </c>
      <c r="J282" s="28">
        <f>16.2+13+32.2+2.2*2</f>
        <v>65.800000000000011</v>
      </c>
      <c r="L282" s="28">
        <f>J282/0.15</f>
        <v>438.66666666666674</v>
      </c>
      <c r="M282" s="28">
        <f>L282/5</f>
        <v>87.733333333333348</v>
      </c>
    </row>
    <row r="283" spans="1:13" x14ac:dyDescent="0.2">
      <c r="A283" s="141"/>
      <c r="B283" s="142" t="s">
        <v>225</v>
      </c>
      <c r="C283" s="143" t="s">
        <v>8</v>
      </c>
      <c r="D283" s="91">
        <v>88</v>
      </c>
      <c r="E283" s="92"/>
      <c r="F283" s="59"/>
      <c r="G283" s="60">
        <f t="shared" si="39"/>
        <v>0</v>
      </c>
      <c r="I283" s="139">
        <f>0.222*D283*6</f>
        <v>117.21600000000001</v>
      </c>
      <c r="J283" s="28">
        <f>3.2*4+2.5*4+6.25*4+4</f>
        <v>51.8</v>
      </c>
    </row>
    <row r="284" spans="1:13" x14ac:dyDescent="0.2">
      <c r="A284" s="141"/>
      <c r="B284" s="142" t="s">
        <v>14</v>
      </c>
      <c r="C284" s="143" t="s">
        <v>9</v>
      </c>
      <c r="D284" s="91">
        <f>D281*20</f>
        <v>12.203519999999999</v>
      </c>
      <c r="E284" s="92"/>
      <c r="F284" s="59"/>
      <c r="G284" s="60">
        <f t="shared" si="39"/>
        <v>0</v>
      </c>
      <c r="I284" s="139">
        <f>SUM(I282:I283)</f>
        <v>610.17599999999993</v>
      </c>
      <c r="J284" s="139"/>
    </row>
    <row r="285" spans="1:13" x14ac:dyDescent="0.2">
      <c r="A285" s="141" t="s">
        <v>185</v>
      </c>
      <c r="B285" s="142" t="s">
        <v>299</v>
      </c>
      <c r="C285" s="143" t="s">
        <v>135</v>
      </c>
      <c r="D285" s="91">
        <f>I288/1000</f>
        <v>0.27711599999999997</v>
      </c>
      <c r="E285" s="92"/>
      <c r="F285" s="59"/>
      <c r="G285" s="60">
        <f t="shared" ref="G285:G292" si="40">(D285*E285)+(D285*F285)</f>
        <v>0</v>
      </c>
      <c r="I285" s="139"/>
      <c r="J285" s="139"/>
    </row>
    <row r="286" spans="1:13" x14ac:dyDescent="0.2">
      <c r="A286" s="141"/>
      <c r="B286" s="142" t="s">
        <v>222</v>
      </c>
      <c r="C286" s="143" t="s">
        <v>8</v>
      </c>
      <c r="D286" s="91">
        <v>26</v>
      </c>
      <c r="E286" s="92"/>
      <c r="F286" s="59"/>
      <c r="G286" s="60">
        <f t="shared" si="40"/>
        <v>0</v>
      </c>
      <c r="I286" s="139">
        <f>D286*1.58*6</f>
        <v>246.48</v>
      </c>
      <c r="J286" s="28">
        <f>8.6*2</f>
        <v>17.2</v>
      </c>
      <c r="K286" s="28">
        <f>J286/0.15</f>
        <v>114.66666666666667</v>
      </c>
      <c r="L286" s="28">
        <f>K286/5</f>
        <v>22.933333333333334</v>
      </c>
    </row>
    <row r="287" spans="1:13" x14ac:dyDescent="0.2">
      <c r="A287" s="141"/>
      <c r="B287" s="142" t="s">
        <v>225</v>
      </c>
      <c r="C287" s="143" t="s">
        <v>8</v>
      </c>
      <c r="D287" s="91">
        <v>23</v>
      </c>
      <c r="E287" s="92"/>
      <c r="F287" s="59"/>
      <c r="G287" s="60">
        <f t="shared" si="40"/>
        <v>0</v>
      </c>
      <c r="I287" s="139">
        <f>0.222*D287*6</f>
        <v>30.635999999999999</v>
      </c>
    </row>
    <row r="288" spans="1:13" x14ac:dyDescent="0.2">
      <c r="A288" s="141"/>
      <c r="B288" s="142" t="s">
        <v>14</v>
      </c>
      <c r="C288" s="143" t="s">
        <v>9</v>
      </c>
      <c r="D288" s="91">
        <f>D285*20</f>
        <v>5.5423199999999992</v>
      </c>
      <c r="E288" s="92"/>
      <c r="F288" s="59"/>
      <c r="G288" s="60">
        <f t="shared" si="40"/>
        <v>0</v>
      </c>
      <c r="I288" s="139">
        <f>SUM(I286:I287)</f>
        <v>277.11599999999999</v>
      </c>
      <c r="J288" s="139"/>
    </row>
    <row r="289" spans="1:12" x14ac:dyDescent="0.2">
      <c r="A289" s="141" t="s">
        <v>187</v>
      </c>
      <c r="B289" s="142" t="s">
        <v>300</v>
      </c>
      <c r="C289" s="143" t="s">
        <v>135</v>
      </c>
      <c r="D289" s="91">
        <f>I292/1000</f>
        <v>1.1174219999999997</v>
      </c>
      <c r="E289" s="92"/>
      <c r="F289" s="59"/>
      <c r="G289" s="60">
        <f t="shared" si="40"/>
        <v>0</v>
      </c>
      <c r="I289" s="139"/>
      <c r="J289" s="139"/>
    </row>
    <row r="290" spans="1:12" x14ac:dyDescent="0.2">
      <c r="A290" s="141"/>
      <c r="B290" s="142" t="s">
        <v>306</v>
      </c>
      <c r="C290" s="143" t="s">
        <v>8</v>
      </c>
      <c r="D290" s="91">
        <v>65</v>
      </c>
      <c r="E290" s="92"/>
      <c r="F290" s="59"/>
      <c r="G290" s="60">
        <f t="shared" si="40"/>
        <v>0</v>
      </c>
      <c r="I290" s="139">
        <f>D290*2.469*6</f>
        <v>962.90999999999985</v>
      </c>
      <c r="J290" s="28">
        <f>8.7*5</f>
        <v>43.5</v>
      </c>
      <c r="K290" s="28">
        <f>(J290/0.15)*2</f>
        <v>580</v>
      </c>
      <c r="L290" s="28">
        <f>K290/5</f>
        <v>116</v>
      </c>
    </row>
    <row r="291" spans="1:12" x14ac:dyDescent="0.2">
      <c r="A291" s="141"/>
      <c r="B291" s="142" t="s">
        <v>225</v>
      </c>
      <c r="C291" s="143" t="s">
        <v>8</v>
      </c>
      <c r="D291" s="91">
        <v>116</v>
      </c>
      <c r="E291" s="92"/>
      <c r="F291" s="59"/>
      <c r="G291" s="60">
        <f t="shared" si="40"/>
        <v>0</v>
      </c>
      <c r="I291" s="139">
        <f>0.222*D291*6</f>
        <v>154.512</v>
      </c>
      <c r="J291" s="139"/>
    </row>
    <row r="292" spans="1:12" x14ac:dyDescent="0.2">
      <c r="A292" s="141"/>
      <c r="B292" s="142" t="s">
        <v>14</v>
      </c>
      <c r="C292" s="143" t="s">
        <v>9</v>
      </c>
      <c r="D292" s="91">
        <f>D289*20</f>
        <v>22.348439999999993</v>
      </c>
      <c r="E292" s="92"/>
      <c r="F292" s="59"/>
      <c r="G292" s="60">
        <f t="shared" si="40"/>
        <v>0</v>
      </c>
      <c r="I292" s="139">
        <f>SUM(I290:I291)</f>
        <v>1117.4219999999998</v>
      </c>
      <c r="J292" s="139"/>
    </row>
    <row r="293" spans="1:12" x14ac:dyDescent="0.2">
      <c r="A293" s="141" t="s">
        <v>186</v>
      </c>
      <c r="B293" s="142" t="s">
        <v>303</v>
      </c>
      <c r="C293" s="143" t="s">
        <v>135</v>
      </c>
      <c r="D293" s="91">
        <f>I296/1000</f>
        <v>0.38994000000000001</v>
      </c>
      <c r="E293" s="92"/>
      <c r="F293" s="59"/>
      <c r="G293" s="60">
        <f t="shared" ref="G293:G305" si="41">(D293*E293)+(D293*F293)</f>
        <v>0</v>
      </c>
      <c r="I293" s="139"/>
      <c r="J293" s="139"/>
    </row>
    <row r="294" spans="1:12" x14ac:dyDescent="0.2">
      <c r="A294" s="141"/>
      <c r="B294" s="142" t="s">
        <v>222</v>
      </c>
      <c r="C294" s="143" t="s">
        <v>8</v>
      </c>
      <c r="D294" s="91">
        <v>32</v>
      </c>
      <c r="E294" s="92"/>
      <c r="F294" s="59"/>
      <c r="G294" s="60">
        <f t="shared" ref="G294" si="42">(D294*E294)+(D294*F294)</f>
        <v>0</v>
      </c>
      <c r="I294" s="139">
        <f>D294*1.58*6</f>
        <v>303.36</v>
      </c>
      <c r="J294" s="139"/>
    </row>
    <row r="295" spans="1:12" x14ac:dyDescent="0.2">
      <c r="A295" s="141"/>
      <c r="B295" s="142" t="s">
        <v>225</v>
      </c>
      <c r="C295" s="143" t="s">
        <v>8</v>
      </c>
      <c r="D295" s="91">
        <v>65</v>
      </c>
      <c r="E295" s="92"/>
      <c r="F295" s="59"/>
      <c r="G295" s="60">
        <f t="shared" si="41"/>
        <v>0</v>
      </c>
      <c r="I295" s="139">
        <f>0.222*D295*6</f>
        <v>86.58</v>
      </c>
      <c r="J295" s="139"/>
    </row>
    <row r="296" spans="1:12" x14ac:dyDescent="0.2">
      <c r="A296" s="141"/>
      <c r="B296" s="142" t="s">
        <v>14</v>
      </c>
      <c r="C296" s="143" t="s">
        <v>9</v>
      </c>
      <c r="D296" s="91">
        <f>D293*20</f>
        <v>7.7988</v>
      </c>
      <c r="E296" s="92"/>
      <c r="F296" s="59"/>
      <c r="G296" s="60">
        <f t="shared" si="41"/>
        <v>0</v>
      </c>
      <c r="I296" s="139">
        <f>SUM(I294:I295)</f>
        <v>389.94</v>
      </c>
      <c r="J296" s="139"/>
    </row>
    <row r="297" spans="1:12" x14ac:dyDescent="0.2">
      <c r="A297" s="141" t="s">
        <v>301</v>
      </c>
      <c r="B297" s="142" t="s">
        <v>304</v>
      </c>
      <c r="C297" s="143" t="s">
        <v>135</v>
      </c>
      <c r="D297" s="91">
        <f>I300/1000</f>
        <v>6.7248000000000002E-2</v>
      </c>
      <c r="E297" s="92"/>
      <c r="F297" s="59"/>
      <c r="G297" s="60">
        <f t="shared" si="41"/>
        <v>0</v>
      </c>
      <c r="I297" s="139"/>
      <c r="J297" s="139"/>
    </row>
    <row r="298" spans="1:12" x14ac:dyDescent="0.2">
      <c r="A298" s="141"/>
      <c r="B298" s="142" t="s">
        <v>306</v>
      </c>
      <c r="C298" s="143" t="s">
        <v>8</v>
      </c>
      <c r="D298" s="91">
        <v>4</v>
      </c>
      <c r="E298" s="92"/>
      <c r="F298" s="59"/>
      <c r="G298" s="60">
        <f t="shared" si="41"/>
        <v>0</v>
      </c>
      <c r="I298" s="139">
        <f>D298*2.469*6</f>
        <v>59.256</v>
      </c>
      <c r="J298" s="139">
        <f>3.3</f>
        <v>3.3</v>
      </c>
      <c r="K298" s="28">
        <f>(J298/0.15)</f>
        <v>22</v>
      </c>
      <c r="L298" s="28">
        <f>K298/4</f>
        <v>5.5</v>
      </c>
    </row>
    <row r="299" spans="1:12" x14ac:dyDescent="0.2">
      <c r="A299" s="141"/>
      <c r="B299" s="142" t="s">
        <v>225</v>
      </c>
      <c r="C299" s="143" t="s">
        <v>8</v>
      </c>
      <c r="D299" s="91">
        <v>6</v>
      </c>
      <c r="E299" s="92"/>
      <c r="F299" s="59"/>
      <c r="G299" s="60">
        <f t="shared" si="41"/>
        <v>0</v>
      </c>
      <c r="I299" s="139">
        <f>0.222*D299*6</f>
        <v>7.9920000000000009</v>
      </c>
      <c r="J299" s="139"/>
    </row>
    <row r="300" spans="1:12" x14ac:dyDescent="0.2">
      <c r="A300" s="141"/>
      <c r="B300" s="142" t="s">
        <v>14</v>
      </c>
      <c r="C300" s="143" t="s">
        <v>9</v>
      </c>
      <c r="D300" s="91">
        <f>D297*20</f>
        <v>1.3449599999999999</v>
      </c>
      <c r="E300" s="92"/>
      <c r="F300" s="59"/>
      <c r="G300" s="60">
        <f t="shared" si="41"/>
        <v>0</v>
      </c>
      <c r="I300" s="139">
        <f>SUM(I298:I299)</f>
        <v>67.248000000000005</v>
      </c>
      <c r="J300" s="139"/>
    </row>
    <row r="301" spans="1:12" x14ac:dyDescent="0.2">
      <c r="A301" s="141" t="s">
        <v>302</v>
      </c>
      <c r="B301" s="142" t="s">
        <v>305</v>
      </c>
      <c r="C301" s="143" t="s">
        <v>135</v>
      </c>
      <c r="D301" s="91">
        <f>I305/1000</f>
        <v>0.61063200000000006</v>
      </c>
      <c r="E301" s="92"/>
      <c r="F301" s="59"/>
      <c r="G301" s="60">
        <f t="shared" si="41"/>
        <v>0</v>
      </c>
      <c r="I301" s="139"/>
      <c r="J301" s="139"/>
    </row>
    <row r="302" spans="1:12" x14ac:dyDescent="0.2">
      <c r="A302" s="141"/>
      <c r="B302" s="142" t="s">
        <v>306</v>
      </c>
      <c r="C302" s="143" t="s">
        <v>8</v>
      </c>
      <c r="D302" s="91">
        <v>26</v>
      </c>
      <c r="E302" s="92"/>
      <c r="F302" s="59"/>
      <c r="G302" s="60">
        <f t="shared" ref="G302:G303" si="43">(D302*E302)+(D302*F302)</f>
        <v>0</v>
      </c>
      <c r="I302" s="139">
        <f t="shared" ref="I302" si="44">D302*2.469*6</f>
        <v>385.16399999999999</v>
      </c>
      <c r="J302" s="139">
        <f>12.9+13</f>
        <v>25.9</v>
      </c>
      <c r="K302" s="28">
        <f>(J302/0.1)</f>
        <v>258.99999999999994</v>
      </c>
      <c r="L302" s="28">
        <f>K302/4</f>
        <v>64.749999999999986</v>
      </c>
    </row>
    <row r="303" spans="1:12" x14ac:dyDescent="0.2">
      <c r="A303" s="141"/>
      <c r="B303" s="142" t="s">
        <v>307</v>
      </c>
      <c r="C303" s="143" t="s">
        <v>8</v>
      </c>
      <c r="D303" s="91">
        <v>6</v>
      </c>
      <c r="E303" s="92"/>
      <c r="F303" s="59"/>
      <c r="G303" s="60">
        <f t="shared" si="43"/>
        <v>0</v>
      </c>
      <c r="I303" s="139">
        <f>D303*3.858*6</f>
        <v>138.88800000000001</v>
      </c>
      <c r="J303" s="139"/>
    </row>
    <row r="304" spans="1:12" x14ac:dyDescent="0.2">
      <c r="A304" s="141"/>
      <c r="B304" s="142" t="s">
        <v>225</v>
      </c>
      <c r="C304" s="143" t="s">
        <v>8</v>
      </c>
      <c r="D304" s="91">
        <v>65</v>
      </c>
      <c r="E304" s="92"/>
      <c r="F304" s="59"/>
      <c r="G304" s="60">
        <f t="shared" si="41"/>
        <v>0</v>
      </c>
      <c r="I304" s="139">
        <f>0.222*D304*6</f>
        <v>86.58</v>
      </c>
      <c r="J304" s="139"/>
    </row>
    <row r="305" spans="1:18" x14ac:dyDescent="0.2">
      <c r="A305" s="141"/>
      <c r="B305" s="142" t="s">
        <v>14</v>
      </c>
      <c r="C305" s="143" t="s">
        <v>9</v>
      </c>
      <c r="D305" s="91">
        <f>D301*20</f>
        <v>12.21264</v>
      </c>
      <c r="E305" s="92"/>
      <c r="F305" s="59"/>
      <c r="G305" s="60">
        <f t="shared" si="41"/>
        <v>0</v>
      </c>
      <c r="I305" s="139">
        <f>SUM(I302:I304)</f>
        <v>610.63200000000006</v>
      </c>
      <c r="J305" s="139"/>
    </row>
    <row r="306" spans="1:18" x14ac:dyDescent="0.2">
      <c r="A306" s="170" t="s">
        <v>164</v>
      </c>
      <c r="B306" s="171" t="s">
        <v>282</v>
      </c>
      <c r="C306" s="172" t="s">
        <v>135</v>
      </c>
      <c r="D306" s="173">
        <f>I308/1000</f>
        <v>5.6862719999999998</v>
      </c>
      <c r="E306" s="174"/>
      <c r="F306" s="59"/>
      <c r="G306" s="60">
        <f t="shared" si="39"/>
        <v>0</v>
      </c>
      <c r="H306" s="175"/>
      <c r="I306" s="176"/>
      <c r="J306" s="28">
        <f>32.2*2.2</f>
        <v>70.840000000000018</v>
      </c>
      <c r="K306" s="28">
        <f>16.2*8.5</f>
        <v>137.69999999999999</v>
      </c>
      <c r="L306" s="28">
        <f>13*8.5</f>
        <v>110.5</v>
      </c>
      <c r="M306" s="28">
        <f>SUM(J306:L306)</f>
        <v>319.04000000000002</v>
      </c>
      <c r="N306" s="28">
        <f>M306*15</f>
        <v>4785.6000000000004</v>
      </c>
      <c r="O306" s="28">
        <f>N306*75%</f>
        <v>3589.2000000000003</v>
      </c>
      <c r="P306" s="28">
        <f>SUM(N306:O306)</f>
        <v>8374.8000000000011</v>
      </c>
      <c r="Q306" s="28">
        <f>P306*110%</f>
        <v>9212.2800000000025</v>
      </c>
      <c r="R306" s="28">
        <f>Q306/6</f>
        <v>1535.3800000000003</v>
      </c>
    </row>
    <row r="307" spans="1:18" x14ac:dyDescent="0.2">
      <c r="A307" s="177" t="s">
        <v>174</v>
      </c>
      <c r="B307" s="142" t="s">
        <v>224</v>
      </c>
      <c r="C307" s="178" t="s">
        <v>8</v>
      </c>
      <c r="D307" s="179">
        <v>1536</v>
      </c>
      <c r="E307" s="180"/>
      <c r="F307" s="181"/>
      <c r="G307" s="60">
        <f t="shared" si="39"/>
        <v>0</v>
      </c>
      <c r="H307" s="175"/>
      <c r="I307" s="139">
        <f>0.617*D307*6</f>
        <v>5686.2719999999999</v>
      </c>
    </row>
    <row r="308" spans="1:18" x14ac:dyDescent="0.2">
      <c r="A308" s="177"/>
      <c r="B308" s="182" t="s">
        <v>14</v>
      </c>
      <c r="C308" s="178" t="s">
        <v>9</v>
      </c>
      <c r="D308" s="179">
        <f>D306*20</f>
        <v>113.72543999999999</v>
      </c>
      <c r="E308" s="180"/>
      <c r="F308" s="181"/>
      <c r="G308" s="60">
        <f t="shared" si="39"/>
        <v>0</v>
      </c>
      <c r="H308" s="175"/>
      <c r="I308" s="139">
        <f>SUM(I306:I307)</f>
        <v>5686.2719999999999</v>
      </c>
    </row>
    <row r="309" spans="1:18" x14ac:dyDescent="0.2">
      <c r="A309" s="170" t="s">
        <v>175</v>
      </c>
      <c r="B309" s="171" t="s">
        <v>171</v>
      </c>
      <c r="C309" s="172"/>
      <c r="D309" s="173"/>
      <c r="E309" s="174"/>
      <c r="F309" s="59"/>
      <c r="G309" s="60"/>
    </row>
    <row r="310" spans="1:18" x14ac:dyDescent="0.2">
      <c r="A310" s="141" t="s">
        <v>184</v>
      </c>
      <c r="B310" s="142" t="s">
        <v>486</v>
      </c>
      <c r="C310" s="143" t="s">
        <v>135</v>
      </c>
      <c r="D310" s="91">
        <f>I313/1000</f>
        <v>1.00332</v>
      </c>
      <c r="E310" s="92"/>
      <c r="F310" s="59"/>
      <c r="G310" s="60">
        <f t="shared" ref="G310:G324" si="45">(D310*E310)+(D310*F310)</f>
        <v>0</v>
      </c>
    </row>
    <row r="311" spans="1:18" x14ac:dyDescent="0.2">
      <c r="A311" s="144"/>
      <c r="B311" s="142" t="s">
        <v>222</v>
      </c>
      <c r="C311" s="143" t="s">
        <v>8</v>
      </c>
      <c r="D311" s="91">
        <v>96</v>
      </c>
      <c r="E311" s="92"/>
      <c r="F311" s="59"/>
      <c r="G311" s="60">
        <f t="shared" si="45"/>
        <v>0</v>
      </c>
      <c r="I311" s="139">
        <f>D311*1.58*6</f>
        <v>910.08</v>
      </c>
      <c r="J311" s="28">
        <f>1.5*2*32</f>
        <v>96</v>
      </c>
      <c r="L311" s="28">
        <f>3.5/0.15</f>
        <v>23.333333333333336</v>
      </c>
      <c r="M311" s="28">
        <f>24*32</f>
        <v>768</v>
      </c>
      <c r="N311" s="28">
        <f>M311/11</f>
        <v>69.818181818181813</v>
      </c>
    </row>
    <row r="312" spans="1:18" x14ac:dyDescent="0.2">
      <c r="A312" s="141"/>
      <c r="B312" s="142" t="s">
        <v>225</v>
      </c>
      <c r="C312" s="143" t="s">
        <v>8</v>
      </c>
      <c r="D312" s="91">
        <v>70</v>
      </c>
      <c r="E312" s="92"/>
      <c r="F312" s="59"/>
      <c r="G312" s="60">
        <f t="shared" si="45"/>
        <v>0</v>
      </c>
      <c r="I312" s="139">
        <f>0.222*D312*6</f>
        <v>93.240000000000009</v>
      </c>
    </row>
    <row r="313" spans="1:18" x14ac:dyDescent="0.2">
      <c r="A313" s="141"/>
      <c r="B313" s="142" t="s">
        <v>14</v>
      </c>
      <c r="C313" s="143" t="s">
        <v>9</v>
      </c>
      <c r="D313" s="91">
        <f>D310*20</f>
        <v>20.066400000000002</v>
      </c>
      <c r="E313" s="92"/>
      <c r="F313" s="59"/>
      <c r="G313" s="60">
        <f t="shared" si="45"/>
        <v>0</v>
      </c>
      <c r="I313" s="139">
        <f>SUM(I311:I312)</f>
        <v>1003.32</v>
      </c>
      <c r="J313" s="139"/>
    </row>
    <row r="314" spans="1:18" x14ac:dyDescent="0.2">
      <c r="A314" s="141" t="s">
        <v>185</v>
      </c>
      <c r="B314" s="142" t="s">
        <v>487</v>
      </c>
      <c r="C314" s="143" t="s">
        <v>135</v>
      </c>
      <c r="D314" s="91">
        <f>I317/1000</f>
        <v>0.32702400000000004</v>
      </c>
      <c r="E314" s="92"/>
      <c r="F314" s="59"/>
      <c r="G314" s="60">
        <f t="shared" si="45"/>
        <v>0</v>
      </c>
      <c r="I314" s="139"/>
      <c r="J314" s="139"/>
    </row>
    <row r="315" spans="1:18" x14ac:dyDescent="0.2">
      <c r="A315" s="141"/>
      <c r="B315" s="142" t="s">
        <v>222</v>
      </c>
      <c r="C315" s="143" t="s">
        <v>8</v>
      </c>
      <c r="D315" s="91">
        <v>30</v>
      </c>
      <c r="E315" s="92"/>
      <c r="F315" s="59"/>
      <c r="G315" s="60">
        <f t="shared" si="45"/>
        <v>0</v>
      </c>
      <c r="I315" s="139">
        <f>D315*1.58*6</f>
        <v>284.40000000000003</v>
      </c>
      <c r="J315" s="28">
        <f>1.5*4*5</f>
        <v>30</v>
      </c>
      <c r="L315" s="28">
        <f>24*5</f>
        <v>120</v>
      </c>
      <c r="M315" s="28">
        <f>L315/6</f>
        <v>20</v>
      </c>
      <c r="N315" s="28">
        <f>L315/10</f>
        <v>12</v>
      </c>
      <c r="O315" s="28">
        <f>SUM(M315:N315)</f>
        <v>32</v>
      </c>
    </row>
    <row r="316" spans="1:18" x14ac:dyDescent="0.2">
      <c r="A316" s="141"/>
      <c r="B316" s="142" t="s">
        <v>225</v>
      </c>
      <c r="C316" s="143" t="s">
        <v>8</v>
      </c>
      <c r="D316" s="91">
        <v>32</v>
      </c>
      <c r="E316" s="92"/>
      <c r="F316" s="59"/>
      <c r="G316" s="60">
        <f t="shared" si="45"/>
        <v>0</v>
      </c>
      <c r="I316" s="139">
        <f>0.222*D316*6</f>
        <v>42.624000000000002</v>
      </c>
    </row>
    <row r="317" spans="1:18" x14ac:dyDescent="0.2">
      <c r="A317" s="141"/>
      <c r="B317" s="142" t="s">
        <v>14</v>
      </c>
      <c r="C317" s="143" t="s">
        <v>9</v>
      </c>
      <c r="D317" s="91">
        <f>D314*20</f>
        <v>6.5404800000000005</v>
      </c>
      <c r="E317" s="92"/>
      <c r="F317" s="59"/>
      <c r="G317" s="60">
        <f t="shared" si="45"/>
        <v>0</v>
      </c>
      <c r="I317" s="139">
        <f>SUM(I315:I316)</f>
        <v>327.02400000000006</v>
      </c>
      <c r="J317" s="139"/>
    </row>
    <row r="318" spans="1:18" x14ac:dyDescent="0.2">
      <c r="A318" s="141" t="s">
        <v>187</v>
      </c>
      <c r="B318" s="142" t="s">
        <v>488</v>
      </c>
      <c r="C318" s="143" t="s">
        <v>135</v>
      </c>
      <c r="D318" s="91">
        <f>I321/1000</f>
        <v>0.10349999999999999</v>
      </c>
      <c r="E318" s="92"/>
      <c r="F318" s="59"/>
      <c r="G318" s="60">
        <f t="shared" si="45"/>
        <v>0</v>
      </c>
      <c r="I318" s="139"/>
      <c r="J318" s="139"/>
    </row>
    <row r="319" spans="1:18" x14ac:dyDescent="0.2">
      <c r="A319" s="141"/>
      <c r="B319" s="142" t="s">
        <v>224</v>
      </c>
      <c r="C319" s="143" t="s">
        <v>8</v>
      </c>
      <c r="D319" s="91">
        <v>24</v>
      </c>
      <c r="E319" s="92"/>
      <c r="F319" s="59"/>
      <c r="G319" s="60">
        <f t="shared" si="45"/>
        <v>0</v>
      </c>
      <c r="I319" s="139">
        <f>D319*0.617*6</f>
        <v>88.847999999999999</v>
      </c>
      <c r="J319" s="139">
        <f>1.5*2*8</f>
        <v>24</v>
      </c>
      <c r="K319" s="28">
        <f>24*8</f>
        <v>192</v>
      </c>
      <c r="L319" s="28">
        <f>K319/18</f>
        <v>10.666666666666666</v>
      </c>
    </row>
    <row r="320" spans="1:18" x14ac:dyDescent="0.2">
      <c r="A320" s="141"/>
      <c r="B320" s="142" t="s">
        <v>225</v>
      </c>
      <c r="C320" s="143" t="s">
        <v>8</v>
      </c>
      <c r="D320" s="91">
        <v>11</v>
      </c>
      <c r="E320" s="92"/>
      <c r="F320" s="59"/>
      <c r="G320" s="60">
        <f t="shared" si="45"/>
        <v>0</v>
      </c>
      <c r="I320" s="139">
        <f>0.222*D320*6</f>
        <v>14.652000000000001</v>
      </c>
      <c r="J320" s="139"/>
    </row>
    <row r="321" spans="1:12" x14ac:dyDescent="0.2">
      <c r="A321" s="141"/>
      <c r="B321" s="142" t="s">
        <v>14</v>
      </c>
      <c r="C321" s="143" t="s">
        <v>9</v>
      </c>
      <c r="D321" s="91">
        <f>D318*20</f>
        <v>2.0699999999999998</v>
      </c>
      <c r="E321" s="92"/>
      <c r="F321" s="59"/>
      <c r="G321" s="60">
        <f t="shared" si="45"/>
        <v>0</v>
      </c>
      <c r="I321" s="139">
        <f>SUM(I319:I320)</f>
        <v>103.5</v>
      </c>
      <c r="J321" s="139"/>
    </row>
    <row r="322" spans="1:12" x14ac:dyDescent="0.2">
      <c r="A322" s="170" t="s">
        <v>176</v>
      </c>
      <c r="B322" s="171" t="s">
        <v>197</v>
      </c>
      <c r="C322" s="172" t="s">
        <v>135</v>
      </c>
      <c r="D322" s="173">
        <f>I324/1000</f>
        <v>0.39981599999999995</v>
      </c>
      <c r="E322" s="174"/>
      <c r="F322" s="59"/>
      <c r="G322" s="60">
        <f t="shared" si="45"/>
        <v>0</v>
      </c>
      <c r="H322" s="175"/>
      <c r="I322" s="176"/>
    </row>
    <row r="323" spans="1:12" x14ac:dyDescent="0.2">
      <c r="A323" s="177" t="s">
        <v>174</v>
      </c>
      <c r="B323" s="142" t="s">
        <v>224</v>
      </c>
      <c r="C323" s="178" t="s">
        <v>8</v>
      </c>
      <c r="D323" s="179">
        <v>108</v>
      </c>
      <c r="E323" s="180"/>
      <c r="F323" s="181"/>
      <c r="G323" s="60">
        <f t="shared" si="45"/>
        <v>0</v>
      </c>
      <c r="H323" s="175"/>
      <c r="I323" s="139">
        <f>0.617*D323*6</f>
        <v>399.81599999999997</v>
      </c>
    </row>
    <row r="324" spans="1:12" x14ac:dyDescent="0.2">
      <c r="A324" s="177"/>
      <c r="B324" s="182" t="s">
        <v>14</v>
      </c>
      <c r="C324" s="178" t="s">
        <v>9</v>
      </c>
      <c r="D324" s="179">
        <f>D322*20</f>
        <v>7.996319999999999</v>
      </c>
      <c r="E324" s="180"/>
      <c r="F324" s="181"/>
      <c r="G324" s="60">
        <f t="shared" si="45"/>
        <v>0</v>
      </c>
      <c r="H324" s="175"/>
      <c r="I324" s="139">
        <f>SUM(I322:I323)</f>
        <v>399.81599999999997</v>
      </c>
    </row>
    <row r="325" spans="1:12" x14ac:dyDescent="0.2">
      <c r="A325" s="170" t="s">
        <v>177</v>
      </c>
      <c r="B325" s="171" t="s">
        <v>448</v>
      </c>
      <c r="C325" s="172"/>
      <c r="D325" s="173"/>
      <c r="E325" s="174"/>
      <c r="F325" s="59"/>
      <c r="G325" s="60"/>
      <c r="I325" s="139"/>
    </row>
    <row r="326" spans="1:12" x14ac:dyDescent="0.2">
      <c r="A326" s="141" t="s">
        <v>184</v>
      </c>
      <c r="B326" s="142" t="s">
        <v>283</v>
      </c>
      <c r="C326" s="143" t="s">
        <v>135</v>
      </c>
      <c r="D326" s="91">
        <f>I329/1000</f>
        <v>0.22556400000000001</v>
      </c>
      <c r="E326" s="92"/>
      <c r="F326" s="59"/>
      <c r="G326" s="60">
        <f t="shared" ref="G326:G332" si="46">(D326*E326)+(D326*F326)</f>
        <v>0</v>
      </c>
    </row>
    <row r="327" spans="1:12" x14ac:dyDescent="0.2">
      <c r="A327" s="144"/>
      <c r="B327" s="142" t="s">
        <v>222</v>
      </c>
      <c r="C327" s="143" t="s">
        <v>8</v>
      </c>
      <c r="D327" s="91">
        <v>20</v>
      </c>
      <c r="E327" s="92"/>
      <c r="F327" s="59"/>
      <c r="G327" s="60">
        <f t="shared" si="46"/>
        <v>0</v>
      </c>
      <c r="I327" s="139">
        <f>D327*1.58*6</f>
        <v>189.60000000000002</v>
      </c>
      <c r="J327" s="28">
        <f>8.7+4.42+3.4+3.4</f>
        <v>19.919999999999998</v>
      </c>
      <c r="K327" s="28">
        <f>J327/0.15</f>
        <v>132.79999999999998</v>
      </c>
      <c r="L327" s="28">
        <f>K327/5</f>
        <v>26.559999999999995</v>
      </c>
    </row>
    <row r="328" spans="1:12" x14ac:dyDescent="0.2">
      <c r="A328" s="141"/>
      <c r="B328" s="142" t="s">
        <v>225</v>
      </c>
      <c r="C328" s="143" t="s">
        <v>8</v>
      </c>
      <c r="D328" s="91">
        <v>27</v>
      </c>
      <c r="E328" s="92"/>
      <c r="F328" s="59"/>
      <c r="G328" s="60">
        <f t="shared" si="46"/>
        <v>0</v>
      </c>
      <c r="I328" s="139">
        <f>0.222*D328*6</f>
        <v>35.963999999999999</v>
      </c>
    </row>
    <row r="329" spans="1:12" x14ac:dyDescent="0.2">
      <c r="A329" s="141"/>
      <c r="B329" s="142" t="s">
        <v>14</v>
      </c>
      <c r="C329" s="143" t="s">
        <v>9</v>
      </c>
      <c r="D329" s="91">
        <f>D326*20</f>
        <v>4.5112800000000002</v>
      </c>
      <c r="E329" s="92"/>
      <c r="F329" s="59"/>
      <c r="G329" s="60">
        <f t="shared" si="46"/>
        <v>0</v>
      </c>
      <c r="I329" s="139">
        <f>SUM(I327:I328)</f>
        <v>225.56400000000002</v>
      </c>
    </row>
    <row r="330" spans="1:12" x14ac:dyDescent="0.2">
      <c r="A330" s="170" t="s">
        <v>178</v>
      </c>
      <c r="B330" s="171" t="s">
        <v>449</v>
      </c>
      <c r="C330" s="172" t="s">
        <v>135</v>
      </c>
      <c r="D330" s="173">
        <f>I332/1000</f>
        <v>0.34798800000000002</v>
      </c>
      <c r="E330" s="174"/>
      <c r="F330" s="59"/>
      <c r="G330" s="60">
        <f t="shared" si="46"/>
        <v>0</v>
      </c>
      <c r="H330" s="175"/>
      <c r="I330" s="176"/>
    </row>
    <row r="331" spans="1:12" x14ac:dyDescent="0.2">
      <c r="A331" s="177" t="s">
        <v>174</v>
      </c>
      <c r="B331" s="142" t="s">
        <v>224</v>
      </c>
      <c r="C331" s="178" t="s">
        <v>8</v>
      </c>
      <c r="D331" s="179">
        <v>94</v>
      </c>
      <c r="E331" s="180"/>
      <c r="F331" s="181"/>
      <c r="G331" s="60">
        <f t="shared" si="46"/>
        <v>0</v>
      </c>
      <c r="H331" s="175"/>
      <c r="I331" s="139">
        <f>0.617*D331*6</f>
        <v>347.988</v>
      </c>
      <c r="J331" s="28">
        <f>5.925*3.4</f>
        <v>20.145</v>
      </c>
      <c r="K331" s="28">
        <f>J331*14*2</f>
        <v>564.05999999999995</v>
      </c>
      <c r="L331" s="28">
        <f>K331/6</f>
        <v>94.009999999999991</v>
      </c>
    </row>
    <row r="332" spans="1:12" x14ac:dyDescent="0.2">
      <c r="A332" s="177"/>
      <c r="B332" s="182" t="s">
        <v>14</v>
      </c>
      <c r="C332" s="178" t="s">
        <v>9</v>
      </c>
      <c r="D332" s="179">
        <f>D330*20</f>
        <v>6.9597600000000002</v>
      </c>
      <c r="E332" s="180"/>
      <c r="F332" s="181"/>
      <c r="G332" s="60">
        <f t="shared" si="46"/>
        <v>0</v>
      </c>
      <c r="H332" s="175"/>
      <c r="I332" s="139">
        <f>SUM(I330:I331)</f>
        <v>347.988</v>
      </c>
    </row>
    <row r="333" spans="1:12" x14ac:dyDescent="0.2">
      <c r="A333" s="177"/>
      <c r="B333" s="182"/>
      <c r="C333" s="178"/>
      <c r="D333" s="179"/>
      <c r="E333" s="180"/>
      <c r="F333" s="181"/>
      <c r="G333" s="60"/>
      <c r="H333" s="175"/>
      <c r="I333" s="139"/>
    </row>
    <row r="334" spans="1:12" x14ac:dyDescent="0.2">
      <c r="A334" s="177"/>
      <c r="B334" s="182"/>
      <c r="C334" s="178"/>
      <c r="D334" s="179"/>
      <c r="E334" s="180"/>
      <c r="F334" s="181"/>
      <c r="G334" s="60"/>
      <c r="H334" s="175"/>
      <c r="I334" s="139"/>
    </row>
    <row r="335" spans="1:12" x14ac:dyDescent="0.2">
      <c r="A335" s="177"/>
      <c r="B335" s="182"/>
      <c r="C335" s="178"/>
      <c r="D335" s="179"/>
      <c r="E335" s="180"/>
      <c r="F335" s="181"/>
      <c r="G335" s="60"/>
      <c r="H335" s="175"/>
      <c r="I335" s="139"/>
    </row>
    <row r="336" spans="1:12" ht="12.75" thickBot="1" x14ac:dyDescent="0.25">
      <c r="A336" s="405"/>
      <c r="B336" s="406"/>
      <c r="C336" s="407"/>
      <c r="D336" s="408"/>
      <c r="E336" s="184"/>
      <c r="F336" s="185"/>
      <c r="G336" s="156"/>
      <c r="H336" s="175"/>
      <c r="I336" s="139"/>
    </row>
    <row r="337" spans="1:13" x14ac:dyDescent="0.2">
      <c r="A337" s="177"/>
      <c r="B337" s="182"/>
      <c r="C337" s="178"/>
      <c r="D337" s="179"/>
      <c r="E337" s="180"/>
      <c r="F337" s="181"/>
      <c r="G337" s="60"/>
      <c r="H337" s="175"/>
      <c r="I337" s="139"/>
    </row>
    <row r="338" spans="1:13" x14ac:dyDescent="0.2">
      <c r="A338" s="132" t="s">
        <v>291</v>
      </c>
      <c r="B338" s="133" t="s">
        <v>70</v>
      </c>
      <c r="C338" s="163"/>
      <c r="D338" s="164"/>
      <c r="E338" s="165"/>
      <c r="F338" s="166"/>
      <c r="G338" s="167"/>
    </row>
    <row r="339" spans="1:13" x14ac:dyDescent="0.2">
      <c r="A339" s="170" t="s">
        <v>163</v>
      </c>
      <c r="B339" s="171" t="s">
        <v>298</v>
      </c>
      <c r="C339" s="172"/>
      <c r="D339" s="173"/>
      <c r="E339" s="174"/>
      <c r="F339" s="59"/>
      <c r="G339" s="60"/>
    </row>
    <row r="340" spans="1:13" x14ac:dyDescent="0.2">
      <c r="A340" s="141" t="s">
        <v>184</v>
      </c>
      <c r="B340" s="142" t="s">
        <v>283</v>
      </c>
      <c r="C340" s="143" t="s">
        <v>135</v>
      </c>
      <c r="D340" s="91">
        <f>I343/1000</f>
        <v>0.61017599999999994</v>
      </c>
      <c r="E340" s="92"/>
      <c r="F340" s="59"/>
      <c r="G340" s="60">
        <f t="shared" ref="G340:G364" si="47">(D340*E340)+(D340*F340)</f>
        <v>0</v>
      </c>
    </row>
    <row r="341" spans="1:13" x14ac:dyDescent="0.2">
      <c r="A341" s="144"/>
      <c r="B341" s="142" t="s">
        <v>222</v>
      </c>
      <c r="C341" s="143" t="s">
        <v>8</v>
      </c>
      <c r="D341" s="91">
        <v>52</v>
      </c>
      <c r="E341" s="92"/>
      <c r="F341" s="59"/>
      <c r="G341" s="60">
        <f t="shared" si="47"/>
        <v>0</v>
      </c>
      <c r="I341" s="139">
        <f>D341*1.58*6</f>
        <v>492.96</v>
      </c>
      <c r="J341" s="28">
        <f>16.2+13+32.2+2.2*2</f>
        <v>65.800000000000011</v>
      </c>
      <c r="L341" s="28">
        <f>J341/0.15</f>
        <v>438.66666666666674</v>
      </c>
      <c r="M341" s="28">
        <f>L341/5</f>
        <v>87.733333333333348</v>
      </c>
    </row>
    <row r="342" spans="1:13" x14ac:dyDescent="0.2">
      <c r="A342" s="141"/>
      <c r="B342" s="142" t="s">
        <v>225</v>
      </c>
      <c r="C342" s="143" t="s">
        <v>8</v>
      </c>
      <c r="D342" s="91">
        <v>88</v>
      </c>
      <c r="E342" s="92"/>
      <c r="F342" s="59"/>
      <c r="G342" s="60">
        <f t="shared" si="47"/>
        <v>0</v>
      </c>
      <c r="I342" s="139">
        <f>0.222*D342*6</f>
        <v>117.21600000000001</v>
      </c>
      <c r="J342" s="28">
        <f>3.2*4+2.5*4+6.25*4+4</f>
        <v>51.8</v>
      </c>
    </row>
    <row r="343" spans="1:13" x14ac:dyDescent="0.2">
      <c r="A343" s="141"/>
      <c r="B343" s="142" t="s">
        <v>14</v>
      </c>
      <c r="C343" s="143" t="s">
        <v>9</v>
      </c>
      <c r="D343" s="91">
        <f>D340*20</f>
        <v>12.203519999999999</v>
      </c>
      <c r="E343" s="92"/>
      <c r="F343" s="59"/>
      <c r="G343" s="60">
        <f t="shared" si="47"/>
        <v>0</v>
      </c>
      <c r="I343" s="139">
        <f>SUM(I341:I342)</f>
        <v>610.17599999999993</v>
      </c>
      <c r="J343" s="139"/>
    </row>
    <row r="344" spans="1:13" x14ac:dyDescent="0.2">
      <c r="A344" s="141" t="s">
        <v>185</v>
      </c>
      <c r="B344" s="142" t="s">
        <v>299</v>
      </c>
      <c r="C344" s="143" t="s">
        <v>135</v>
      </c>
      <c r="D344" s="91">
        <f>I347/1000</f>
        <v>0.27711599999999997</v>
      </c>
      <c r="E344" s="92"/>
      <c r="F344" s="59"/>
      <c r="G344" s="60">
        <f t="shared" si="47"/>
        <v>0</v>
      </c>
      <c r="I344" s="139"/>
      <c r="J344" s="139"/>
    </row>
    <row r="345" spans="1:13" x14ac:dyDescent="0.2">
      <c r="A345" s="141"/>
      <c r="B345" s="142" t="s">
        <v>222</v>
      </c>
      <c r="C345" s="143" t="s">
        <v>8</v>
      </c>
      <c r="D345" s="91">
        <v>26</v>
      </c>
      <c r="E345" s="92"/>
      <c r="F345" s="59"/>
      <c r="G345" s="60">
        <f t="shared" si="47"/>
        <v>0</v>
      </c>
      <c r="I345" s="139">
        <f>D345*1.58*6</f>
        <v>246.48</v>
      </c>
      <c r="J345" s="28">
        <f>8.6*2</f>
        <v>17.2</v>
      </c>
      <c r="K345" s="28">
        <f>J345/0.15</f>
        <v>114.66666666666667</v>
      </c>
      <c r="L345" s="28">
        <f>K345/5</f>
        <v>22.933333333333334</v>
      </c>
    </row>
    <row r="346" spans="1:13" x14ac:dyDescent="0.2">
      <c r="A346" s="141"/>
      <c r="B346" s="142" t="s">
        <v>225</v>
      </c>
      <c r="C346" s="143" t="s">
        <v>8</v>
      </c>
      <c r="D346" s="91">
        <v>23</v>
      </c>
      <c r="E346" s="92"/>
      <c r="F346" s="59"/>
      <c r="G346" s="60">
        <f t="shared" si="47"/>
        <v>0</v>
      </c>
      <c r="I346" s="139">
        <f>0.222*D346*6</f>
        <v>30.635999999999999</v>
      </c>
    </row>
    <row r="347" spans="1:13" x14ac:dyDescent="0.2">
      <c r="A347" s="141"/>
      <c r="B347" s="142" t="s">
        <v>14</v>
      </c>
      <c r="C347" s="143" t="s">
        <v>9</v>
      </c>
      <c r="D347" s="91">
        <f>D344*20</f>
        <v>5.5423199999999992</v>
      </c>
      <c r="E347" s="92"/>
      <c r="F347" s="59"/>
      <c r="G347" s="60">
        <f t="shared" si="47"/>
        <v>0</v>
      </c>
      <c r="I347" s="139">
        <f>SUM(I345:I346)</f>
        <v>277.11599999999999</v>
      </c>
      <c r="J347" s="139"/>
    </row>
    <row r="348" spans="1:13" x14ac:dyDescent="0.2">
      <c r="A348" s="141" t="s">
        <v>187</v>
      </c>
      <c r="B348" s="142" t="s">
        <v>300</v>
      </c>
      <c r="C348" s="143" t="s">
        <v>135</v>
      </c>
      <c r="D348" s="91">
        <f>I351/1000</f>
        <v>1.1174219999999997</v>
      </c>
      <c r="E348" s="92"/>
      <c r="F348" s="59"/>
      <c r="G348" s="60">
        <f t="shared" si="47"/>
        <v>0</v>
      </c>
      <c r="I348" s="139"/>
      <c r="J348" s="139"/>
    </row>
    <row r="349" spans="1:13" x14ac:dyDescent="0.2">
      <c r="A349" s="141"/>
      <c r="B349" s="142" t="s">
        <v>306</v>
      </c>
      <c r="C349" s="143" t="s">
        <v>8</v>
      </c>
      <c r="D349" s="91">
        <v>65</v>
      </c>
      <c r="E349" s="92"/>
      <c r="F349" s="59"/>
      <c r="G349" s="60">
        <f t="shared" si="47"/>
        <v>0</v>
      </c>
      <c r="I349" s="139">
        <f>D349*2.469*6</f>
        <v>962.90999999999985</v>
      </c>
      <c r="J349" s="28">
        <f>8.7*5</f>
        <v>43.5</v>
      </c>
      <c r="K349" s="28">
        <f>(J349/0.15)*2</f>
        <v>580</v>
      </c>
      <c r="L349" s="28">
        <f>K349/5</f>
        <v>116</v>
      </c>
    </row>
    <row r="350" spans="1:13" x14ac:dyDescent="0.2">
      <c r="A350" s="141"/>
      <c r="B350" s="142" t="s">
        <v>225</v>
      </c>
      <c r="C350" s="143" t="s">
        <v>8</v>
      </c>
      <c r="D350" s="91">
        <v>116</v>
      </c>
      <c r="E350" s="92"/>
      <c r="F350" s="59"/>
      <c r="G350" s="60">
        <f t="shared" si="47"/>
        <v>0</v>
      </c>
      <c r="I350" s="139">
        <f>0.222*D350*6</f>
        <v>154.512</v>
      </c>
      <c r="J350" s="139"/>
    </row>
    <row r="351" spans="1:13" x14ac:dyDescent="0.2">
      <c r="A351" s="141"/>
      <c r="B351" s="142" t="s">
        <v>14</v>
      </c>
      <c r="C351" s="143" t="s">
        <v>9</v>
      </c>
      <c r="D351" s="91">
        <f>D348*20</f>
        <v>22.348439999999993</v>
      </c>
      <c r="E351" s="92"/>
      <c r="F351" s="59"/>
      <c r="G351" s="60">
        <f t="shared" si="47"/>
        <v>0</v>
      </c>
      <c r="I351" s="139">
        <f>SUM(I349:I350)</f>
        <v>1117.4219999999998</v>
      </c>
      <c r="J351" s="139"/>
    </row>
    <row r="352" spans="1:13" x14ac:dyDescent="0.2">
      <c r="A352" s="141" t="s">
        <v>186</v>
      </c>
      <c r="B352" s="142" t="s">
        <v>303</v>
      </c>
      <c r="C352" s="143" t="s">
        <v>135</v>
      </c>
      <c r="D352" s="91">
        <f>I355/1000</f>
        <v>0.38994000000000001</v>
      </c>
      <c r="E352" s="92"/>
      <c r="F352" s="59"/>
      <c r="G352" s="60">
        <f t="shared" si="47"/>
        <v>0</v>
      </c>
      <c r="I352" s="139"/>
      <c r="J352" s="139"/>
    </row>
    <row r="353" spans="1:18" x14ac:dyDescent="0.2">
      <c r="A353" s="141"/>
      <c r="B353" s="142" t="s">
        <v>222</v>
      </c>
      <c r="C353" s="143" t="s">
        <v>8</v>
      </c>
      <c r="D353" s="91">
        <v>32</v>
      </c>
      <c r="E353" s="92"/>
      <c r="F353" s="59"/>
      <c r="G353" s="60">
        <f t="shared" si="47"/>
        <v>0</v>
      </c>
      <c r="I353" s="139">
        <f>D353*1.58*6</f>
        <v>303.36</v>
      </c>
      <c r="J353" s="139"/>
    </row>
    <row r="354" spans="1:18" x14ac:dyDescent="0.2">
      <c r="A354" s="141"/>
      <c r="B354" s="142" t="s">
        <v>225</v>
      </c>
      <c r="C354" s="143" t="s">
        <v>8</v>
      </c>
      <c r="D354" s="91">
        <v>65</v>
      </c>
      <c r="E354" s="92"/>
      <c r="F354" s="59"/>
      <c r="G354" s="60">
        <f t="shared" si="47"/>
        <v>0</v>
      </c>
      <c r="I354" s="139">
        <f>0.222*D354*6</f>
        <v>86.58</v>
      </c>
      <c r="J354" s="139"/>
    </row>
    <row r="355" spans="1:18" x14ac:dyDescent="0.2">
      <c r="A355" s="141"/>
      <c r="B355" s="142" t="s">
        <v>14</v>
      </c>
      <c r="C355" s="143" t="s">
        <v>9</v>
      </c>
      <c r="D355" s="91">
        <f>D352*20</f>
        <v>7.7988</v>
      </c>
      <c r="E355" s="92"/>
      <c r="F355" s="59"/>
      <c r="G355" s="60">
        <f t="shared" si="47"/>
        <v>0</v>
      </c>
      <c r="I355" s="139">
        <f>SUM(I353:I354)</f>
        <v>389.94</v>
      </c>
      <c r="J355" s="139"/>
    </row>
    <row r="356" spans="1:18" x14ac:dyDescent="0.2">
      <c r="A356" s="141" t="s">
        <v>301</v>
      </c>
      <c r="B356" s="142" t="s">
        <v>304</v>
      </c>
      <c r="C356" s="143" t="s">
        <v>135</v>
      </c>
      <c r="D356" s="91">
        <f>I359/1000</f>
        <v>6.7248000000000002E-2</v>
      </c>
      <c r="E356" s="92"/>
      <c r="F356" s="59"/>
      <c r="G356" s="60">
        <f t="shared" si="47"/>
        <v>0</v>
      </c>
      <c r="I356" s="139"/>
      <c r="J356" s="139"/>
    </row>
    <row r="357" spans="1:18" x14ac:dyDescent="0.2">
      <c r="A357" s="141"/>
      <c r="B357" s="142" t="s">
        <v>306</v>
      </c>
      <c r="C357" s="143" t="s">
        <v>8</v>
      </c>
      <c r="D357" s="91">
        <v>4</v>
      </c>
      <c r="E357" s="92"/>
      <c r="F357" s="59"/>
      <c r="G357" s="60">
        <f t="shared" si="47"/>
        <v>0</v>
      </c>
      <c r="I357" s="139">
        <f>D357*2.469*6</f>
        <v>59.256</v>
      </c>
      <c r="J357" s="139">
        <f>3.3</f>
        <v>3.3</v>
      </c>
      <c r="K357" s="28">
        <f>(J357/0.15)</f>
        <v>22</v>
      </c>
      <c r="L357" s="28">
        <f>K357/4</f>
        <v>5.5</v>
      </c>
    </row>
    <row r="358" spans="1:18" x14ac:dyDescent="0.2">
      <c r="A358" s="141"/>
      <c r="B358" s="142" t="s">
        <v>225</v>
      </c>
      <c r="C358" s="143" t="s">
        <v>8</v>
      </c>
      <c r="D358" s="91">
        <v>6</v>
      </c>
      <c r="E358" s="92"/>
      <c r="F358" s="59"/>
      <c r="G358" s="60">
        <f t="shared" si="47"/>
        <v>0</v>
      </c>
      <c r="I358" s="139">
        <f>0.222*D358*6</f>
        <v>7.9920000000000009</v>
      </c>
      <c r="J358" s="139"/>
    </row>
    <row r="359" spans="1:18" x14ac:dyDescent="0.2">
      <c r="A359" s="141"/>
      <c r="B359" s="142" t="s">
        <v>14</v>
      </c>
      <c r="C359" s="143" t="s">
        <v>9</v>
      </c>
      <c r="D359" s="91">
        <f>D356*20</f>
        <v>1.3449599999999999</v>
      </c>
      <c r="E359" s="92"/>
      <c r="F359" s="59"/>
      <c r="G359" s="60">
        <f t="shared" si="47"/>
        <v>0</v>
      </c>
      <c r="I359" s="139">
        <f>SUM(I357:I358)</f>
        <v>67.248000000000005</v>
      </c>
      <c r="J359" s="139"/>
    </row>
    <row r="360" spans="1:18" x14ac:dyDescent="0.2">
      <c r="A360" s="141" t="s">
        <v>302</v>
      </c>
      <c r="B360" s="142" t="s">
        <v>305</v>
      </c>
      <c r="C360" s="143" t="s">
        <v>135</v>
      </c>
      <c r="D360" s="91">
        <f>I364/1000</f>
        <v>0.61063200000000006</v>
      </c>
      <c r="E360" s="92"/>
      <c r="F360" s="59"/>
      <c r="G360" s="60">
        <f t="shared" si="47"/>
        <v>0</v>
      </c>
      <c r="I360" s="139"/>
      <c r="J360" s="139"/>
    </row>
    <row r="361" spans="1:18" x14ac:dyDescent="0.2">
      <c r="A361" s="141"/>
      <c r="B361" s="142" t="s">
        <v>306</v>
      </c>
      <c r="C361" s="143" t="s">
        <v>8</v>
      </c>
      <c r="D361" s="91">
        <v>26</v>
      </c>
      <c r="E361" s="92"/>
      <c r="F361" s="59"/>
      <c r="G361" s="60">
        <f t="shared" si="47"/>
        <v>0</v>
      </c>
      <c r="I361" s="139">
        <f t="shared" ref="I361" si="48">D361*2.469*6</f>
        <v>385.16399999999999</v>
      </c>
      <c r="J361" s="139">
        <f>12.9+13</f>
        <v>25.9</v>
      </c>
      <c r="K361" s="28">
        <f>(J361/0.1)</f>
        <v>258.99999999999994</v>
      </c>
      <c r="L361" s="28">
        <f>K361/4</f>
        <v>64.749999999999986</v>
      </c>
    </row>
    <row r="362" spans="1:18" x14ac:dyDescent="0.2">
      <c r="A362" s="141"/>
      <c r="B362" s="142" t="s">
        <v>307</v>
      </c>
      <c r="C362" s="143" t="s">
        <v>8</v>
      </c>
      <c r="D362" s="91">
        <v>6</v>
      </c>
      <c r="E362" s="92"/>
      <c r="F362" s="59"/>
      <c r="G362" s="60">
        <f t="shared" si="47"/>
        <v>0</v>
      </c>
      <c r="I362" s="139">
        <f>D362*3.858*6</f>
        <v>138.88800000000001</v>
      </c>
      <c r="J362" s="139"/>
    </row>
    <row r="363" spans="1:18" x14ac:dyDescent="0.2">
      <c r="A363" s="141"/>
      <c r="B363" s="142" t="s">
        <v>225</v>
      </c>
      <c r="C363" s="143" t="s">
        <v>8</v>
      </c>
      <c r="D363" s="91">
        <v>65</v>
      </c>
      <c r="E363" s="92"/>
      <c r="F363" s="59"/>
      <c r="G363" s="60">
        <f t="shared" si="47"/>
        <v>0</v>
      </c>
      <c r="I363" s="139">
        <f>0.222*D363*6</f>
        <v>86.58</v>
      </c>
      <c r="J363" s="139"/>
    </row>
    <row r="364" spans="1:18" x14ac:dyDescent="0.2">
      <c r="A364" s="141"/>
      <c r="B364" s="142" t="s">
        <v>14</v>
      </c>
      <c r="C364" s="143" t="s">
        <v>9</v>
      </c>
      <c r="D364" s="91">
        <f>D360*20</f>
        <v>12.21264</v>
      </c>
      <c r="E364" s="92"/>
      <c r="F364" s="59"/>
      <c r="G364" s="60">
        <f t="shared" si="47"/>
        <v>0</v>
      </c>
      <c r="I364" s="139">
        <f>SUM(I361:I363)</f>
        <v>610.63200000000006</v>
      </c>
      <c r="J364" s="139"/>
    </row>
    <row r="365" spans="1:18" x14ac:dyDescent="0.2">
      <c r="A365" s="170" t="s">
        <v>164</v>
      </c>
      <c r="B365" s="171" t="s">
        <v>282</v>
      </c>
      <c r="C365" s="172" t="s">
        <v>135</v>
      </c>
      <c r="D365" s="173">
        <f>I367/1000</f>
        <v>5.6862719999999998</v>
      </c>
      <c r="E365" s="174"/>
      <c r="F365" s="59"/>
      <c r="G365" s="60">
        <f t="shared" ref="G365:G367" si="49">(D365*E365)+(D365*F365)</f>
        <v>0</v>
      </c>
      <c r="H365" s="175"/>
      <c r="I365" s="176"/>
      <c r="J365" s="28">
        <f>32.2*2.2</f>
        <v>70.840000000000018</v>
      </c>
      <c r="K365" s="28">
        <f>16.2*8.5</f>
        <v>137.69999999999999</v>
      </c>
      <c r="L365" s="28">
        <f>13*8.5</f>
        <v>110.5</v>
      </c>
      <c r="M365" s="28">
        <f>SUM(J365:L365)</f>
        <v>319.04000000000002</v>
      </c>
      <c r="N365" s="28">
        <f>M365*15</f>
        <v>4785.6000000000004</v>
      </c>
      <c r="O365" s="28">
        <f>N365*75%</f>
        <v>3589.2000000000003</v>
      </c>
      <c r="P365" s="28">
        <f>SUM(N365:O365)</f>
        <v>8374.8000000000011</v>
      </c>
      <c r="Q365" s="28">
        <f>P365*110%</f>
        <v>9212.2800000000025</v>
      </c>
      <c r="R365" s="28">
        <f>Q365/6</f>
        <v>1535.3800000000003</v>
      </c>
    </row>
    <row r="366" spans="1:18" x14ac:dyDescent="0.2">
      <c r="A366" s="177" t="s">
        <v>174</v>
      </c>
      <c r="B366" s="142" t="s">
        <v>224</v>
      </c>
      <c r="C366" s="178" t="s">
        <v>8</v>
      </c>
      <c r="D366" s="179">
        <v>1536</v>
      </c>
      <c r="E366" s="180"/>
      <c r="F366" s="181"/>
      <c r="G366" s="60">
        <f t="shared" si="49"/>
        <v>0</v>
      </c>
      <c r="H366" s="175"/>
      <c r="I366" s="139">
        <f>0.617*D366*6</f>
        <v>5686.2719999999999</v>
      </c>
    </row>
    <row r="367" spans="1:18" x14ac:dyDescent="0.2">
      <c r="A367" s="177"/>
      <c r="B367" s="182" t="s">
        <v>14</v>
      </c>
      <c r="C367" s="178" t="s">
        <v>9</v>
      </c>
      <c r="D367" s="179">
        <f>D365*20</f>
        <v>113.72543999999999</v>
      </c>
      <c r="E367" s="180"/>
      <c r="F367" s="181"/>
      <c r="G367" s="60">
        <f t="shared" si="49"/>
        <v>0</v>
      </c>
      <c r="H367" s="175"/>
      <c r="I367" s="139">
        <f>SUM(I365:I366)</f>
        <v>5686.2719999999999</v>
      </c>
    </row>
    <row r="368" spans="1:18" x14ac:dyDescent="0.2">
      <c r="A368" s="170" t="s">
        <v>175</v>
      </c>
      <c r="B368" s="171" t="s">
        <v>171</v>
      </c>
      <c r="C368" s="172"/>
      <c r="D368" s="173"/>
      <c r="E368" s="174"/>
      <c r="F368" s="59"/>
      <c r="G368" s="60"/>
    </row>
    <row r="369" spans="1:15" x14ac:dyDescent="0.2">
      <c r="A369" s="141" t="s">
        <v>184</v>
      </c>
      <c r="B369" s="142" t="s">
        <v>486</v>
      </c>
      <c r="C369" s="143" t="s">
        <v>135</v>
      </c>
      <c r="D369" s="91">
        <f>I372/1000</f>
        <v>1.00332</v>
      </c>
      <c r="E369" s="92"/>
      <c r="F369" s="59"/>
      <c r="G369" s="60">
        <f t="shared" ref="G369:G380" si="50">(D369*E369)+(D369*F369)</f>
        <v>0</v>
      </c>
    </row>
    <row r="370" spans="1:15" x14ac:dyDescent="0.2">
      <c r="A370" s="144"/>
      <c r="B370" s="142" t="s">
        <v>222</v>
      </c>
      <c r="C370" s="143" t="s">
        <v>8</v>
      </c>
      <c r="D370" s="91">
        <v>96</v>
      </c>
      <c r="E370" s="92"/>
      <c r="F370" s="59"/>
      <c r="G370" s="60">
        <f t="shared" si="50"/>
        <v>0</v>
      </c>
      <c r="I370" s="139">
        <f>D370*1.58*6</f>
        <v>910.08</v>
      </c>
      <c r="J370" s="28">
        <f>1.5*2*32</f>
        <v>96</v>
      </c>
      <c r="L370" s="28">
        <f>3.5/0.15</f>
        <v>23.333333333333336</v>
      </c>
      <c r="M370" s="28">
        <f>24*32</f>
        <v>768</v>
      </c>
      <c r="N370" s="28">
        <f>M370/11</f>
        <v>69.818181818181813</v>
      </c>
    </row>
    <row r="371" spans="1:15" x14ac:dyDescent="0.2">
      <c r="A371" s="141"/>
      <c r="B371" s="142" t="s">
        <v>225</v>
      </c>
      <c r="C371" s="143" t="s">
        <v>8</v>
      </c>
      <c r="D371" s="91">
        <v>70</v>
      </c>
      <c r="E371" s="92"/>
      <c r="F371" s="59"/>
      <c r="G371" s="60">
        <f t="shared" si="50"/>
        <v>0</v>
      </c>
      <c r="I371" s="139">
        <f>0.222*D371*6</f>
        <v>93.240000000000009</v>
      </c>
    </row>
    <row r="372" spans="1:15" x14ac:dyDescent="0.2">
      <c r="A372" s="141"/>
      <c r="B372" s="142" t="s">
        <v>14</v>
      </c>
      <c r="C372" s="143" t="s">
        <v>9</v>
      </c>
      <c r="D372" s="91">
        <f>D369*20</f>
        <v>20.066400000000002</v>
      </c>
      <c r="E372" s="92"/>
      <c r="F372" s="59"/>
      <c r="G372" s="60">
        <f t="shared" si="50"/>
        <v>0</v>
      </c>
      <c r="I372" s="139">
        <f>SUM(I370:I371)</f>
        <v>1003.32</v>
      </c>
      <c r="J372" s="139"/>
    </row>
    <row r="373" spans="1:15" x14ac:dyDescent="0.2">
      <c r="A373" s="141" t="s">
        <v>185</v>
      </c>
      <c r="B373" s="142" t="s">
        <v>487</v>
      </c>
      <c r="C373" s="143" t="s">
        <v>135</v>
      </c>
      <c r="D373" s="91">
        <f>I376/1000</f>
        <v>0.32702400000000004</v>
      </c>
      <c r="E373" s="92"/>
      <c r="F373" s="59"/>
      <c r="G373" s="60">
        <f t="shared" si="50"/>
        <v>0</v>
      </c>
      <c r="I373" s="139"/>
      <c r="J373" s="139"/>
    </row>
    <row r="374" spans="1:15" x14ac:dyDescent="0.2">
      <c r="A374" s="141"/>
      <c r="B374" s="142" t="s">
        <v>222</v>
      </c>
      <c r="C374" s="143" t="s">
        <v>8</v>
      </c>
      <c r="D374" s="91">
        <v>30</v>
      </c>
      <c r="E374" s="92"/>
      <c r="F374" s="59"/>
      <c r="G374" s="60">
        <f t="shared" si="50"/>
        <v>0</v>
      </c>
      <c r="I374" s="139">
        <f>D374*1.58*6</f>
        <v>284.40000000000003</v>
      </c>
      <c r="J374" s="28">
        <f>1.5*4*5</f>
        <v>30</v>
      </c>
      <c r="L374" s="28">
        <f>24*5</f>
        <v>120</v>
      </c>
      <c r="M374" s="28">
        <f>L374/6</f>
        <v>20</v>
      </c>
      <c r="N374" s="28">
        <f>L374/10</f>
        <v>12</v>
      </c>
      <c r="O374" s="28">
        <f>SUM(M374:N374)</f>
        <v>32</v>
      </c>
    </row>
    <row r="375" spans="1:15" x14ac:dyDescent="0.2">
      <c r="A375" s="141"/>
      <c r="B375" s="142" t="s">
        <v>225</v>
      </c>
      <c r="C375" s="143" t="s">
        <v>8</v>
      </c>
      <c r="D375" s="91">
        <v>32</v>
      </c>
      <c r="E375" s="92"/>
      <c r="F375" s="59"/>
      <c r="G375" s="60">
        <f t="shared" si="50"/>
        <v>0</v>
      </c>
      <c r="I375" s="139">
        <f>0.222*D375*6</f>
        <v>42.624000000000002</v>
      </c>
    </row>
    <row r="376" spans="1:15" x14ac:dyDescent="0.2">
      <c r="A376" s="141"/>
      <c r="B376" s="142" t="s">
        <v>14</v>
      </c>
      <c r="C376" s="143" t="s">
        <v>9</v>
      </c>
      <c r="D376" s="91">
        <f>D373*20</f>
        <v>6.5404800000000005</v>
      </c>
      <c r="E376" s="92"/>
      <c r="F376" s="59"/>
      <c r="G376" s="60">
        <f t="shared" si="50"/>
        <v>0</v>
      </c>
      <c r="I376" s="139">
        <f>SUM(I374:I375)</f>
        <v>327.02400000000006</v>
      </c>
      <c r="J376" s="139"/>
    </row>
    <row r="377" spans="1:15" x14ac:dyDescent="0.2">
      <c r="A377" s="141" t="s">
        <v>187</v>
      </c>
      <c r="B377" s="142" t="s">
        <v>488</v>
      </c>
      <c r="C377" s="143" t="s">
        <v>135</v>
      </c>
      <c r="D377" s="91">
        <f>I380/1000</f>
        <v>0.10349999999999999</v>
      </c>
      <c r="E377" s="92"/>
      <c r="F377" s="59"/>
      <c r="G377" s="60">
        <f t="shared" si="50"/>
        <v>0</v>
      </c>
      <c r="I377" s="139"/>
      <c r="J377" s="139"/>
    </row>
    <row r="378" spans="1:15" x14ac:dyDescent="0.2">
      <c r="A378" s="141"/>
      <c r="B378" s="142" t="s">
        <v>224</v>
      </c>
      <c r="C378" s="143" t="s">
        <v>8</v>
      </c>
      <c r="D378" s="91">
        <v>24</v>
      </c>
      <c r="E378" s="92"/>
      <c r="F378" s="59"/>
      <c r="G378" s="60">
        <f t="shared" si="50"/>
        <v>0</v>
      </c>
      <c r="I378" s="139">
        <f>D378*0.617*6</f>
        <v>88.847999999999999</v>
      </c>
      <c r="J378" s="139">
        <f>1.5*2*8</f>
        <v>24</v>
      </c>
      <c r="K378" s="28">
        <f>24*8</f>
        <v>192</v>
      </c>
      <c r="L378" s="28">
        <f>K378/18</f>
        <v>10.666666666666666</v>
      </c>
    </row>
    <row r="379" spans="1:15" x14ac:dyDescent="0.2">
      <c r="A379" s="141"/>
      <c r="B379" s="142" t="s">
        <v>225</v>
      </c>
      <c r="C379" s="143" t="s">
        <v>8</v>
      </c>
      <c r="D379" s="91">
        <v>11</v>
      </c>
      <c r="E379" s="92"/>
      <c r="F379" s="59"/>
      <c r="G379" s="60">
        <f t="shared" si="50"/>
        <v>0</v>
      </c>
      <c r="I379" s="139">
        <f>0.222*D379*6</f>
        <v>14.652000000000001</v>
      </c>
      <c r="J379" s="139"/>
    </row>
    <row r="380" spans="1:15" x14ac:dyDescent="0.2">
      <c r="A380" s="141"/>
      <c r="B380" s="142" t="s">
        <v>14</v>
      </c>
      <c r="C380" s="143" t="s">
        <v>9</v>
      </c>
      <c r="D380" s="91">
        <f>D377*20</f>
        <v>2.0699999999999998</v>
      </c>
      <c r="E380" s="92"/>
      <c r="F380" s="59"/>
      <c r="G380" s="60">
        <f t="shared" si="50"/>
        <v>0</v>
      </c>
      <c r="I380" s="139">
        <f>SUM(I378:I379)</f>
        <v>103.5</v>
      </c>
      <c r="J380" s="139"/>
    </row>
    <row r="381" spans="1:15" x14ac:dyDescent="0.2">
      <c r="A381" s="132" t="s">
        <v>308</v>
      </c>
      <c r="B381" s="133" t="s">
        <v>273</v>
      </c>
      <c r="C381" s="163"/>
      <c r="D381" s="164"/>
      <c r="E381" s="165"/>
      <c r="F381" s="166"/>
      <c r="G381" s="167">
        <f t="shared" ref="G381" si="51">(D381*E381)+(D381*F381)</f>
        <v>0</v>
      </c>
    </row>
    <row r="382" spans="1:15" x14ac:dyDescent="0.2">
      <c r="A382" s="170" t="s">
        <v>163</v>
      </c>
      <c r="B382" s="171" t="s">
        <v>273</v>
      </c>
      <c r="C382" s="172"/>
      <c r="D382" s="173"/>
      <c r="E382" s="174"/>
      <c r="F382" s="59"/>
      <c r="G382" s="60"/>
    </row>
    <row r="383" spans="1:15" x14ac:dyDescent="0.2">
      <c r="A383" s="141" t="s">
        <v>184</v>
      </c>
      <c r="B383" s="142" t="s">
        <v>309</v>
      </c>
      <c r="C383" s="143" t="s">
        <v>135</v>
      </c>
      <c r="D383" s="91">
        <f>I386/1000</f>
        <v>0.34998000000000001</v>
      </c>
      <c r="E383" s="92"/>
      <c r="F383" s="59"/>
      <c r="G383" s="60">
        <f t="shared" ref="G383:G391" si="52">(D383*E383)+(D383*F383)</f>
        <v>0</v>
      </c>
    </row>
    <row r="384" spans="1:15" x14ac:dyDescent="0.2">
      <c r="A384" s="144"/>
      <c r="B384" s="142" t="s">
        <v>222</v>
      </c>
      <c r="C384" s="143" t="s">
        <v>8</v>
      </c>
      <c r="D384" s="91">
        <v>32</v>
      </c>
      <c r="E384" s="92"/>
      <c r="F384" s="59"/>
      <c r="G384" s="60">
        <f t="shared" si="52"/>
        <v>0</v>
      </c>
      <c r="I384" s="139">
        <f>D384*1.58*6</f>
        <v>303.36</v>
      </c>
      <c r="J384" s="28">
        <f>12.9+12.8</f>
        <v>25.700000000000003</v>
      </c>
      <c r="L384" s="28">
        <f>J384/0.15</f>
        <v>171.33333333333337</v>
      </c>
      <c r="M384" s="28">
        <f>L384/5</f>
        <v>34.266666666666673</v>
      </c>
    </row>
    <row r="385" spans="1:13" x14ac:dyDescent="0.2">
      <c r="A385" s="141"/>
      <c r="B385" s="142" t="s">
        <v>225</v>
      </c>
      <c r="C385" s="143" t="s">
        <v>8</v>
      </c>
      <c r="D385" s="91">
        <v>35</v>
      </c>
      <c r="E385" s="92"/>
      <c r="F385" s="59"/>
      <c r="G385" s="60">
        <f t="shared" si="52"/>
        <v>0</v>
      </c>
      <c r="I385" s="139">
        <f>0.222*D385*6</f>
        <v>46.620000000000005</v>
      </c>
    </row>
    <row r="386" spans="1:13" x14ac:dyDescent="0.2">
      <c r="A386" s="141"/>
      <c r="B386" s="142" t="s">
        <v>14</v>
      </c>
      <c r="C386" s="143" t="s">
        <v>9</v>
      </c>
      <c r="D386" s="91">
        <f>D383*20</f>
        <v>6.9996</v>
      </c>
      <c r="E386" s="92"/>
      <c r="F386" s="59"/>
      <c r="G386" s="60">
        <f t="shared" si="52"/>
        <v>0</v>
      </c>
      <c r="I386" s="139">
        <f>SUM(I384:I385)</f>
        <v>349.98</v>
      </c>
      <c r="J386" s="139"/>
    </row>
    <row r="387" spans="1:13" x14ac:dyDescent="0.2">
      <c r="A387" s="141" t="s">
        <v>185</v>
      </c>
      <c r="B387" s="142" t="s">
        <v>293</v>
      </c>
      <c r="C387" s="143" t="s">
        <v>135</v>
      </c>
      <c r="D387" s="91">
        <f>I390/1000</f>
        <v>6.8867999999999999E-2</v>
      </c>
      <c r="E387" s="92"/>
      <c r="F387" s="59"/>
      <c r="G387" s="60">
        <f t="shared" si="52"/>
        <v>0</v>
      </c>
      <c r="I387" s="139"/>
      <c r="J387" s="139"/>
    </row>
    <row r="388" spans="1:13" x14ac:dyDescent="0.2">
      <c r="A388" s="141"/>
      <c r="B388" s="142" t="s">
        <v>222</v>
      </c>
      <c r="C388" s="143" t="s">
        <v>8</v>
      </c>
      <c r="D388" s="91">
        <v>6</v>
      </c>
      <c r="E388" s="92"/>
      <c r="F388" s="59"/>
      <c r="G388" s="60">
        <f t="shared" si="52"/>
        <v>0</v>
      </c>
      <c r="I388" s="139">
        <f>D388*1.58*6</f>
        <v>56.88</v>
      </c>
      <c r="J388" s="28">
        <f>3.3+3.2</f>
        <v>6.5</v>
      </c>
      <c r="K388" s="28">
        <f>J388/0.15</f>
        <v>43.333333333333336</v>
      </c>
      <c r="L388" s="28">
        <f>K388/5</f>
        <v>8.6666666666666679</v>
      </c>
    </row>
    <row r="389" spans="1:13" x14ac:dyDescent="0.2">
      <c r="A389" s="141"/>
      <c r="B389" s="142" t="s">
        <v>225</v>
      </c>
      <c r="C389" s="143" t="s">
        <v>8</v>
      </c>
      <c r="D389" s="91">
        <v>9</v>
      </c>
      <c r="E389" s="92"/>
      <c r="F389" s="59"/>
      <c r="G389" s="60">
        <f t="shared" si="52"/>
        <v>0</v>
      </c>
      <c r="I389" s="139">
        <f>0.222*D389*6</f>
        <v>11.988</v>
      </c>
    </row>
    <row r="390" spans="1:13" x14ac:dyDescent="0.2">
      <c r="A390" s="141"/>
      <c r="B390" s="142" t="s">
        <v>14</v>
      </c>
      <c r="C390" s="143" t="s">
        <v>9</v>
      </c>
      <c r="D390" s="91">
        <f>D387*20</f>
        <v>1.3773599999999999</v>
      </c>
      <c r="E390" s="92"/>
      <c r="F390" s="59"/>
      <c r="G390" s="60">
        <f t="shared" si="52"/>
        <v>0</v>
      </c>
      <c r="I390" s="139">
        <f>SUM(I388:I389)</f>
        <v>68.867999999999995</v>
      </c>
      <c r="J390" s="139"/>
    </row>
    <row r="391" spans="1:13" x14ac:dyDescent="0.2">
      <c r="A391" s="141" t="s">
        <v>187</v>
      </c>
      <c r="B391" s="142" t="s">
        <v>292</v>
      </c>
      <c r="C391" s="143" t="s">
        <v>135</v>
      </c>
      <c r="D391" s="91">
        <f>I394/1000</f>
        <v>1.4962920000000002</v>
      </c>
      <c r="E391" s="92"/>
      <c r="F391" s="59"/>
      <c r="G391" s="60">
        <f t="shared" si="52"/>
        <v>0</v>
      </c>
      <c r="I391" s="139"/>
      <c r="J391" s="139"/>
    </row>
    <row r="392" spans="1:13" x14ac:dyDescent="0.2">
      <c r="A392" s="141"/>
      <c r="B392" s="142" t="s">
        <v>222</v>
      </c>
      <c r="C392" s="143" t="s">
        <v>8</v>
      </c>
      <c r="D392" s="91">
        <v>131</v>
      </c>
      <c r="E392" s="92"/>
      <c r="F392" s="59"/>
      <c r="G392" s="60">
        <f t="shared" ref="G392:G394" si="53">(D392*E392)+(D392*F392)</f>
        <v>0</v>
      </c>
      <c r="I392" s="139">
        <f>D392*1.58*6</f>
        <v>1241.8800000000001</v>
      </c>
      <c r="J392" s="28">
        <f>32.2*3+10.7*7</f>
        <v>171.5</v>
      </c>
      <c r="K392" s="28">
        <f>J392/0.15</f>
        <v>1143.3333333333335</v>
      </c>
      <c r="L392" s="28">
        <f>K392/6</f>
        <v>190.55555555555557</v>
      </c>
    </row>
    <row r="393" spans="1:13" x14ac:dyDescent="0.2">
      <c r="A393" s="141"/>
      <c r="B393" s="142" t="s">
        <v>225</v>
      </c>
      <c r="C393" s="143" t="s">
        <v>8</v>
      </c>
      <c r="D393" s="91">
        <v>191</v>
      </c>
      <c r="E393" s="92"/>
      <c r="F393" s="59"/>
      <c r="G393" s="60">
        <f t="shared" si="53"/>
        <v>0</v>
      </c>
      <c r="I393" s="139">
        <f>0.222*D393*6</f>
        <v>254.41200000000001</v>
      </c>
    </row>
    <row r="394" spans="1:13" x14ac:dyDescent="0.2">
      <c r="A394" s="141"/>
      <c r="B394" s="142" t="s">
        <v>14</v>
      </c>
      <c r="C394" s="143" t="s">
        <v>9</v>
      </c>
      <c r="D394" s="91">
        <f>D391*20</f>
        <v>29.925840000000004</v>
      </c>
      <c r="E394" s="92"/>
      <c r="F394" s="59"/>
      <c r="G394" s="60">
        <f t="shared" si="53"/>
        <v>0</v>
      </c>
      <c r="I394" s="139">
        <f>SUM(I392:I393)</f>
        <v>1496.2920000000001</v>
      </c>
      <c r="J394" s="139"/>
    </row>
    <row r="395" spans="1:13" ht="12.75" thickBot="1" x14ac:dyDescent="0.25">
      <c r="A395" s="151"/>
      <c r="B395" s="152"/>
      <c r="C395" s="153"/>
      <c r="D395" s="154"/>
      <c r="E395" s="183"/>
      <c r="F395" s="155"/>
      <c r="G395" s="156"/>
      <c r="I395" s="139"/>
      <c r="J395" s="139"/>
    </row>
    <row r="396" spans="1:13" x14ac:dyDescent="0.2">
      <c r="A396" s="141"/>
      <c r="B396" s="142"/>
      <c r="C396" s="143"/>
      <c r="D396" s="91"/>
      <c r="E396" s="92"/>
      <c r="F396" s="59"/>
      <c r="G396" s="60"/>
      <c r="I396" s="139"/>
      <c r="J396" s="139"/>
    </row>
    <row r="397" spans="1:13" x14ac:dyDescent="0.2">
      <c r="A397" s="132" t="s">
        <v>153</v>
      </c>
      <c r="B397" s="133" t="s">
        <v>200</v>
      </c>
      <c r="C397" s="163"/>
      <c r="D397" s="164"/>
      <c r="E397" s="165"/>
      <c r="F397" s="166"/>
      <c r="G397" s="167">
        <f>(D397*E397)+(D397*F397)</f>
        <v>0</v>
      </c>
    </row>
    <row r="398" spans="1:13" x14ac:dyDescent="0.2">
      <c r="A398" s="186" t="s">
        <v>184</v>
      </c>
      <c r="B398" s="145" t="s">
        <v>310</v>
      </c>
      <c r="C398" s="143"/>
      <c r="D398" s="91"/>
      <c r="E398" s="92"/>
      <c r="F398" s="59"/>
      <c r="G398" s="60">
        <f t="shared" ref="G398:G410" si="54">(D398*E398)+(D398*F398)</f>
        <v>0</v>
      </c>
    </row>
    <row r="399" spans="1:13" ht="49.5" customHeight="1" x14ac:dyDescent="0.2">
      <c r="A399" s="187"/>
      <c r="B399" s="142" t="s">
        <v>311</v>
      </c>
      <c r="C399" s="143" t="s">
        <v>455</v>
      </c>
      <c r="D399" s="91">
        <v>15.1</v>
      </c>
      <c r="E399" s="92"/>
      <c r="F399" s="59"/>
      <c r="G399" s="60">
        <f t="shared" si="54"/>
        <v>0</v>
      </c>
      <c r="I399" s="28">
        <f>12.925*2*0.2*0.2*3*2</f>
        <v>6.2040000000000015</v>
      </c>
      <c r="J399" s="28">
        <f>0.45*0.125*12.925*2*3*2</f>
        <v>8.7243750000000002</v>
      </c>
      <c r="L399" s="28">
        <f>1.2*0.15*0.15*2*3</f>
        <v>0.16200000000000001</v>
      </c>
      <c r="M399" s="28">
        <f>SUM(I399:L399)</f>
        <v>15.090375000000003</v>
      </c>
    </row>
    <row r="400" spans="1:13" ht="12" customHeight="1" x14ac:dyDescent="0.2">
      <c r="A400" s="186" t="s">
        <v>185</v>
      </c>
      <c r="B400" s="145" t="s">
        <v>312</v>
      </c>
      <c r="C400" s="143"/>
      <c r="D400" s="91"/>
      <c r="E400" s="92"/>
      <c r="F400" s="59"/>
      <c r="G400" s="60">
        <f t="shared" ref="G400:G401" si="55">(D400*E400)+(D400*F400)</f>
        <v>0</v>
      </c>
    </row>
    <row r="401" spans="1:13" ht="49.5" customHeight="1" x14ac:dyDescent="0.2">
      <c r="A401" s="187"/>
      <c r="B401" s="142" t="s">
        <v>313</v>
      </c>
      <c r="C401" s="143" t="s">
        <v>455</v>
      </c>
      <c r="D401" s="91">
        <v>7.6</v>
      </c>
      <c r="E401" s="92"/>
      <c r="F401" s="59"/>
      <c r="G401" s="60">
        <f t="shared" si="55"/>
        <v>0</v>
      </c>
      <c r="I401" s="28">
        <f>3.7*9+1.8*2</f>
        <v>36.900000000000006</v>
      </c>
      <c r="J401" s="28">
        <f>I401*1.2*0.1*2</f>
        <v>8.8560000000000016</v>
      </c>
      <c r="K401" s="28">
        <f>1.2*0.6*9*2*0.1</f>
        <v>1.296</v>
      </c>
      <c r="L401" s="28">
        <f>J401-K401</f>
        <v>7.5600000000000014</v>
      </c>
    </row>
    <row r="402" spans="1:13" ht="13.5" customHeight="1" x14ac:dyDescent="0.2">
      <c r="A402" s="186" t="s">
        <v>187</v>
      </c>
      <c r="B402" s="145" t="s">
        <v>353</v>
      </c>
      <c r="C402" s="143"/>
      <c r="D402" s="91"/>
      <c r="E402" s="92"/>
      <c r="F402" s="59"/>
      <c r="G402" s="60">
        <f t="shared" ref="G402:G403" si="56">(D402*E402)+(D402*F402)</f>
        <v>0</v>
      </c>
    </row>
    <row r="403" spans="1:13" ht="66.75" customHeight="1" x14ac:dyDescent="0.2">
      <c r="A403" s="187"/>
      <c r="B403" s="142" t="s">
        <v>457</v>
      </c>
      <c r="C403" s="143" t="s">
        <v>455</v>
      </c>
      <c r="D403" s="91">
        <v>1.1499999999999999</v>
      </c>
      <c r="E403" s="92"/>
      <c r="F403" s="59"/>
      <c r="G403" s="60">
        <f t="shared" si="56"/>
        <v>0</v>
      </c>
      <c r="I403" s="28">
        <f>2.975*5*0.2*0.1*3</f>
        <v>0.89250000000000007</v>
      </c>
      <c r="J403" s="28">
        <f>4.08*0.2*0.1*3</f>
        <v>0.24480000000000002</v>
      </c>
      <c r="K403" s="28">
        <f>SUM(I403:J403)</f>
        <v>1.1373000000000002</v>
      </c>
    </row>
    <row r="404" spans="1:13" ht="12" customHeight="1" x14ac:dyDescent="0.2">
      <c r="A404" s="186" t="s">
        <v>186</v>
      </c>
      <c r="B404" s="145" t="s">
        <v>404</v>
      </c>
      <c r="C404" s="143"/>
      <c r="D404" s="91"/>
      <c r="E404" s="92"/>
      <c r="F404" s="59"/>
      <c r="G404" s="60">
        <f>(D404*E404)+(D404*F404)</f>
        <v>0</v>
      </c>
    </row>
    <row r="405" spans="1:13" ht="61.5" customHeight="1" x14ac:dyDescent="0.2">
      <c r="A405" s="187"/>
      <c r="B405" s="188" t="s">
        <v>405</v>
      </c>
      <c r="C405" s="143" t="s">
        <v>455</v>
      </c>
      <c r="D405" s="189">
        <v>1.6</v>
      </c>
      <c r="E405" s="44"/>
      <c r="F405" s="59"/>
      <c r="G405" s="60">
        <f t="shared" ref="G405" si="57">(D405*E405)+(D405*F405)</f>
        <v>0</v>
      </c>
    </row>
    <row r="406" spans="1:13" ht="15.75" customHeight="1" x14ac:dyDescent="0.2">
      <c r="A406" s="186" t="s">
        <v>301</v>
      </c>
      <c r="B406" s="145" t="s">
        <v>406</v>
      </c>
      <c r="C406" s="143"/>
      <c r="D406" s="91"/>
      <c r="E406" s="92"/>
      <c r="F406" s="59"/>
      <c r="G406" s="60">
        <f>(D406*E406)+(D406*F406)</f>
        <v>0</v>
      </c>
    </row>
    <row r="407" spans="1:13" ht="72" customHeight="1" x14ac:dyDescent="0.2">
      <c r="A407" s="187"/>
      <c r="B407" s="188" t="s">
        <v>407</v>
      </c>
      <c r="C407" s="143" t="s">
        <v>455</v>
      </c>
      <c r="D407" s="189">
        <v>0.6</v>
      </c>
      <c r="E407" s="44"/>
      <c r="F407" s="59"/>
      <c r="G407" s="60">
        <f t="shared" ref="G407" si="58">(D407*E407)+(D407*F407)</f>
        <v>0</v>
      </c>
      <c r="I407" s="28">
        <f>1.7*0.95*0.075*3</f>
        <v>0.363375</v>
      </c>
      <c r="J407" s="28">
        <f>0.2*0.2*1.7*3</f>
        <v>0.20400000000000001</v>
      </c>
      <c r="K407" s="28">
        <f>SUM(I407:J407)</f>
        <v>0.56737499999999996</v>
      </c>
    </row>
    <row r="408" spans="1:13" x14ac:dyDescent="0.2">
      <c r="A408" s="144" t="s">
        <v>154</v>
      </c>
      <c r="B408" s="145" t="s">
        <v>250</v>
      </c>
      <c r="C408" s="143"/>
      <c r="D408" s="91"/>
      <c r="E408" s="92"/>
      <c r="F408" s="59"/>
      <c r="G408" s="60">
        <f t="shared" si="54"/>
        <v>0</v>
      </c>
    </row>
    <row r="409" spans="1:13" ht="36.75" customHeight="1" x14ac:dyDescent="0.2">
      <c r="A409" s="187" t="s">
        <v>64</v>
      </c>
      <c r="B409" s="142" t="s">
        <v>458</v>
      </c>
      <c r="C409" s="143" t="s">
        <v>459</v>
      </c>
      <c r="D409" s="91">
        <f>D89+D159+D160+D161+D472</f>
        <v>670.77</v>
      </c>
      <c r="E409" s="92"/>
      <c r="F409" s="59"/>
      <c r="G409" s="60">
        <f t="shared" si="54"/>
        <v>0</v>
      </c>
      <c r="J409" s="139"/>
    </row>
    <row r="410" spans="1:13" ht="38.25" customHeight="1" x14ac:dyDescent="0.2">
      <c r="A410" s="187" t="s">
        <v>65</v>
      </c>
      <c r="B410" s="142" t="s">
        <v>460</v>
      </c>
      <c r="C410" s="143" t="s">
        <v>15</v>
      </c>
      <c r="D410" s="91">
        <v>1</v>
      </c>
      <c r="E410" s="92"/>
      <c r="F410" s="59"/>
      <c r="G410" s="60">
        <f t="shared" si="54"/>
        <v>0</v>
      </c>
      <c r="I410" s="139"/>
      <c r="J410" s="169"/>
      <c r="K410" s="169"/>
      <c r="L410" s="139"/>
      <c r="M410" s="169"/>
    </row>
    <row r="411" spans="1:13" ht="36" x14ac:dyDescent="0.2">
      <c r="A411" s="187" t="s">
        <v>69</v>
      </c>
      <c r="B411" s="142" t="s">
        <v>461</v>
      </c>
      <c r="C411" s="143" t="s">
        <v>15</v>
      </c>
      <c r="D411" s="91">
        <v>1</v>
      </c>
      <c r="E411" s="92"/>
      <c r="F411" s="59"/>
      <c r="G411" s="60"/>
      <c r="I411" s="169"/>
      <c r="J411" s="169"/>
      <c r="K411" s="169"/>
      <c r="L411" s="169"/>
      <c r="M411" s="169"/>
    </row>
    <row r="412" spans="1:13" x14ac:dyDescent="0.2">
      <c r="A412" s="141"/>
      <c r="B412" s="190"/>
      <c r="C412" s="146"/>
      <c r="D412" s="147"/>
      <c r="E412" s="92"/>
      <c r="F412" s="59"/>
      <c r="G412" s="60"/>
      <c r="I412" s="169"/>
      <c r="J412" s="169"/>
      <c r="K412" s="169"/>
      <c r="L412" s="169"/>
      <c r="M412" s="169"/>
    </row>
    <row r="413" spans="1:13" x14ac:dyDescent="0.2">
      <c r="A413" s="141"/>
      <c r="B413" s="190"/>
      <c r="C413" s="146"/>
      <c r="D413" s="147"/>
      <c r="E413" s="92"/>
      <c r="F413" s="59"/>
      <c r="G413" s="60"/>
      <c r="I413" s="169"/>
      <c r="J413" s="169"/>
      <c r="K413" s="169"/>
      <c r="L413" s="169"/>
      <c r="M413" s="169"/>
    </row>
    <row r="414" spans="1:13" x14ac:dyDescent="0.2">
      <c r="A414" s="141"/>
      <c r="B414" s="190"/>
      <c r="C414" s="146"/>
      <c r="D414" s="147"/>
      <c r="E414" s="92"/>
      <c r="F414" s="59"/>
      <c r="G414" s="60"/>
      <c r="I414" s="169"/>
      <c r="J414" s="169"/>
      <c r="K414" s="169"/>
      <c r="L414" s="169"/>
      <c r="M414" s="169"/>
    </row>
    <row r="415" spans="1:13" x14ac:dyDescent="0.2">
      <c r="A415" s="141"/>
      <c r="B415" s="190"/>
      <c r="C415" s="146"/>
      <c r="D415" s="147"/>
      <c r="E415" s="92"/>
      <c r="F415" s="59"/>
      <c r="G415" s="60"/>
      <c r="I415" s="169"/>
      <c r="J415" s="169"/>
      <c r="K415" s="169"/>
      <c r="L415" s="169"/>
      <c r="M415" s="169"/>
    </row>
    <row r="416" spans="1:13" x14ac:dyDescent="0.2">
      <c r="A416" s="141"/>
      <c r="B416" s="190"/>
      <c r="C416" s="146"/>
      <c r="D416" s="147"/>
      <c r="E416" s="92"/>
      <c r="F416" s="59"/>
      <c r="G416" s="60"/>
      <c r="I416" s="169"/>
      <c r="J416" s="169"/>
      <c r="K416" s="169"/>
      <c r="L416" s="169"/>
      <c r="M416" s="169"/>
    </row>
    <row r="417" spans="1:13" x14ac:dyDescent="0.2">
      <c r="A417" s="141"/>
      <c r="B417" s="190"/>
      <c r="C417" s="146"/>
      <c r="D417" s="147"/>
      <c r="E417" s="92"/>
      <c r="F417" s="59"/>
      <c r="G417" s="60"/>
      <c r="I417" s="169"/>
      <c r="J417" s="169"/>
      <c r="K417" s="169"/>
      <c r="L417" s="169"/>
      <c r="M417" s="169"/>
    </row>
    <row r="418" spans="1:13" x14ac:dyDescent="0.2">
      <c r="A418" s="141"/>
      <c r="B418" s="190"/>
      <c r="C418" s="146"/>
      <c r="D418" s="147"/>
      <c r="E418" s="92"/>
      <c r="F418" s="59"/>
      <c r="G418" s="60"/>
      <c r="I418" s="169"/>
      <c r="J418" s="169"/>
      <c r="K418" s="169"/>
      <c r="L418" s="169"/>
      <c r="M418" s="169"/>
    </row>
    <row r="419" spans="1:13" x14ac:dyDescent="0.2">
      <c r="A419" s="141"/>
      <c r="B419" s="190"/>
      <c r="C419" s="146"/>
      <c r="D419" s="147"/>
      <c r="E419" s="92"/>
      <c r="F419" s="59"/>
      <c r="G419" s="60"/>
      <c r="I419" s="169"/>
      <c r="J419" s="169"/>
      <c r="K419" s="169"/>
      <c r="L419" s="169"/>
      <c r="M419" s="169"/>
    </row>
    <row r="420" spans="1:13" x14ac:dyDescent="0.2">
      <c r="A420" s="141"/>
      <c r="B420" s="190"/>
      <c r="C420" s="146"/>
      <c r="D420" s="147"/>
      <c r="E420" s="92"/>
      <c r="F420" s="59"/>
      <c r="G420" s="60"/>
      <c r="I420" s="169"/>
      <c r="J420" s="169"/>
      <c r="K420" s="169"/>
      <c r="L420" s="169"/>
      <c r="M420" s="169"/>
    </row>
    <row r="421" spans="1:13" x14ac:dyDescent="0.2">
      <c r="A421" s="141"/>
      <c r="B421" s="190"/>
      <c r="C421" s="146"/>
      <c r="D421" s="147"/>
      <c r="E421" s="92"/>
      <c r="F421" s="59"/>
      <c r="G421" s="60"/>
      <c r="I421" s="169"/>
      <c r="J421" s="169"/>
      <c r="K421" s="169"/>
      <c r="L421" s="169"/>
      <c r="M421" s="169"/>
    </row>
    <row r="422" spans="1:13" x14ac:dyDescent="0.2">
      <c r="A422" s="141"/>
      <c r="B422" s="190"/>
      <c r="C422" s="146"/>
      <c r="D422" s="147"/>
      <c r="E422" s="92"/>
      <c r="F422" s="59"/>
      <c r="G422" s="60"/>
      <c r="I422" s="169"/>
      <c r="J422" s="169"/>
      <c r="K422" s="169"/>
      <c r="L422" s="169"/>
      <c r="M422" s="169"/>
    </row>
    <row r="423" spans="1:13" x14ac:dyDescent="0.2">
      <c r="A423" s="141"/>
      <c r="B423" s="190"/>
      <c r="C423" s="146"/>
      <c r="D423" s="147"/>
      <c r="E423" s="92"/>
      <c r="F423" s="59"/>
      <c r="G423" s="60"/>
      <c r="I423" s="169"/>
      <c r="J423" s="169"/>
      <c r="K423" s="169"/>
      <c r="L423" s="169"/>
      <c r="M423" s="169"/>
    </row>
    <row r="424" spans="1:13" x14ac:dyDescent="0.2">
      <c r="A424" s="141"/>
      <c r="B424" s="190"/>
      <c r="C424" s="146"/>
      <c r="D424" s="147"/>
      <c r="E424" s="92"/>
      <c r="F424" s="59"/>
      <c r="G424" s="60"/>
      <c r="I424" s="169"/>
      <c r="J424" s="169"/>
      <c r="K424" s="169"/>
      <c r="L424" s="169"/>
      <c r="M424" s="169"/>
    </row>
    <row r="425" spans="1:13" ht="12.75" thickBot="1" x14ac:dyDescent="0.25">
      <c r="A425" s="141"/>
      <c r="B425" s="190"/>
      <c r="C425" s="146"/>
      <c r="D425" s="147"/>
      <c r="E425" s="92"/>
      <c r="F425" s="59"/>
      <c r="G425" s="60"/>
      <c r="I425" s="169"/>
      <c r="J425" s="169"/>
      <c r="K425" s="169"/>
      <c r="L425" s="169"/>
      <c r="M425" s="169"/>
    </row>
    <row r="426" spans="1:13" x14ac:dyDescent="0.2">
      <c r="A426" s="68"/>
      <c r="B426" s="69" t="s">
        <v>149</v>
      </c>
      <c r="C426" s="113"/>
      <c r="D426" s="71"/>
      <c r="E426" s="72"/>
      <c r="F426" s="191"/>
      <c r="G426" s="192"/>
    </row>
    <row r="427" spans="1:13" ht="12.75" thickBot="1" x14ac:dyDescent="0.25">
      <c r="A427" s="73"/>
      <c r="B427" s="74" t="s">
        <v>172</v>
      </c>
      <c r="C427" s="114"/>
      <c r="D427" s="76"/>
      <c r="E427" s="77"/>
      <c r="F427" s="155"/>
      <c r="G427" s="193">
        <f>SUM(G89:G410)</f>
        <v>0</v>
      </c>
    </row>
    <row r="428" spans="1:13" x14ac:dyDescent="0.2">
      <c r="A428" s="40"/>
      <c r="B428" s="80"/>
      <c r="C428" s="56"/>
      <c r="D428" s="57"/>
      <c r="E428" s="44"/>
      <c r="F428" s="59"/>
      <c r="G428" s="150"/>
    </row>
    <row r="429" spans="1:13" x14ac:dyDescent="0.2">
      <c r="A429" s="40"/>
      <c r="B429" s="41" t="s">
        <v>104</v>
      </c>
      <c r="C429" s="56"/>
      <c r="D429" s="57"/>
      <c r="E429" s="44"/>
      <c r="F429" s="59"/>
      <c r="G429" s="60"/>
    </row>
    <row r="430" spans="1:13" x14ac:dyDescent="0.2">
      <c r="A430" s="40"/>
      <c r="B430" s="49" t="s">
        <v>105</v>
      </c>
      <c r="C430" s="56"/>
      <c r="D430" s="57"/>
      <c r="E430" s="44"/>
      <c r="F430" s="59"/>
      <c r="G430" s="60"/>
    </row>
    <row r="431" spans="1:13" x14ac:dyDescent="0.2">
      <c r="A431" s="194">
        <v>4.0999999999999996</v>
      </c>
      <c r="B431" s="55" t="s">
        <v>41</v>
      </c>
      <c r="C431" s="56"/>
      <c r="D431" s="57"/>
      <c r="E431" s="44"/>
      <c r="F431" s="59"/>
      <c r="G431" s="60"/>
    </row>
    <row r="432" spans="1:13" ht="73.5" customHeight="1" x14ac:dyDescent="0.2">
      <c r="A432" s="40"/>
      <c r="B432" s="62" t="s">
        <v>495</v>
      </c>
      <c r="C432" s="62"/>
      <c r="D432" s="62"/>
      <c r="E432" s="62"/>
      <c r="F432" s="62"/>
      <c r="G432" s="160"/>
    </row>
    <row r="433" spans="1:13" ht="75.75" customHeight="1" x14ac:dyDescent="0.2">
      <c r="A433" s="40"/>
      <c r="B433" s="62" t="s">
        <v>496</v>
      </c>
      <c r="C433" s="195"/>
      <c r="D433" s="195"/>
      <c r="E433" s="195"/>
      <c r="F433" s="195"/>
      <c r="G433" s="196"/>
    </row>
    <row r="434" spans="1:13" ht="39" customHeight="1" x14ac:dyDescent="0.2">
      <c r="A434" s="40"/>
      <c r="B434" s="62" t="s">
        <v>259</v>
      </c>
      <c r="C434" s="195"/>
      <c r="D434" s="195"/>
      <c r="E434" s="195"/>
      <c r="F434" s="195"/>
      <c r="G434" s="196"/>
    </row>
    <row r="435" spans="1:13" x14ac:dyDescent="0.2">
      <c r="A435" s="144" t="s">
        <v>136</v>
      </c>
      <c r="B435" s="197" t="s">
        <v>139</v>
      </c>
      <c r="C435" s="143"/>
      <c r="D435" s="91"/>
      <c r="E435" s="92"/>
      <c r="F435" s="59"/>
      <c r="G435" s="60"/>
    </row>
    <row r="436" spans="1:13" x14ac:dyDescent="0.2">
      <c r="A436" s="132" t="s">
        <v>150</v>
      </c>
      <c r="B436" s="198" t="s">
        <v>138</v>
      </c>
      <c r="C436" s="134"/>
      <c r="D436" s="135"/>
      <c r="E436" s="136"/>
      <c r="F436" s="137"/>
      <c r="G436" s="138"/>
      <c r="I436" s="139"/>
    </row>
    <row r="437" spans="1:13" x14ac:dyDescent="0.2">
      <c r="A437" s="144"/>
      <c r="B437" s="199" t="s">
        <v>196</v>
      </c>
      <c r="C437" s="146"/>
      <c r="D437" s="147"/>
      <c r="E437" s="148"/>
      <c r="F437" s="149"/>
      <c r="G437" s="60"/>
    </row>
    <row r="438" spans="1:13" ht="24" x14ac:dyDescent="0.2">
      <c r="A438" s="141"/>
      <c r="B438" s="142" t="s">
        <v>244</v>
      </c>
      <c r="C438" s="143" t="s">
        <v>459</v>
      </c>
      <c r="D438" s="91">
        <v>122.7</v>
      </c>
      <c r="E438" s="92"/>
      <c r="F438" s="59"/>
      <c r="G438" s="60">
        <f t="shared" ref="G438" si="59">(D438*E438)+(D438*F438)</f>
        <v>0</v>
      </c>
      <c r="I438" s="169">
        <f>I94+I93</f>
        <v>188.70000000000002</v>
      </c>
      <c r="J438" s="169">
        <f>I438*0.65</f>
        <v>122.65500000000002</v>
      </c>
    </row>
    <row r="439" spans="1:13" x14ac:dyDescent="0.2">
      <c r="A439" s="132" t="s">
        <v>151</v>
      </c>
      <c r="B439" s="198" t="s">
        <v>66</v>
      </c>
      <c r="C439" s="134"/>
      <c r="D439" s="135"/>
      <c r="E439" s="136"/>
      <c r="F439" s="137"/>
      <c r="G439" s="138"/>
    </row>
    <row r="440" spans="1:13" x14ac:dyDescent="0.2">
      <c r="A440" s="144" t="s">
        <v>163</v>
      </c>
      <c r="B440" s="199" t="s">
        <v>317</v>
      </c>
      <c r="C440" s="146"/>
      <c r="D440" s="147"/>
      <c r="E440" s="148"/>
      <c r="F440" s="149"/>
      <c r="G440" s="60">
        <f t="shared" ref="G440:G443" si="60">(D440*E440)+(D440*F440)</f>
        <v>0</v>
      </c>
    </row>
    <row r="441" spans="1:13" ht="24" x14ac:dyDescent="0.2">
      <c r="A441" s="187" t="s">
        <v>184</v>
      </c>
      <c r="B441" s="142" t="s">
        <v>578</v>
      </c>
      <c r="C441" s="143" t="s">
        <v>459</v>
      </c>
      <c r="D441" s="91">
        <v>136</v>
      </c>
      <c r="E441" s="92"/>
      <c r="F441" s="59"/>
      <c r="G441" s="60">
        <f t="shared" si="60"/>
        <v>0</v>
      </c>
      <c r="I441" s="28">
        <f>3*17+1.35+1.5+8.7*2</f>
        <v>71.25</v>
      </c>
      <c r="J441" s="28">
        <f>I441*3.05</f>
        <v>217.3125</v>
      </c>
      <c r="K441" s="28">
        <v>87.81</v>
      </c>
      <c r="L441" s="28">
        <f>J441-K441</f>
        <v>129.5025</v>
      </c>
      <c r="M441" s="28">
        <f>L441*105%</f>
        <v>135.97762500000002</v>
      </c>
    </row>
    <row r="442" spans="1:13" ht="36" x14ac:dyDescent="0.2">
      <c r="A442" s="187" t="s">
        <v>185</v>
      </c>
      <c r="B442" s="142" t="s">
        <v>497</v>
      </c>
      <c r="C442" s="143" t="s">
        <v>459</v>
      </c>
      <c r="D442" s="91">
        <v>7.8</v>
      </c>
      <c r="E442" s="92"/>
      <c r="F442" s="59"/>
      <c r="G442" s="60">
        <f t="shared" si="60"/>
        <v>0</v>
      </c>
      <c r="I442" s="28">
        <f>0.45*1.725*10</f>
        <v>7.7625000000000011</v>
      </c>
    </row>
    <row r="443" spans="1:13" x14ac:dyDescent="0.2">
      <c r="A443" s="144" t="s">
        <v>164</v>
      </c>
      <c r="B443" s="199" t="s">
        <v>316</v>
      </c>
      <c r="C443" s="146"/>
      <c r="D443" s="147"/>
      <c r="E443" s="148"/>
      <c r="F443" s="149"/>
      <c r="G443" s="60">
        <f t="shared" si="60"/>
        <v>0</v>
      </c>
    </row>
    <row r="444" spans="1:13" ht="24" x14ac:dyDescent="0.2">
      <c r="A444" s="187" t="s">
        <v>184</v>
      </c>
      <c r="B444" s="142" t="s">
        <v>579</v>
      </c>
      <c r="C444" s="143" t="s">
        <v>459</v>
      </c>
      <c r="D444" s="91">
        <v>120.5</v>
      </c>
      <c r="E444" s="92"/>
      <c r="F444" s="59"/>
      <c r="G444" s="60">
        <f t="shared" ref="G444:G445" si="61">(D444*E444)+(D444*F444)</f>
        <v>0</v>
      </c>
      <c r="I444" s="28">
        <f>3.82*5+4.08*5</f>
        <v>39.5</v>
      </c>
      <c r="J444" s="28">
        <f>I444*3.05</f>
        <v>120.47499999999999</v>
      </c>
    </row>
    <row r="445" spans="1:13" ht="24" x14ac:dyDescent="0.2">
      <c r="A445" s="187" t="s">
        <v>185</v>
      </c>
      <c r="B445" s="142" t="s">
        <v>498</v>
      </c>
      <c r="C445" s="143" t="s">
        <v>459</v>
      </c>
      <c r="D445" s="91">
        <v>51.72</v>
      </c>
      <c r="E445" s="92"/>
      <c r="F445" s="59"/>
      <c r="G445" s="60">
        <f t="shared" si="61"/>
        <v>0</v>
      </c>
      <c r="I445" s="28">
        <f>3.45+1.55*4+2.75+0.8+2.6+1.5</f>
        <v>17.3</v>
      </c>
      <c r="J445" s="28">
        <f>I445*3.35</f>
        <v>57.955000000000005</v>
      </c>
      <c r="K445" s="28">
        <f>0.78*2*4</f>
        <v>6.24</v>
      </c>
      <c r="L445" s="28">
        <f>J445-K445</f>
        <v>51.715000000000003</v>
      </c>
    </row>
    <row r="446" spans="1:13" x14ac:dyDescent="0.2">
      <c r="A446" s="132" t="s">
        <v>57</v>
      </c>
      <c r="B446" s="198" t="s">
        <v>68</v>
      </c>
      <c r="C446" s="134"/>
      <c r="D446" s="135"/>
      <c r="E446" s="136"/>
      <c r="F446" s="137"/>
      <c r="G446" s="138"/>
    </row>
    <row r="447" spans="1:13" x14ac:dyDescent="0.2">
      <c r="A447" s="144" t="s">
        <v>163</v>
      </c>
      <c r="B447" s="199" t="s">
        <v>317</v>
      </c>
      <c r="C447" s="146"/>
      <c r="D447" s="147"/>
      <c r="E447" s="148"/>
      <c r="F447" s="149"/>
      <c r="G447" s="60">
        <f t="shared" ref="G447:G449" si="62">(D447*E447)+(D447*F447)</f>
        <v>0</v>
      </c>
    </row>
    <row r="448" spans="1:13" ht="24" x14ac:dyDescent="0.2">
      <c r="A448" s="187" t="s">
        <v>184</v>
      </c>
      <c r="B448" s="142" t="s">
        <v>578</v>
      </c>
      <c r="C448" s="143" t="s">
        <v>459</v>
      </c>
      <c r="D448" s="91">
        <v>134.1</v>
      </c>
      <c r="E448" s="92"/>
      <c r="F448" s="59"/>
      <c r="G448" s="60">
        <f t="shared" si="62"/>
        <v>0</v>
      </c>
      <c r="I448" s="28">
        <f>3*17+1.35+8.7*2</f>
        <v>69.75</v>
      </c>
      <c r="J448" s="28">
        <f>I448*3.05</f>
        <v>212.73749999999998</v>
      </c>
      <c r="K448" s="28">
        <v>85.04</v>
      </c>
      <c r="L448" s="28">
        <f>J448-K448</f>
        <v>127.69749999999998</v>
      </c>
      <c r="M448" s="28">
        <f>L448*105%</f>
        <v>134.08237499999998</v>
      </c>
    </row>
    <row r="449" spans="1:13" ht="36" x14ac:dyDescent="0.2">
      <c r="A449" s="187" t="s">
        <v>185</v>
      </c>
      <c r="B449" s="142" t="s">
        <v>497</v>
      </c>
      <c r="C449" s="143" t="s">
        <v>459</v>
      </c>
      <c r="D449" s="91">
        <v>9.32</v>
      </c>
      <c r="E449" s="92"/>
      <c r="F449" s="59"/>
      <c r="G449" s="60">
        <f t="shared" si="62"/>
        <v>0</v>
      </c>
      <c r="I449" s="28">
        <f>0.45*1.725*12</f>
        <v>9.3150000000000013</v>
      </c>
    </row>
    <row r="450" spans="1:13" x14ac:dyDescent="0.2">
      <c r="A450" s="144" t="s">
        <v>164</v>
      </c>
      <c r="B450" s="199" t="s">
        <v>316</v>
      </c>
      <c r="C450" s="146"/>
      <c r="D450" s="147"/>
      <c r="E450" s="148"/>
      <c r="F450" s="149"/>
      <c r="G450" s="60">
        <f t="shared" ref="G450:G452" si="63">(D450*E450)+(D450*F450)</f>
        <v>0</v>
      </c>
    </row>
    <row r="451" spans="1:13" ht="24" x14ac:dyDescent="0.2">
      <c r="A451" s="187" t="s">
        <v>184</v>
      </c>
      <c r="B451" s="142" t="s">
        <v>579</v>
      </c>
      <c r="C451" s="143" t="s">
        <v>459</v>
      </c>
      <c r="D451" s="91">
        <v>127.85</v>
      </c>
      <c r="E451" s="92"/>
      <c r="F451" s="59"/>
      <c r="G451" s="60">
        <f t="shared" si="63"/>
        <v>0</v>
      </c>
      <c r="I451" s="28">
        <f>3.82*5+4.08*5</f>
        <v>39.5</v>
      </c>
      <c r="J451" s="28">
        <f>I451*3.05</f>
        <v>120.47499999999999</v>
      </c>
      <c r="K451" s="28">
        <f>3*3.35</f>
        <v>10.050000000000001</v>
      </c>
      <c r="L451" s="28">
        <f>J451+K451</f>
        <v>130.52500000000001</v>
      </c>
      <c r="M451" s="28">
        <f>L451-2.69</f>
        <v>127.83500000000001</v>
      </c>
    </row>
    <row r="452" spans="1:13" ht="24" x14ac:dyDescent="0.2">
      <c r="A452" s="141" t="s">
        <v>185</v>
      </c>
      <c r="B452" s="142" t="s">
        <v>498</v>
      </c>
      <c r="C452" s="143" t="s">
        <v>459</v>
      </c>
      <c r="D452" s="91">
        <v>51.72</v>
      </c>
      <c r="E452" s="92"/>
      <c r="F452" s="59"/>
      <c r="G452" s="60">
        <f t="shared" si="63"/>
        <v>0</v>
      </c>
      <c r="I452" s="28">
        <f>3.45+1.55*4+2.75+0.8+2.6+1.5</f>
        <v>17.3</v>
      </c>
      <c r="J452" s="28">
        <f>I452*3.35</f>
        <v>57.955000000000005</v>
      </c>
      <c r="K452" s="28">
        <f>0.78*2*4</f>
        <v>6.24</v>
      </c>
      <c r="L452" s="28">
        <f>J452-K452</f>
        <v>51.715000000000003</v>
      </c>
    </row>
    <row r="453" spans="1:13" x14ac:dyDescent="0.2">
      <c r="A453" s="132" t="s">
        <v>152</v>
      </c>
      <c r="B453" s="198" t="s">
        <v>70</v>
      </c>
      <c r="C453" s="134"/>
      <c r="D453" s="135"/>
      <c r="E453" s="136"/>
      <c r="F453" s="137"/>
      <c r="G453" s="138"/>
    </row>
    <row r="454" spans="1:13" x14ac:dyDescent="0.2">
      <c r="A454" s="144" t="s">
        <v>163</v>
      </c>
      <c r="B454" s="199" t="s">
        <v>317</v>
      </c>
      <c r="C454" s="146"/>
      <c r="D454" s="147"/>
      <c r="E454" s="148"/>
      <c r="F454" s="149"/>
      <c r="G454" s="60">
        <f t="shared" ref="G454:G456" si="64">(D454*E454)+(D454*F454)</f>
        <v>0</v>
      </c>
    </row>
    <row r="455" spans="1:13" ht="24" x14ac:dyDescent="0.2">
      <c r="A455" s="187" t="s">
        <v>184</v>
      </c>
      <c r="B455" s="142" t="s">
        <v>578</v>
      </c>
      <c r="C455" s="143" t="s">
        <v>459</v>
      </c>
      <c r="D455" s="91">
        <v>137.75</v>
      </c>
      <c r="E455" s="92"/>
      <c r="F455" s="59"/>
      <c r="G455" s="60">
        <f t="shared" si="64"/>
        <v>0</v>
      </c>
      <c r="I455" s="28">
        <f>3*17+1.35+8.7*2</f>
        <v>69.75</v>
      </c>
      <c r="J455" s="28">
        <f>I455*3.1</f>
        <v>216.22499999999999</v>
      </c>
      <c r="K455" s="28">
        <v>85.04</v>
      </c>
      <c r="L455" s="28">
        <f>J455-K455</f>
        <v>131.185</v>
      </c>
      <c r="M455" s="28">
        <f>L455*105%</f>
        <v>137.74425000000002</v>
      </c>
    </row>
    <row r="456" spans="1:13" ht="24" x14ac:dyDescent="0.2">
      <c r="A456" s="187" t="s">
        <v>185</v>
      </c>
      <c r="B456" s="142" t="s">
        <v>319</v>
      </c>
      <c r="C456" s="143" t="s">
        <v>459</v>
      </c>
      <c r="D456" s="91">
        <v>9.32</v>
      </c>
      <c r="E456" s="92"/>
      <c r="F456" s="59"/>
      <c r="G456" s="60">
        <f t="shared" si="64"/>
        <v>0</v>
      </c>
      <c r="I456" s="28">
        <f>0.45*1.725*12</f>
        <v>9.3150000000000013</v>
      </c>
    </row>
    <row r="457" spans="1:13" x14ac:dyDescent="0.2">
      <c r="A457" s="144" t="s">
        <v>164</v>
      </c>
      <c r="B457" s="199" t="s">
        <v>316</v>
      </c>
      <c r="C457" s="146"/>
      <c r="D457" s="147"/>
      <c r="E457" s="148"/>
      <c r="F457" s="149"/>
      <c r="G457" s="60">
        <f t="shared" ref="G457:G459" si="65">(D457*E457)+(D457*F457)</f>
        <v>0</v>
      </c>
    </row>
    <row r="458" spans="1:13" ht="24" x14ac:dyDescent="0.2">
      <c r="A458" s="187" t="s">
        <v>184</v>
      </c>
      <c r="B458" s="142" t="s">
        <v>579</v>
      </c>
      <c r="C458" s="143" t="s">
        <v>459</v>
      </c>
      <c r="D458" s="91">
        <v>130.30000000000001</v>
      </c>
      <c r="E458" s="92"/>
      <c r="F458" s="59"/>
      <c r="G458" s="60">
        <f t="shared" si="65"/>
        <v>0</v>
      </c>
      <c r="I458" s="28">
        <f>3.82*5+4.08*5</f>
        <v>39.5</v>
      </c>
      <c r="J458" s="28">
        <f>I458*3.1</f>
        <v>122.45</v>
      </c>
      <c r="K458" s="28">
        <f>3*3.5</f>
        <v>10.5</v>
      </c>
      <c r="L458" s="28">
        <f>J458+K458</f>
        <v>132.94999999999999</v>
      </c>
      <c r="M458" s="28">
        <f>L458-2.69</f>
        <v>130.26</v>
      </c>
    </row>
    <row r="459" spans="1:13" ht="14.25" thickBot="1" x14ac:dyDescent="0.25">
      <c r="A459" s="151" t="s">
        <v>185</v>
      </c>
      <c r="B459" s="201" t="s">
        <v>318</v>
      </c>
      <c r="C459" s="153" t="s">
        <v>459</v>
      </c>
      <c r="D459" s="154">
        <v>54.35</v>
      </c>
      <c r="E459" s="183"/>
      <c r="F459" s="155"/>
      <c r="G459" s="156">
        <f t="shared" si="65"/>
        <v>0</v>
      </c>
      <c r="I459" s="28">
        <f>3.45+1.55*4+2.75+0.8+2.6+1.5</f>
        <v>17.3</v>
      </c>
      <c r="J459" s="28">
        <f>I459*3.5</f>
        <v>60.550000000000004</v>
      </c>
      <c r="K459" s="28">
        <f>0.78*2*4</f>
        <v>6.24</v>
      </c>
      <c r="L459" s="28">
        <f>J459-K459</f>
        <v>54.31</v>
      </c>
    </row>
    <row r="460" spans="1:13" x14ac:dyDescent="0.2">
      <c r="A460" s="141"/>
      <c r="B460" s="200"/>
      <c r="C460" s="143"/>
      <c r="D460" s="91"/>
      <c r="E460" s="92"/>
      <c r="F460" s="59"/>
      <c r="G460" s="60"/>
    </row>
    <row r="461" spans="1:13" x14ac:dyDescent="0.2">
      <c r="A461" s="132" t="s">
        <v>153</v>
      </c>
      <c r="B461" s="198" t="s">
        <v>320</v>
      </c>
      <c r="C461" s="134"/>
      <c r="D461" s="135"/>
      <c r="E461" s="136"/>
      <c r="F461" s="137"/>
      <c r="G461" s="138"/>
      <c r="K461" s="139"/>
    </row>
    <row r="462" spans="1:13" x14ac:dyDescent="0.2">
      <c r="A462" s="144" t="s">
        <v>163</v>
      </c>
      <c r="B462" s="199" t="s">
        <v>321</v>
      </c>
      <c r="C462" s="146"/>
      <c r="D462" s="147"/>
      <c r="E462" s="148"/>
      <c r="F462" s="149"/>
      <c r="G462" s="60">
        <f t="shared" ref="G462:G463" si="66">(D462*E462)+(D462*F462)</f>
        <v>0</v>
      </c>
      <c r="K462" s="139"/>
    </row>
    <row r="463" spans="1:13" ht="13.5" x14ac:dyDescent="0.2">
      <c r="A463" s="141"/>
      <c r="B463" s="142" t="s">
        <v>315</v>
      </c>
      <c r="C463" s="143" t="s">
        <v>459</v>
      </c>
      <c r="D463" s="91">
        <v>24.8</v>
      </c>
      <c r="E463" s="92"/>
      <c r="F463" s="59"/>
      <c r="G463" s="60">
        <f t="shared" si="66"/>
        <v>0</v>
      </c>
      <c r="I463" s="28">
        <f>12.38*2</f>
        <v>24.76</v>
      </c>
      <c r="K463" s="139"/>
      <c r="L463" s="139"/>
    </row>
    <row r="464" spans="1:13" x14ac:dyDescent="0.2">
      <c r="A464" s="141"/>
      <c r="B464" s="200"/>
      <c r="C464" s="143"/>
      <c r="D464" s="91"/>
      <c r="E464" s="92"/>
      <c r="F464" s="59"/>
      <c r="G464" s="60"/>
      <c r="K464" s="139"/>
    </row>
    <row r="465" spans="1:18" x14ac:dyDescent="0.2">
      <c r="A465" s="141"/>
      <c r="B465" s="200"/>
      <c r="C465" s="143"/>
      <c r="D465" s="91"/>
      <c r="E465" s="92"/>
      <c r="F465" s="59"/>
      <c r="G465" s="60"/>
      <c r="K465" s="139"/>
    </row>
    <row r="466" spans="1:18" x14ac:dyDescent="0.2">
      <c r="A466" s="118">
        <v>4.3</v>
      </c>
      <c r="B466" s="202" t="s">
        <v>106</v>
      </c>
      <c r="C466" s="131"/>
      <c r="D466" s="121"/>
      <c r="E466" s="122"/>
      <c r="F466" s="121"/>
      <c r="G466" s="203"/>
      <c r="K466" s="139"/>
    </row>
    <row r="467" spans="1:18" ht="109.5" customHeight="1" x14ac:dyDescent="0.2">
      <c r="A467" s="40"/>
      <c r="B467" s="62" t="s">
        <v>462</v>
      </c>
      <c r="C467" s="62"/>
      <c r="D467" s="62"/>
      <c r="E467" s="62"/>
      <c r="F467" s="62"/>
      <c r="G467" s="196"/>
    </row>
    <row r="468" spans="1:18" ht="40.5" customHeight="1" x14ac:dyDescent="0.2">
      <c r="A468" s="40"/>
      <c r="B468" s="62" t="s">
        <v>158</v>
      </c>
      <c r="C468" s="62"/>
      <c r="D468" s="62"/>
      <c r="E468" s="62"/>
      <c r="F468" s="195"/>
      <c r="G468" s="196"/>
    </row>
    <row r="469" spans="1:18" ht="51" customHeight="1" x14ac:dyDescent="0.2">
      <c r="A469" s="40"/>
      <c r="B469" s="62" t="s">
        <v>258</v>
      </c>
      <c r="C469" s="62"/>
      <c r="D469" s="62"/>
      <c r="E469" s="62"/>
      <c r="F469" s="195"/>
      <c r="G469" s="196"/>
    </row>
    <row r="470" spans="1:18" x14ac:dyDescent="0.2">
      <c r="A470" s="132" t="s">
        <v>150</v>
      </c>
      <c r="B470" s="198" t="s">
        <v>138</v>
      </c>
      <c r="C470" s="134"/>
      <c r="D470" s="135"/>
      <c r="E470" s="136"/>
      <c r="F470" s="137"/>
      <c r="G470" s="138"/>
    </row>
    <row r="471" spans="1:18" x14ac:dyDescent="0.2">
      <c r="A471" s="141" t="s">
        <v>163</v>
      </c>
      <c r="B471" s="197" t="s">
        <v>245</v>
      </c>
      <c r="C471" s="146"/>
      <c r="D471" s="147"/>
      <c r="E471" s="148"/>
      <c r="F471" s="149"/>
      <c r="G471" s="60"/>
    </row>
    <row r="472" spans="1:18" ht="13.5" x14ac:dyDescent="0.2">
      <c r="A472" s="141"/>
      <c r="B472" s="200" t="s">
        <v>243</v>
      </c>
      <c r="C472" s="143" t="s">
        <v>459</v>
      </c>
      <c r="D472" s="91">
        <f>D438*2</f>
        <v>245.4</v>
      </c>
      <c r="E472" s="92"/>
      <c r="F472" s="59"/>
      <c r="G472" s="60">
        <f t="shared" ref="G472" si="67">(D472*E472)+(D472*F472)</f>
        <v>0</v>
      </c>
    </row>
    <row r="473" spans="1:18" x14ac:dyDescent="0.2">
      <c r="A473" s="132" t="s">
        <v>151</v>
      </c>
      <c r="B473" s="198" t="s">
        <v>66</v>
      </c>
      <c r="C473" s="134"/>
      <c r="D473" s="135"/>
      <c r="E473" s="136"/>
      <c r="F473" s="137"/>
      <c r="G473" s="138"/>
    </row>
    <row r="474" spans="1:18" s="205" customFormat="1" ht="15" customHeight="1" x14ac:dyDescent="0.2">
      <c r="A474" s="144" t="s">
        <v>163</v>
      </c>
      <c r="B474" s="199" t="s">
        <v>240</v>
      </c>
      <c r="C474" s="146"/>
      <c r="D474" s="147"/>
      <c r="E474" s="148"/>
      <c r="F474" s="204"/>
      <c r="G474" s="60">
        <f t="shared" ref="G474:G475" si="68">(D474*E474)+(D474*F474)</f>
        <v>0</v>
      </c>
      <c r="O474" s="28"/>
      <c r="P474" s="28"/>
      <c r="Q474" s="28"/>
      <c r="R474" s="28"/>
    </row>
    <row r="475" spans="1:18" ht="13.5" x14ac:dyDescent="0.2">
      <c r="A475" s="141"/>
      <c r="B475" s="200" t="s">
        <v>140</v>
      </c>
      <c r="C475" s="143" t="s">
        <v>459</v>
      </c>
      <c r="D475" s="91">
        <v>307.45</v>
      </c>
      <c r="E475" s="92"/>
      <c r="F475" s="59"/>
      <c r="G475" s="60">
        <f t="shared" si="68"/>
        <v>0</v>
      </c>
      <c r="I475" s="28">
        <f>32.2*2+8.7*2</f>
        <v>81.800000000000011</v>
      </c>
      <c r="J475" s="28">
        <f>I475*3.875</f>
        <v>316.97500000000002</v>
      </c>
      <c r="K475" s="28">
        <v>87.81</v>
      </c>
      <c r="L475" s="28">
        <f>J475-K475</f>
        <v>229.16500000000002</v>
      </c>
      <c r="M475" s="28">
        <f>L475*103%</f>
        <v>236.03995000000003</v>
      </c>
      <c r="N475" s="28">
        <f>(32.2+4)*0.65</f>
        <v>23.53</v>
      </c>
      <c r="O475" s="28">
        <f>0.8*3.05*11</f>
        <v>26.84</v>
      </c>
      <c r="P475" s="28">
        <f>SUM(M475:O475)</f>
        <v>286.40995000000004</v>
      </c>
    </row>
    <row r="476" spans="1:18" x14ac:dyDescent="0.2">
      <c r="A476" s="141"/>
      <c r="B476" s="200"/>
      <c r="C476" s="143"/>
      <c r="D476" s="91"/>
      <c r="E476" s="92"/>
      <c r="F476" s="59"/>
      <c r="G476" s="60"/>
      <c r="I476" s="28">
        <f>0.525*2*10*2</f>
        <v>21</v>
      </c>
      <c r="J476" s="28">
        <f>M475+I476+N475+O475</f>
        <v>307.40995000000004</v>
      </c>
    </row>
    <row r="477" spans="1:18" x14ac:dyDescent="0.2">
      <c r="A477" s="186" t="s">
        <v>164</v>
      </c>
      <c r="B477" s="190" t="s">
        <v>241</v>
      </c>
      <c r="C477" s="146"/>
      <c r="D477" s="147"/>
      <c r="E477" s="148"/>
      <c r="F477" s="149"/>
      <c r="G477" s="60">
        <f t="shared" ref="G477:G478" si="69">(D477*E477)+(D477*F477)</f>
        <v>0</v>
      </c>
    </row>
    <row r="478" spans="1:18" ht="25.5" customHeight="1" x14ac:dyDescent="0.2">
      <c r="A478" s="141"/>
      <c r="B478" s="142" t="s">
        <v>242</v>
      </c>
      <c r="C478" s="143" t="s">
        <v>459</v>
      </c>
      <c r="D478" s="91">
        <v>602.85</v>
      </c>
      <c r="E478" s="92"/>
      <c r="F478" s="59"/>
      <c r="G478" s="60">
        <f t="shared" si="69"/>
        <v>0</v>
      </c>
      <c r="I478" s="28">
        <f>8.325*5*2</f>
        <v>83.25</v>
      </c>
      <c r="J478" s="28">
        <f>I478*3.35</f>
        <v>278.88749999999999</v>
      </c>
      <c r="K478" s="28">
        <f>2.75+3.45+1.65*3+1.55*8+0.85+2.6*2+1.5*2+3.15+2.45</f>
        <v>38.199999999999996</v>
      </c>
      <c r="L478" s="28">
        <f>K478*3.35</f>
        <v>127.96999999999998</v>
      </c>
      <c r="M478" s="28">
        <f>L478-6.24</f>
        <v>121.72999999999999</v>
      </c>
      <c r="N478" s="28">
        <f>6.2*8+8.35*2+3*2+1.5*2+1.35*2</f>
        <v>78</v>
      </c>
      <c r="O478" s="28">
        <f>N478*3.35</f>
        <v>261.3</v>
      </c>
      <c r="P478" s="28">
        <f>O478-87.81</f>
        <v>173.49</v>
      </c>
      <c r="Q478" s="28">
        <f>P478+M478+J478</f>
        <v>574.10750000000007</v>
      </c>
      <c r="R478" s="28">
        <f>Q478*105%</f>
        <v>602.81287500000008</v>
      </c>
    </row>
    <row r="479" spans="1:18" x14ac:dyDescent="0.2">
      <c r="A479" s="132" t="s">
        <v>57</v>
      </c>
      <c r="B479" s="198" t="s">
        <v>68</v>
      </c>
      <c r="C479" s="134"/>
      <c r="D479" s="135"/>
      <c r="E479" s="136"/>
      <c r="F479" s="137"/>
      <c r="G479" s="138"/>
    </row>
    <row r="480" spans="1:18" x14ac:dyDescent="0.2">
      <c r="A480" s="144" t="s">
        <v>163</v>
      </c>
      <c r="B480" s="199" t="s">
        <v>240</v>
      </c>
      <c r="C480" s="146"/>
      <c r="D480" s="147"/>
      <c r="E480" s="148"/>
      <c r="F480" s="204"/>
      <c r="G480" s="60">
        <f t="shared" ref="G480:G483" si="70">(D480*E480)+(D480*F480)</f>
        <v>0</v>
      </c>
      <c r="I480" s="28">
        <f>32.2*2+8.7*2</f>
        <v>81.800000000000011</v>
      </c>
      <c r="J480" s="28">
        <f>I480*3.5</f>
        <v>286.30000000000007</v>
      </c>
      <c r="K480" s="28">
        <v>85.04</v>
      </c>
      <c r="L480" s="28">
        <f>J480-K480</f>
        <v>201.26000000000005</v>
      </c>
      <c r="M480" s="28">
        <f>L480*103%</f>
        <v>207.29780000000005</v>
      </c>
      <c r="N480" s="28">
        <f>(32.2+4)*0.65</f>
        <v>23.53</v>
      </c>
      <c r="O480" s="28">
        <f>0.8*3.05*11</f>
        <v>26.84</v>
      </c>
      <c r="P480" s="28">
        <f>36.2*2.5</f>
        <v>90.5</v>
      </c>
      <c r="Q480" s="28">
        <f>1.2*1.3*9</f>
        <v>14.040000000000001</v>
      </c>
      <c r="R480" s="28">
        <f>P480-Q480</f>
        <v>76.459999999999994</v>
      </c>
    </row>
    <row r="481" spans="1:18" ht="13.5" x14ac:dyDescent="0.2">
      <c r="A481" s="141"/>
      <c r="B481" s="200" t="s">
        <v>140</v>
      </c>
      <c r="C481" s="143" t="s">
        <v>459</v>
      </c>
      <c r="D481" s="91">
        <v>357.25</v>
      </c>
      <c r="E481" s="92"/>
      <c r="F481" s="59"/>
      <c r="G481" s="60">
        <f t="shared" si="70"/>
        <v>0</v>
      </c>
      <c r="I481" s="28">
        <f>0.525*2*11*2</f>
        <v>23.1</v>
      </c>
      <c r="J481" s="28">
        <f>I481+R480+O480+N480+M480</f>
        <v>357.22780000000006</v>
      </c>
    </row>
    <row r="482" spans="1:18" x14ac:dyDescent="0.2">
      <c r="A482" s="186" t="s">
        <v>164</v>
      </c>
      <c r="B482" s="190" t="s">
        <v>241</v>
      </c>
      <c r="C482" s="146"/>
      <c r="D482" s="147"/>
      <c r="E482" s="148"/>
      <c r="F482" s="149"/>
      <c r="G482" s="60">
        <f t="shared" si="70"/>
        <v>0</v>
      </c>
    </row>
    <row r="483" spans="1:18" ht="24" x14ac:dyDescent="0.2">
      <c r="A483" s="141"/>
      <c r="B483" s="142" t="s">
        <v>242</v>
      </c>
      <c r="C483" s="143" t="s">
        <v>459</v>
      </c>
      <c r="D483" s="91">
        <v>598</v>
      </c>
      <c r="E483" s="92"/>
      <c r="F483" s="59"/>
      <c r="G483" s="60">
        <f t="shared" si="70"/>
        <v>0</v>
      </c>
      <c r="I483" s="28">
        <f>8.325*5*2+3*2</f>
        <v>89.25</v>
      </c>
      <c r="J483" s="28">
        <f>I483*3.35</f>
        <v>298.98750000000001</v>
      </c>
      <c r="K483" s="28">
        <f>2.75+3.45+1.65*3+1.55*8+0.85+2.45+3.15</f>
        <v>29.999999999999996</v>
      </c>
      <c r="L483" s="28">
        <f>K483*3.35</f>
        <v>100.49999999999999</v>
      </c>
      <c r="M483" s="28">
        <f>L483-6.24</f>
        <v>94.259999999999991</v>
      </c>
      <c r="N483" s="28">
        <f>6.2*8+8.35*2+3*2+1.5*2+1.35*2</f>
        <v>78</v>
      </c>
      <c r="O483" s="28">
        <f>N483*3.35</f>
        <v>261.3</v>
      </c>
      <c r="P483" s="28">
        <f>O483-K480</f>
        <v>176.26</v>
      </c>
      <c r="Q483" s="28">
        <f>P483+M483+J483</f>
        <v>569.50749999999994</v>
      </c>
      <c r="R483" s="28">
        <f>Q483*105%</f>
        <v>597.98287499999992</v>
      </c>
    </row>
    <row r="484" spans="1:18" x14ac:dyDescent="0.2">
      <c r="A484" s="132" t="s">
        <v>152</v>
      </c>
      <c r="B484" s="198" t="s">
        <v>70</v>
      </c>
      <c r="C484" s="134"/>
      <c r="D484" s="135"/>
      <c r="E484" s="136"/>
      <c r="F484" s="137"/>
      <c r="G484" s="138"/>
    </row>
    <row r="485" spans="1:18" x14ac:dyDescent="0.2">
      <c r="A485" s="144" t="s">
        <v>163</v>
      </c>
      <c r="B485" s="199" t="s">
        <v>240</v>
      </c>
      <c r="C485" s="146"/>
      <c r="D485" s="147"/>
      <c r="E485" s="148"/>
      <c r="F485" s="204"/>
      <c r="G485" s="60">
        <f t="shared" ref="G485:G488" si="71">(D485*E485)+(D485*F485)</f>
        <v>0</v>
      </c>
      <c r="I485" s="28">
        <f>32.2*2+8.7*2</f>
        <v>81.800000000000011</v>
      </c>
      <c r="J485" s="28">
        <f>I485*3.5</f>
        <v>286.30000000000007</v>
      </c>
      <c r="K485" s="28">
        <v>85.04</v>
      </c>
      <c r="L485" s="28">
        <f>J485-K485</f>
        <v>201.26000000000005</v>
      </c>
      <c r="M485" s="28">
        <f>L485*103%</f>
        <v>207.29780000000005</v>
      </c>
      <c r="N485" s="28">
        <f>(32.2+4)*0.65</f>
        <v>23.53</v>
      </c>
      <c r="O485" s="28">
        <f>0.8*3.1*11</f>
        <v>27.280000000000005</v>
      </c>
      <c r="P485" s="28">
        <f>36.2*2.5</f>
        <v>90.5</v>
      </c>
      <c r="Q485" s="28">
        <f>1.2*1.3*9</f>
        <v>14.040000000000001</v>
      </c>
      <c r="R485" s="28">
        <f>P485-Q485</f>
        <v>76.459999999999994</v>
      </c>
    </row>
    <row r="486" spans="1:18" ht="13.5" x14ac:dyDescent="0.2">
      <c r="A486" s="141"/>
      <c r="B486" s="200" t="s">
        <v>140</v>
      </c>
      <c r="C486" s="143" t="s">
        <v>459</v>
      </c>
      <c r="D486" s="91">
        <v>357.7</v>
      </c>
      <c r="E486" s="92"/>
      <c r="F486" s="59"/>
      <c r="G486" s="60">
        <f t="shared" si="71"/>
        <v>0</v>
      </c>
      <c r="I486" s="28">
        <f>0.525*2*11*2</f>
        <v>23.1</v>
      </c>
      <c r="J486" s="28">
        <f>I486+R485+O485+N485+M485</f>
        <v>357.66780000000006</v>
      </c>
    </row>
    <row r="487" spans="1:18" x14ac:dyDescent="0.2">
      <c r="A487" s="186" t="s">
        <v>164</v>
      </c>
      <c r="B487" s="190" t="s">
        <v>241</v>
      </c>
      <c r="C487" s="146"/>
      <c r="D487" s="147"/>
      <c r="E487" s="148"/>
      <c r="F487" s="149"/>
      <c r="G487" s="60">
        <f t="shared" si="71"/>
        <v>0</v>
      </c>
    </row>
    <row r="488" spans="1:18" ht="24" x14ac:dyDescent="0.2">
      <c r="A488" s="141"/>
      <c r="B488" s="142" t="s">
        <v>242</v>
      </c>
      <c r="C488" s="143" t="s">
        <v>459</v>
      </c>
      <c r="D488" s="91">
        <v>629.04999999999995</v>
      </c>
      <c r="E488" s="92"/>
      <c r="F488" s="59"/>
      <c r="G488" s="60">
        <f t="shared" si="71"/>
        <v>0</v>
      </c>
      <c r="I488" s="28">
        <f>8.325*5*2+3*2</f>
        <v>89.25</v>
      </c>
      <c r="J488" s="28">
        <f>I488*3.5</f>
        <v>312.375</v>
      </c>
      <c r="K488" s="28">
        <f>2.75+3.45+1.65*3+1.55*8+0.85+2.45+3.15</f>
        <v>29.999999999999996</v>
      </c>
      <c r="L488" s="28">
        <f>K488*3.5</f>
        <v>104.99999999999999</v>
      </c>
      <c r="M488" s="28">
        <f>L488-6.24</f>
        <v>98.759999999999991</v>
      </c>
      <c r="N488" s="28">
        <f>6.2*8+8.35*2+3*2+1.5*2+1.35*2</f>
        <v>78</v>
      </c>
      <c r="O488" s="28">
        <f>N488*3.5</f>
        <v>273</v>
      </c>
      <c r="P488" s="28">
        <f>O488-K485</f>
        <v>187.95999999999998</v>
      </c>
      <c r="Q488" s="28">
        <f>P488+M488+J488</f>
        <v>599.09500000000003</v>
      </c>
      <c r="R488" s="28">
        <f>Q488*105%</f>
        <v>629.04975000000002</v>
      </c>
    </row>
    <row r="489" spans="1:18" x14ac:dyDescent="0.2">
      <c r="A489" s="132" t="s">
        <v>153</v>
      </c>
      <c r="B489" s="198" t="s">
        <v>260</v>
      </c>
      <c r="C489" s="134"/>
      <c r="D489" s="135"/>
      <c r="E489" s="136"/>
      <c r="F489" s="137"/>
      <c r="G489" s="138"/>
    </row>
    <row r="490" spans="1:18" x14ac:dyDescent="0.2">
      <c r="A490" s="144" t="s">
        <v>163</v>
      </c>
      <c r="B490" s="199" t="s">
        <v>240</v>
      </c>
      <c r="C490" s="146"/>
      <c r="D490" s="147"/>
      <c r="E490" s="148"/>
      <c r="F490" s="204"/>
      <c r="G490" s="60">
        <f t="shared" ref="G490:G493" si="72">(D490*E490)+(D490*F490)</f>
        <v>0</v>
      </c>
    </row>
    <row r="491" spans="1:18" ht="13.5" x14ac:dyDescent="0.2">
      <c r="A491" s="141"/>
      <c r="B491" s="200" t="s">
        <v>140</v>
      </c>
      <c r="C491" s="143" t="s">
        <v>459</v>
      </c>
      <c r="D491" s="91">
        <f>D463</f>
        <v>24.8</v>
      </c>
      <c r="E491" s="92"/>
      <c r="F491" s="59"/>
      <c r="G491" s="60">
        <f t="shared" si="72"/>
        <v>0</v>
      </c>
      <c r="I491" s="28">
        <f>(5.487+1.95)*2</f>
        <v>14.874000000000001</v>
      </c>
      <c r="J491" s="28">
        <f>I491*3.8</f>
        <v>56.5212</v>
      </c>
      <c r="K491" s="139">
        <v>2.88</v>
      </c>
      <c r="L491" s="139">
        <f>J491-K491</f>
        <v>53.641199999999998</v>
      </c>
      <c r="M491" s="28" t="e">
        <f>#REF!</f>
        <v>#REF!</v>
      </c>
      <c r="N491" s="28" t="e">
        <f>M491*2.1</f>
        <v>#REF!</v>
      </c>
      <c r="O491" s="139" t="e">
        <f>N491+L491</f>
        <v>#REF!</v>
      </c>
    </row>
    <row r="492" spans="1:18" x14ac:dyDescent="0.2">
      <c r="A492" s="186" t="s">
        <v>164</v>
      </c>
      <c r="B492" s="190" t="s">
        <v>241</v>
      </c>
      <c r="C492" s="146"/>
      <c r="D492" s="147"/>
      <c r="E492" s="148"/>
      <c r="F492" s="149"/>
      <c r="G492" s="60">
        <f t="shared" si="72"/>
        <v>0</v>
      </c>
      <c r="K492" s="139"/>
    </row>
    <row r="493" spans="1:18" ht="13.5" x14ac:dyDescent="0.2">
      <c r="A493" s="141"/>
      <c r="B493" s="142" t="s">
        <v>322</v>
      </c>
      <c r="C493" s="143" t="s">
        <v>459</v>
      </c>
      <c r="D493" s="91">
        <f>D463</f>
        <v>24.8</v>
      </c>
      <c r="E493" s="92"/>
      <c r="F493" s="59"/>
      <c r="G493" s="60">
        <f t="shared" si="72"/>
        <v>0</v>
      </c>
      <c r="I493" s="28">
        <f>1*3.65*2</f>
        <v>7.3</v>
      </c>
      <c r="J493" s="28">
        <f>(5.487+1.95)*2</f>
        <v>14.874000000000001</v>
      </c>
      <c r="K493" s="28">
        <f>J493*3.65</f>
        <v>54.290100000000002</v>
      </c>
      <c r="L493" s="139">
        <v>2.88</v>
      </c>
      <c r="M493" s="139">
        <f>K493-L493</f>
        <v>51.4101</v>
      </c>
      <c r="N493" s="139">
        <f>M493+I493</f>
        <v>58.710099999999997</v>
      </c>
    </row>
    <row r="494" spans="1:18" x14ac:dyDescent="0.2">
      <c r="A494" s="144" t="s">
        <v>291</v>
      </c>
      <c r="B494" s="197" t="s">
        <v>431</v>
      </c>
      <c r="C494" s="143"/>
      <c r="D494" s="91"/>
      <c r="E494" s="92"/>
      <c r="F494" s="59"/>
      <c r="G494" s="60"/>
    </row>
    <row r="495" spans="1:18" ht="33.75" customHeight="1" x14ac:dyDescent="0.2">
      <c r="A495" s="141"/>
      <c r="B495" s="142" t="s">
        <v>463</v>
      </c>
      <c r="C495" s="143" t="s">
        <v>15</v>
      </c>
      <c r="D495" s="91">
        <v>1</v>
      </c>
      <c r="E495" s="92"/>
      <c r="F495" s="59"/>
      <c r="G495" s="60">
        <f t="shared" ref="G495" si="73">(D495*E495)+(D495*F495)</f>
        <v>0</v>
      </c>
    </row>
    <row r="496" spans="1:18" ht="12.75" thickBot="1" x14ac:dyDescent="0.25">
      <c r="A496" s="186"/>
      <c r="B496" s="190"/>
      <c r="C496" s="143"/>
      <c r="D496" s="91"/>
      <c r="E496" s="92"/>
      <c r="F496" s="59"/>
      <c r="G496" s="60"/>
    </row>
    <row r="497" spans="1:15" x14ac:dyDescent="0.2">
      <c r="A497" s="68"/>
      <c r="B497" s="69" t="s">
        <v>148</v>
      </c>
      <c r="C497" s="113"/>
      <c r="D497" s="71"/>
      <c r="E497" s="72"/>
      <c r="F497" s="191"/>
      <c r="G497" s="192"/>
    </row>
    <row r="498" spans="1:15" ht="12.75" thickBot="1" x14ac:dyDescent="0.25">
      <c r="A498" s="73"/>
      <c r="B498" s="74" t="s">
        <v>198</v>
      </c>
      <c r="C498" s="114"/>
      <c r="D498" s="76"/>
      <c r="E498" s="77"/>
      <c r="F498" s="155"/>
      <c r="G498" s="193">
        <f>SUM(G437:G488)</f>
        <v>0</v>
      </c>
    </row>
    <row r="499" spans="1:15" x14ac:dyDescent="0.2">
      <c r="A499" s="40"/>
      <c r="B499" s="80"/>
      <c r="C499" s="56"/>
      <c r="D499" s="57"/>
      <c r="E499" s="44"/>
      <c r="F499" s="59"/>
      <c r="G499" s="150"/>
      <c r="K499" s="28">
        <f>(30.53+10.025+22.025+11.525)*2</f>
        <v>148.21</v>
      </c>
      <c r="L499" s="28">
        <f>5.525*8</f>
        <v>44.2</v>
      </c>
      <c r="M499" s="28">
        <f>K499-L499</f>
        <v>104.01</v>
      </c>
    </row>
    <row r="500" spans="1:15" x14ac:dyDescent="0.2">
      <c r="A500" s="206"/>
      <c r="B500" s="207" t="s">
        <v>107</v>
      </c>
      <c r="C500" s="208"/>
      <c r="D500" s="43"/>
      <c r="E500" s="209"/>
      <c r="F500" s="59"/>
      <c r="G500" s="60"/>
      <c r="K500" s="28">
        <f>18.45*2+11.45*2</f>
        <v>59.8</v>
      </c>
      <c r="N500" s="28">
        <f>M499+K500</f>
        <v>163.81</v>
      </c>
      <c r="O500" s="28">
        <f>N500/0.74</f>
        <v>221.36486486486487</v>
      </c>
    </row>
    <row r="501" spans="1:15" x14ac:dyDescent="0.2">
      <c r="A501" s="206"/>
      <c r="B501" s="210" t="s">
        <v>108</v>
      </c>
      <c r="C501" s="208"/>
      <c r="D501" s="43"/>
      <c r="E501" s="209"/>
      <c r="F501" s="59"/>
      <c r="G501" s="60"/>
      <c r="K501" s="28">
        <f>SUM(K499:K500)</f>
        <v>208.01</v>
      </c>
      <c r="L501" s="28">
        <f>K501*5.8</f>
        <v>1206.4579999999999</v>
      </c>
      <c r="M501" s="28">
        <f>L501/18.3</f>
        <v>65.926666666666662</v>
      </c>
    </row>
    <row r="502" spans="1:15" x14ac:dyDescent="0.2">
      <c r="A502" s="194" t="s">
        <v>109</v>
      </c>
      <c r="B502" s="51" t="s">
        <v>41</v>
      </c>
      <c r="C502" s="42"/>
      <c r="D502" s="43"/>
      <c r="E502" s="44"/>
      <c r="F502" s="59"/>
      <c r="G502" s="60"/>
    </row>
    <row r="503" spans="1:15" ht="49.5" customHeight="1" x14ac:dyDescent="0.2">
      <c r="A503" s="194"/>
      <c r="B503" s="62" t="s">
        <v>141</v>
      </c>
      <c r="C503" s="62"/>
      <c r="D503" s="62"/>
      <c r="E503" s="62"/>
      <c r="F503" s="62"/>
      <c r="G503" s="160"/>
    </row>
    <row r="504" spans="1:15" x14ac:dyDescent="0.2">
      <c r="A504" s="211" t="s">
        <v>143</v>
      </c>
      <c r="B504" s="212" t="s">
        <v>201</v>
      </c>
      <c r="C504" s="213"/>
      <c r="D504" s="214"/>
      <c r="E504" s="215"/>
      <c r="F504" s="216"/>
      <c r="G504" s="217"/>
    </row>
    <row r="505" spans="1:15" x14ac:dyDescent="0.2">
      <c r="A505" s="369"/>
      <c r="B505" s="370" t="s">
        <v>209</v>
      </c>
      <c r="C505" s="371"/>
      <c r="D505" s="372"/>
      <c r="E505" s="209"/>
      <c r="F505" s="181"/>
      <c r="G505" s="218"/>
    </row>
    <row r="506" spans="1:15" x14ac:dyDescent="0.2">
      <c r="A506" s="373" t="s">
        <v>150</v>
      </c>
      <c r="B506" s="374" t="s">
        <v>66</v>
      </c>
      <c r="C506" s="375"/>
      <c r="D506" s="376"/>
      <c r="E506" s="165"/>
      <c r="F506" s="166"/>
      <c r="G506" s="167">
        <f t="shared" ref="G506:G510" si="74">(D506*E506)+(D506*F506)</f>
        <v>0</v>
      </c>
    </row>
    <row r="507" spans="1:15" ht="13.5" x14ac:dyDescent="0.2">
      <c r="A507" s="369"/>
      <c r="B507" s="377" t="s">
        <v>323</v>
      </c>
      <c r="C507" s="371" t="s">
        <v>456</v>
      </c>
      <c r="D507" s="372">
        <v>205.85</v>
      </c>
      <c r="E507" s="180"/>
      <c r="F507" s="181"/>
      <c r="G507" s="218">
        <f t="shared" si="74"/>
        <v>0</v>
      </c>
      <c r="I507" s="28">
        <f>51.46*4</f>
        <v>205.84</v>
      </c>
    </row>
    <row r="508" spans="1:15" ht="13.5" x14ac:dyDescent="0.2">
      <c r="A508" s="369"/>
      <c r="B508" s="377" t="s">
        <v>499</v>
      </c>
      <c r="C508" s="371" t="s">
        <v>456</v>
      </c>
      <c r="D508" s="372">
        <v>79.7</v>
      </c>
      <c r="E508" s="180"/>
      <c r="F508" s="181"/>
      <c r="G508" s="218">
        <f t="shared" si="74"/>
        <v>0</v>
      </c>
      <c r="I508" s="28">
        <f>32.2*2</f>
        <v>64.400000000000006</v>
      </c>
      <c r="J508" s="28">
        <f>8.5*1.35</f>
        <v>11.475000000000001</v>
      </c>
      <c r="K508" s="28">
        <f>1.5*1.65</f>
        <v>2.4749999999999996</v>
      </c>
      <c r="L508" s="28">
        <f>1.65*0.8</f>
        <v>1.32</v>
      </c>
      <c r="M508" s="28">
        <f>SUM(I508:L508)</f>
        <v>79.669999999999987</v>
      </c>
    </row>
    <row r="509" spans="1:15" ht="13.5" x14ac:dyDescent="0.2">
      <c r="A509" s="369"/>
      <c r="B509" s="377" t="s">
        <v>324</v>
      </c>
      <c r="C509" s="371" t="s">
        <v>456</v>
      </c>
      <c r="D509" s="372">
        <v>21.05</v>
      </c>
      <c r="E509" s="180"/>
      <c r="F509" s="181"/>
      <c r="G509" s="218">
        <f t="shared" si="74"/>
        <v>0</v>
      </c>
      <c r="I509" s="169">
        <v>25.8</v>
      </c>
    </row>
    <row r="510" spans="1:15" ht="13.5" x14ac:dyDescent="0.2">
      <c r="A510" s="369"/>
      <c r="B510" s="377" t="s">
        <v>325</v>
      </c>
      <c r="C510" s="371" t="s">
        <v>456</v>
      </c>
      <c r="D510" s="372">
        <v>19.8</v>
      </c>
      <c r="E510" s="180"/>
      <c r="F510" s="181"/>
      <c r="G510" s="218">
        <f t="shared" si="74"/>
        <v>0</v>
      </c>
      <c r="I510" s="139">
        <f>4.04*3</f>
        <v>12.120000000000001</v>
      </c>
      <c r="J510" s="28">
        <f>1.5*0.175*24</f>
        <v>6.2999999999999989</v>
      </c>
      <c r="K510" s="139">
        <f>0.3*1.5*3</f>
        <v>1.3499999999999999</v>
      </c>
      <c r="L510" s="139">
        <f>SUM(I510:K510)</f>
        <v>19.770000000000003</v>
      </c>
    </row>
    <row r="511" spans="1:15" ht="13.5" x14ac:dyDescent="0.2">
      <c r="A511" s="369"/>
      <c r="B511" s="377" t="s">
        <v>326</v>
      </c>
      <c r="C511" s="371" t="s">
        <v>456</v>
      </c>
      <c r="D511" s="372">
        <v>20.25</v>
      </c>
      <c r="E511" s="180"/>
      <c r="F511" s="181"/>
      <c r="G511" s="218">
        <f t="shared" ref="G511" si="75">(D511*E511)+(D511*F511)</f>
        <v>0</v>
      </c>
      <c r="I511" s="139">
        <f>29.95*0.675</f>
        <v>20.216250000000002</v>
      </c>
      <c r="K511" s="139"/>
    </row>
    <row r="512" spans="1:15" ht="13.5" x14ac:dyDescent="0.2">
      <c r="A512" s="369"/>
      <c r="B512" s="377" t="s">
        <v>500</v>
      </c>
      <c r="C512" s="371" t="s">
        <v>456</v>
      </c>
      <c r="D512" s="372">
        <v>4.5</v>
      </c>
      <c r="E512" s="180"/>
      <c r="F512" s="181"/>
      <c r="G512" s="218">
        <f t="shared" ref="G512:G513" si="76">(D512*E512)+(D512*F512)</f>
        <v>0</v>
      </c>
      <c r="I512" s="139">
        <f>1.425*4.225*2</f>
        <v>12.04125</v>
      </c>
    </row>
    <row r="513" spans="1:14" ht="13.5" x14ac:dyDescent="0.2">
      <c r="A513" s="369"/>
      <c r="B513" s="377" t="s">
        <v>422</v>
      </c>
      <c r="C513" s="371" t="s">
        <v>456</v>
      </c>
      <c r="D513" s="372">
        <v>3.65</v>
      </c>
      <c r="E513" s="180"/>
      <c r="F513" s="181"/>
      <c r="G513" s="218">
        <f t="shared" si="76"/>
        <v>0</v>
      </c>
      <c r="I513" s="139"/>
    </row>
    <row r="514" spans="1:14" x14ac:dyDescent="0.2">
      <c r="A514" s="373" t="s">
        <v>151</v>
      </c>
      <c r="B514" s="374" t="s">
        <v>68</v>
      </c>
      <c r="C514" s="375"/>
      <c r="D514" s="376"/>
      <c r="E514" s="165"/>
      <c r="F514" s="166"/>
      <c r="G514" s="167">
        <f t="shared" ref="G514:G520" si="77">(D514*E514)+(D514*F514)</f>
        <v>0</v>
      </c>
    </row>
    <row r="515" spans="1:14" ht="13.5" x14ac:dyDescent="0.2">
      <c r="A515" s="369"/>
      <c r="B515" s="377" t="s">
        <v>323</v>
      </c>
      <c r="C515" s="371" t="s">
        <v>456</v>
      </c>
      <c r="D515" s="372">
        <v>205.85</v>
      </c>
      <c r="E515" s="180"/>
      <c r="F515" s="181"/>
      <c r="G515" s="218">
        <f t="shared" si="77"/>
        <v>0</v>
      </c>
      <c r="I515" s="28">
        <f>51.46*4</f>
        <v>205.84</v>
      </c>
      <c r="L515" s="28">
        <f>SUM(I515:K515)</f>
        <v>205.84</v>
      </c>
    </row>
    <row r="516" spans="1:14" ht="13.5" x14ac:dyDescent="0.2">
      <c r="A516" s="369"/>
      <c r="B516" s="377" t="s">
        <v>499</v>
      </c>
      <c r="C516" s="371" t="s">
        <v>456</v>
      </c>
      <c r="D516" s="372">
        <v>76.45</v>
      </c>
      <c r="E516" s="180"/>
      <c r="F516" s="181"/>
      <c r="G516" s="218">
        <f t="shared" si="77"/>
        <v>0</v>
      </c>
      <c r="I516" s="28">
        <f>32.2*1.9</f>
        <v>61.18</v>
      </c>
      <c r="J516" s="28">
        <f>8.5*1.35</f>
        <v>11.475000000000001</v>
      </c>
      <c r="K516" s="28">
        <f>1.5*1.65</f>
        <v>2.4749999999999996</v>
      </c>
      <c r="L516" s="28">
        <f>1.65*0.8</f>
        <v>1.32</v>
      </c>
      <c r="M516" s="28">
        <f>SUM(I516:L516)</f>
        <v>76.449999999999989</v>
      </c>
    </row>
    <row r="517" spans="1:14" ht="13.5" x14ac:dyDescent="0.2">
      <c r="A517" s="369"/>
      <c r="B517" s="377" t="s">
        <v>324</v>
      </c>
      <c r="C517" s="371" t="s">
        <v>456</v>
      </c>
      <c r="D517" s="372">
        <v>12.15</v>
      </c>
      <c r="E517" s="180"/>
      <c r="F517" s="181"/>
      <c r="G517" s="218">
        <f t="shared" si="77"/>
        <v>0</v>
      </c>
      <c r="I517" s="169">
        <f>4.05*3</f>
        <v>12.149999999999999</v>
      </c>
      <c r="N517" s="26"/>
    </row>
    <row r="518" spans="1:14" ht="13.5" x14ac:dyDescent="0.2">
      <c r="A518" s="369"/>
      <c r="B518" s="377" t="s">
        <v>325</v>
      </c>
      <c r="C518" s="371" t="s">
        <v>456</v>
      </c>
      <c r="D518" s="372">
        <v>18</v>
      </c>
      <c r="E518" s="180"/>
      <c r="F518" s="181"/>
      <c r="G518" s="218">
        <f t="shared" si="77"/>
        <v>0</v>
      </c>
      <c r="I518" s="139">
        <f>4.22*3.025</f>
        <v>12.765499999999999</v>
      </c>
      <c r="J518" s="28">
        <f>1.5*0.175*20</f>
        <v>5.2499999999999991</v>
      </c>
      <c r="K518" s="139">
        <f>SUM(I518:J518)</f>
        <v>18.015499999999999</v>
      </c>
      <c r="N518" s="26"/>
    </row>
    <row r="519" spans="1:14" ht="13.5" x14ac:dyDescent="0.2">
      <c r="A519" s="369"/>
      <c r="B519" s="377" t="s">
        <v>500</v>
      </c>
      <c r="C519" s="371" t="s">
        <v>456</v>
      </c>
      <c r="D519" s="372">
        <v>4.5</v>
      </c>
      <c r="E519" s="180"/>
      <c r="F519" s="181"/>
      <c r="G519" s="218">
        <f t="shared" si="77"/>
        <v>0</v>
      </c>
      <c r="I519" s="139">
        <f>1.5*1*3</f>
        <v>4.5</v>
      </c>
      <c r="K519" s="139"/>
    </row>
    <row r="520" spans="1:14" ht="13.5" x14ac:dyDescent="0.2">
      <c r="A520" s="369"/>
      <c r="B520" s="377" t="s">
        <v>422</v>
      </c>
      <c r="C520" s="371" t="s">
        <v>456</v>
      </c>
      <c r="D520" s="372">
        <v>3.65</v>
      </c>
      <c r="E520" s="180"/>
      <c r="F520" s="181"/>
      <c r="G520" s="218">
        <f t="shared" si="77"/>
        <v>0</v>
      </c>
      <c r="I520" s="139"/>
      <c r="K520" s="139"/>
    </row>
    <row r="521" spans="1:14" x14ac:dyDescent="0.2">
      <c r="A521" s="373" t="s">
        <v>57</v>
      </c>
      <c r="B521" s="374" t="s">
        <v>70</v>
      </c>
      <c r="C521" s="375"/>
      <c r="D521" s="376"/>
      <c r="E521" s="165"/>
      <c r="F521" s="166"/>
      <c r="G521" s="167">
        <f t="shared" ref="G521:G527" si="78">(D521*E521)+(D521*F521)</f>
        <v>0</v>
      </c>
      <c r="I521" s="139"/>
    </row>
    <row r="522" spans="1:14" ht="13.5" x14ac:dyDescent="0.2">
      <c r="A522" s="369"/>
      <c r="B522" s="377" t="s">
        <v>323</v>
      </c>
      <c r="C522" s="371" t="s">
        <v>456</v>
      </c>
      <c r="D522" s="372">
        <v>205.85</v>
      </c>
      <c r="E522" s="180"/>
      <c r="F522" s="181"/>
      <c r="G522" s="218">
        <f t="shared" si="78"/>
        <v>0</v>
      </c>
      <c r="I522" s="28">
        <f>51.46*4</f>
        <v>205.84</v>
      </c>
      <c r="L522" s="28">
        <f>SUM(I522:K522)</f>
        <v>205.84</v>
      </c>
    </row>
    <row r="523" spans="1:14" ht="13.5" x14ac:dyDescent="0.2">
      <c r="A523" s="369"/>
      <c r="B523" s="377" t="s">
        <v>499</v>
      </c>
      <c r="C523" s="371" t="s">
        <v>456</v>
      </c>
      <c r="D523" s="372">
        <v>76.45</v>
      </c>
      <c r="E523" s="180"/>
      <c r="F523" s="181"/>
      <c r="G523" s="218">
        <f t="shared" si="78"/>
        <v>0</v>
      </c>
      <c r="I523" s="28">
        <f>32.2*1.9</f>
        <v>61.18</v>
      </c>
      <c r="J523" s="28">
        <f>8.5*1.35</f>
        <v>11.475000000000001</v>
      </c>
      <c r="K523" s="28">
        <f>1.5*1.65</f>
        <v>2.4749999999999996</v>
      </c>
      <c r="L523" s="28">
        <f>1.65*0.8</f>
        <v>1.32</v>
      </c>
      <c r="M523" s="28">
        <f>SUM(I523:L523)</f>
        <v>76.449999999999989</v>
      </c>
    </row>
    <row r="524" spans="1:14" ht="13.5" x14ac:dyDescent="0.2">
      <c r="A524" s="369"/>
      <c r="B524" s="377" t="s">
        <v>324</v>
      </c>
      <c r="C524" s="371" t="s">
        <v>456</v>
      </c>
      <c r="D524" s="372">
        <v>12.15</v>
      </c>
      <c r="E524" s="180"/>
      <c r="F524" s="181"/>
      <c r="G524" s="218">
        <f t="shared" si="78"/>
        <v>0</v>
      </c>
      <c r="I524" s="169">
        <f>4.05*3</f>
        <v>12.149999999999999</v>
      </c>
    </row>
    <row r="525" spans="1:14" ht="13.5" x14ac:dyDescent="0.2">
      <c r="A525" s="369"/>
      <c r="B525" s="377" t="s">
        <v>325</v>
      </c>
      <c r="C525" s="371" t="s">
        <v>456</v>
      </c>
      <c r="D525" s="372">
        <v>18</v>
      </c>
      <c r="E525" s="180"/>
      <c r="F525" s="181"/>
      <c r="G525" s="218">
        <f t="shared" si="78"/>
        <v>0</v>
      </c>
      <c r="I525" s="139">
        <f>4.22*3.025</f>
        <v>12.765499999999999</v>
      </c>
      <c r="J525" s="28">
        <f>1.5*0.175*20</f>
        <v>5.2499999999999991</v>
      </c>
      <c r="K525" s="139">
        <f>SUM(I525:J525)</f>
        <v>18.015499999999999</v>
      </c>
    </row>
    <row r="526" spans="1:14" ht="13.5" x14ac:dyDescent="0.2">
      <c r="A526" s="369"/>
      <c r="B526" s="377" t="s">
        <v>500</v>
      </c>
      <c r="C526" s="371" t="s">
        <v>456</v>
      </c>
      <c r="D526" s="372">
        <v>4.5</v>
      </c>
      <c r="E526" s="180"/>
      <c r="F526" s="181"/>
      <c r="G526" s="218">
        <f t="shared" si="78"/>
        <v>0</v>
      </c>
      <c r="I526" s="139">
        <f>1.5*1*3</f>
        <v>4.5</v>
      </c>
      <c r="K526" s="139"/>
    </row>
    <row r="527" spans="1:14" ht="13.5" x14ac:dyDescent="0.2">
      <c r="A527" s="369"/>
      <c r="B527" s="377" t="s">
        <v>422</v>
      </c>
      <c r="C527" s="371" t="s">
        <v>456</v>
      </c>
      <c r="D527" s="372">
        <v>3.65</v>
      </c>
      <c r="E527" s="180"/>
      <c r="F527" s="181"/>
      <c r="G527" s="218">
        <f t="shared" si="78"/>
        <v>0</v>
      </c>
      <c r="I527" s="139"/>
      <c r="K527" s="139"/>
    </row>
    <row r="528" spans="1:14" x14ac:dyDescent="0.2">
      <c r="A528" s="369"/>
      <c r="B528" s="377"/>
      <c r="C528" s="371"/>
      <c r="D528" s="372"/>
      <c r="E528" s="180"/>
      <c r="F528" s="181"/>
      <c r="G528" s="218"/>
    </row>
    <row r="529" spans="1:17" x14ac:dyDescent="0.2">
      <c r="A529" s="211" t="s">
        <v>144</v>
      </c>
      <c r="B529" s="212" t="s">
        <v>145</v>
      </c>
      <c r="C529" s="219"/>
      <c r="D529" s="220"/>
      <c r="E529" s="215"/>
      <c r="F529" s="216"/>
      <c r="G529" s="217"/>
    </row>
    <row r="530" spans="1:17" ht="48" customHeight="1" x14ac:dyDescent="0.2">
      <c r="A530" s="194"/>
      <c r="B530" s="62" t="s">
        <v>230</v>
      </c>
      <c r="C530" s="62"/>
      <c r="D530" s="62"/>
      <c r="E530" s="62"/>
      <c r="F530" s="62"/>
      <c r="G530" s="160"/>
    </row>
    <row r="531" spans="1:17" ht="24.75" customHeight="1" x14ac:dyDescent="0.2">
      <c r="A531" s="221"/>
      <c r="B531" s="62" t="s">
        <v>231</v>
      </c>
      <c r="C531" s="62"/>
      <c r="D531" s="62"/>
      <c r="E531" s="62"/>
      <c r="F531" s="62"/>
      <c r="G531" s="160"/>
    </row>
    <row r="532" spans="1:17" ht="50.25" customHeight="1" x14ac:dyDescent="0.2">
      <c r="A532" s="221"/>
      <c r="B532" s="62" t="s">
        <v>567</v>
      </c>
      <c r="C532" s="62"/>
      <c r="D532" s="62"/>
      <c r="E532" s="62"/>
      <c r="F532" s="62"/>
      <c r="G532" s="160"/>
    </row>
    <row r="533" spans="1:17" ht="50.25" customHeight="1" x14ac:dyDescent="0.2">
      <c r="A533" s="221"/>
      <c r="B533" s="62" t="s">
        <v>327</v>
      </c>
      <c r="C533" s="62"/>
      <c r="D533" s="62"/>
      <c r="E533" s="62"/>
      <c r="F533" s="62"/>
      <c r="G533" s="160"/>
    </row>
    <row r="534" spans="1:17" x14ac:dyDescent="0.2">
      <c r="A534" s="373" t="s">
        <v>150</v>
      </c>
      <c r="B534" s="374" t="s">
        <v>66</v>
      </c>
      <c r="C534" s="375"/>
      <c r="D534" s="376"/>
      <c r="E534" s="222"/>
      <c r="F534" s="166"/>
      <c r="G534" s="167"/>
    </row>
    <row r="535" spans="1:17" x14ac:dyDescent="0.2">
      <c r="A535" s="369" t="s">
        <v>232</v>
      </c>
      <c r="B535" s="378" t="s">
        <v>226</v>
      </c>
      <c r="C535" s="371"/>
      <c r="D535" s="372"/>
      <c r="E535" s="180"/>
      <c r="F535" s="181"/>
      <c r="G535" s="218"/>
      <c r="I535" s="223"/>
      <c r="J535" s="224"/>
      <c r="K535" s="225"/>
    </row>
    <row r="536" spans="1:17" x14ac:dyDescent="0.2">
      <c r="A536" s="369" t="s">
        <v>163</v>
      </c>
      <c r="B536" s="378" t="s">
        <v>568</v>
      </c>
      <c r="C536" s="371"/>
      <c r="D536" s="372"/>
      <c r="E536" s="180"/>
      <c r="F536" s="181"/>
      <c r="G536" s="218"/>
      <c r="I536" s="223"/>
      <c r="J536" s="224"/>
      <c r="K536" s="225"/>
    </row>
    <row r="537" spans="1:17" ht="13.5" x14ac:dyDescent="0.2">
      <c r="A537" s="369"/>
      <c r="B537" s="377" t="s">
        <v>323</v>
      </c>
      <c r="C537" s="371" t="s">
        <v>456</v>
      </c>
      <c r="D537" s="372">
        <f>D507</f>
        <v>205.85</v>
      </c>
      <c r="E537" s="180"/>
      <c r="F537" s="181"/>
      <c r="G537" s="218">
        <f t="shared" ref="G537" si="79">(D537*E537)+(D537*F537)</f>
        <v>0</v>
      </c>
      <c r="I537" s="223"/>
      <c r="J537" s="224"/>
      <c r="K537" s="225"/>
    </row>
    <row r="538" spans="1:17" ht="14.25" thickBot="1" x14ac:dyDescent="0.25">
      <c r="A538" s="379"/>
      <c r="B538" s="380" t="s">
        <v>324</v>
      </c>
      <c r="C538" s="381" t="s">
        <v>456</v>
      </c>
      <c r="D538" s="382">
        <v>21.05</v>
      </c>
      <c r="E538" s="184"/>
      <c r="F538" s="185"/>
      <c r="G538" s="226">
        <f t="shared" ref="G538" si="80">(D538*E538)+(D538*F538)</f>
        <v>0</v>
      </c>
      <c r="I538" s="223"/>
      <c r="J538" s="224"/>
      <c r="K538" s="225"/>
    </row>
    <row r="539" spans="1:17" x14ac:dyDescent="0.2">
      <c r="A539" s="369"/>
      <c r="B539" s="377"/>
      <c r="C539" s="371"/>
      <c r="D539" s="372"/>
      <c r="E539" s="180"/>
      <c r="F539" s="181"/>
      <c r="G539" s="218"/>
      <c r="I539" s="223"/>
      <c r="J539" s="224"/>
      <c r="K539" s="225"/>
    </row>
    <row r="540" spans="1:17" x14ac:dyDescent="0.2">
      <c r="A540" s="369" t="s">
        <v>164</v>
      </c>
      <c r="B540" s="378" t="s">
        <v>569</v>
      </c>
      <c r="C540" s="371"/>
      <c r="D540" s="372"/>
      <c r="E540" s="180"/>
      <c r="F540" s="181"/>
      <c r="G540" s="218"/>
      <c r="I540" s="223"/>
      <c r="J540" s="224"/>
      <c r="K540" s="225"/>
    </row>
    <row r="541" spans="1:17" ht="13.5" x14ac:dyDescent="0.2">
      <c r="A541" s="369"/>
      <c r="B541" s="377" t="s">
        <v>502</v>
      </c>
      <c r="C541" s="371" t="s">
        <v>456</v>
      </c>
      <c r="D541" s="372">
        <f>D508</f>
        <v>79.7</v>
      </c>
      <c r="E541" s="180"/>
      <c r="F541" s="181"/>
      <c r="G541" s="218">
        <f t="shared" ref="G541" si="81">(D541*E541)+(D541*F541)</f>
        <v>0</v>
      </c>
      <c r="I541" s="223"/>
      <c r="J541" s="224"/>
      <c r="K541" s="225"/>
      <c r="M541" s="169"/>
      <c r="O541" s="169"/>
      <c r="Q541" s="169"/>
    </row>
    <row r="542" spans="1:17" x14ac:dyDescent="0.2">
      <c r="A542" s="369" t="s">
        <v>175</v>
      </c>
      <c r="B542" s="378" t="s">
        <v>570</v>
      </c>
      <c r="C542" s="371"/>
      <c r="D542" s="372"/>
      <c r="E542" s="180"/>
      <c r="F542" s="181"/>
      <c r="G542" s="218"/>
    </row>
    <row r="543" spans="1:17" ht="13.5" x14ac:dyDescent="0.2">
      <c r="A543" s="369"/>
      <c r="B543" s="377" t="s">
        <v>253</v>
      </c>
      <c r="C543" s="371" t="s">
        <v>456</v>
      </c>
      <c r="D543" s="372">
        <f>D510</f>
        <v>19.8</v>
      </c>
      <c r="E543" s="180"/>
      <c r="F543" s="181"/>
      <c r="G543" s="218">
        <f t="shared" ref="G543" si="82">(D543*E543)+(D543*F543)</f>
        <v>0</v>
      </c>
      <c r="I543" s="28">
        <f>2.1*1.8</f>
        <v>3.7800000000000002</v>
      </c>
      <c r="J543" s="28">
        <f>0.9*0.18*17</f>
        <v>2.754</v>
      </c>
      <c r="K543" s="28">
        <f>SUM(I543:J543)</f>
        <v>6.5340000000000007</v>
      </c>
    </row>
    <row r="544" spans="1:17" ht="13.5" x14ac:dyDescent="0.2">
      <c r="A544" s="369"/>
      <c r="B544" s="377" t="s">
        <v>326</v>
      </c>
      <c r="C544" s="371" t="s">
        <v>456</v>
      </c>
      <c r="D544" s="372">
        <f>D511</f>
        <v>20.25</v>
      </c>
      <c r="E544" s="180"/>
      <c r="F544" s="181"/>
      <c r="G544" s="218">
        <f t="shared" ref="G544" si="83">(D544*E544)+(D544*F544)</f>
        <v>0</v>
      </c>
    </row>
    <row r="545" spans="1:17" x14ac:dyDescent="0.2">
      <c r="A545" s="369" t="s">
        <v>176</v>
      </c>
      <c r="B545" s="378" t="s">
        <v>246</v>
      </c>
      <c r="C545" s="371"/>
      <c r="D545" s="372"/>
      <c r="E545" s="180"/>
      <c r="F545" s="181"/>
      <c r="G545" s="218"/>
    </row>
    <row r="546" spans="1:17" ht="13.5" x14ac:dyDescent="0.2">
      <c r="A546" s="369"/>
      <c r="B546" s="377" t="s">
        <v>501</v>
      </c>
      <c r="C546" s="371" t="s">
        <v>456</v>
      </c>
      <c r="D546" s="372">
        <f>D512</f>
        <v>4.5</v>
      </c>
      <c r="E546" s="180"/>
      <c r="F546" s="181"/>
      <c r="G546" s="218">
        <f t="shared" ref="G546" si="84">(D546*E546)+(D546*F546)</f>
        <v>0</v>
      </c>
    </row>
    <row r="547" spans="1:17" ht="13.5" x14ac:dyDescent="0.2">
      <c r="A547" s="369"/>
      <c r="B547" s="377" t="s">
        <v>422</v>
      </c>
      <c r="C547" s="371" t="s">
        <v>456</v>
      </c>
      <c r="D547" s="372">
        <v>3.65</v>
      </c>
      <c r="E547" s="180"/>
      <c r="F547" s="181"/>
      <c r="G547" s="218">
        <f t="shared" ref="G547" si="85">(D547*E547)+(D547*F547)</f>
        <v>0</v>
      </c>
      <c r="I547" s="28">
        <f>2.45*1.5</f>
        <v>3.6750000000000003</v>
      </c>
    </row>
    <row r="548" spans="1:17" x14ac:dyDescent="0.2">
      <c r="A548" s="369" t="s">
        <v>233</v>
      </c>
      <c r="B548" s="378" t="s">
        <v>227</v>
      </c>
      <c r="C548" s="371"/>
      <c r="D548" s="372"/>
      <c r="E548" s="180"/>
      <c r="F548" s="181"/>
      <c r="G548" s="218"/>
      <c r="I548" s="223"/>
      <c r="J548" s="224"/>
      <c r="K548" s="225"/>
      <c r="L548" s="227"/>
      <c r="M548" s="228"/>
      <c r="N548" s="228"/>
      <c r="O548" s="228"/>
      <c r="P548" s="229"/>
    </row>
    <row r="549" spans="1:17" ht="37.5" customHeight="1" x14ac:dyDescent="0.2">
      <c r="A549" s="369"/>
      <c r="B549" s="378" t="s">
        <v>247</v>
      </c>
      <c r="C549" s="371"/>
      <c r="D549" s="372"/>
      <c r="E549" s="180"/>
      <c r="F549" s="181"/>
      <c r="G549" s="218"/>
      <c r="I549" s="230"/>
      <c r="J549" s="231"/>
      <c r="K549" s="232"/>
      <c r="L549" s="233"/>
      <c r="M549" s="234"/>
      <c r="N549" s="234"/>
      <c r="O549" s="234"/>
      <c r="P549" s="234"/>
    </row>
    <row r="550" spans="1:17" ht="13.5" x14ac:dyDescent="0.2">
      <c r="A550" s="369"/>
      <c r="B550" s="377" t="s">
        <v>503</v>
      </c>
      <c r="C550" s="371" t="s">
        <v>456</v>
      </c>
      <c r="D550" s="372">
        <v>35.6</v>
      </c>
      <c r="E550" s="180"/>
      <c r="F550" s="181"/>
      <c r="G550" s="218">
        <f t="shared" ref="G550:G552" si="86">(D550*E550)+(D550*F550)</f>
        <v>0</v>
      </c>
      <c r="I550" s="139">
        <f>1.5*6+1*6</f>
        <v>15</v>
      </c>
      <c r="J550" s="169">
        <f>I550*2.3</f>
        <v>34.5</v>
      </c>
      <c r="K550" s="169">
        <f>0.6*1.8*3</f>
        <v>3.24</v>
      </c>
      <c r="L550" s="139">
        <f>J550-K550</f>
        <v>31.259999999999998</v>
      </c>
      <c r="M550" s="169"/>
      <c r="N550" s="169"/>
      <c r="P550" s="169"/>
      <c r="Q550" s="169"/>
    </row>
    <row r="551" spans="1:17" ht="13.5" x14ac:dyDescent="0.2">
      <c r="A551" s="369"/>
      <c r="B551" s="377" t="s">
        <v>408</v>
      </c>
      <c r="C551" s="371" t="s">
        <v>456</v>
      </c>
      <c r="D551" s="372">
        <v>15.2</v>
      </c>
      <c r="E551" s="180"/>
      <c r="F551" s="181"/>
      <c r="G551" s="218">
        <f t="shared" si="86"/>
        <v>0</v>
      </c>
      <c r="I551" s="139">
        <f>1.65*2+1.5</f>
        <v>4.8</v>
      </c>
      <c r="J551" s="169">
        <f>I551*2.3</f>
        <v>11.04</v>
      </c>
      <c r="K551" s="169">
        <f>1.5*1.05</f>
        <v>1.5750000000000002</v>
      </c>
      <c r="L551" s="139">
        <f>SUM(J551:K551)</f>
        <v>12.614999999999998</v>
      </c>
      <c r="M551" s="169"/>
      <c r="N551" s="169"/>
      <c r="P551" s="169"/>
      <c r="Q551" s="169"/>
    </row>
    <row r="552" spans="1:17" ht="13.5" x14ac:dyDescent="0.2">
      <c r="A552" s="369"/>
      <c r="B552" s="377" t="s">
        <v>423</v>
      </c>
      <c r="C552" s="371" t="s">
        <v>456</v>
      </c>
      <c r="D552" s="372">
        <v>22.25</v>
      </c>
      <c r="E552" s="180"/>
      <c r="F552" s="181"/>
      <c r="G552" s="218">
        <f t="shared" si="86"/>
        <v>0</v>
      </c>
      <c r="I552" s="139">
        <f>3.45+7.85+2.75</f>
        <v>14.05</v>
      </c>
      <c r="J552" s="169">
        <f>I552*2.3</f>
        <v>32.314999999999998</v>
      </c>
      <c r="K552" s="169">
        <f>0.6*1.8*4</f>
        <v>4.32</v>
      </c>
      <c r="L552" s="139">
        <f>J552-K552</f>
        <v>27.994999999999997</v>
      </c>
      <c r="M552" s="169"/>
      <c r="N552" s="169"/>
      <c r="P552" s="169"/>
      <c r="Q552" s="169"/>
    </row>
    <row r="553" spans="1:17" x14ac:dyDescent="0.2">
      <c r="A553" s="369" t="s">
        <v>234</v>
      </c>
      <c r="B553" s="378" t="s">
        <v>229</v>
      </c>
      <c r="C553" s="371"/>
      <c r="D553" s="372"/>
      <c r="E553" s="180"/>
      <c r="F553" s="181"/>
      <c r="G553" s="218"/>
      <c r="I553" s="223"/>
      <c r="J553" s="224"/>
      <c r="K553" s="225"/>
      <c r="L553" s="225"/>
    </row>
    <row r="554" spans="1:17" x14ac:dyDescent="0.2">
      <c r="A554" s="369" t="s">
        <v>163</v>
      </c>
      <c r="B554" s="377" t="s">
        <v>572</v>
      </c>
      <c r="C554" s="371" t="s">
        <v>125</v>
      </c>
      <c r="D554" s="372">
        <v>234</v>
      </c>
      <c r="E554" s="180"/>
      <c r="F554" s="181"/>
      <c r="G554" s="218">
        <f t="shared" ref="G554" si="87">(D554*E554)+(D554*F554)</f>
        <v>0</v>
      </c>
      <c r="I554" s="28">
        <v>234</v>
      </c>
      <c r="J554" s="28">
        <f>0.95*5</f>
        <v>4.75</v>
      </c>
      <c r="M554" s="28">
        <f>I554-L554</f>
        <v>234</v>
      </c>
    </row>
    <row r="555" spans="1:17" x14ac:dyDescent="0.2">
      <c r="A555" s="369"/>
      <c r="B555" s="377"/>
      <c r="C555" s="371"/>
      <c r="D555" s="372"/>
      <c r="E555" s="180"/>
      <c r="F555" s="181"/>
      <c r="G555" s="218"/>
    </row>
    <row r="556" spans="1:17" x14ac:dyDescent="0.2">
      <c r="A556" s="373" t="s">
        <v>151</v>
      </c>
      <c r="B556" s="374" t="s">
        <v>68</v>
      </c>
      <c r="C556" s="375"/>
      <c r="D556" s="376"/>
      <c r="E556" s="222"/>
      <c r="F556" s="166"/>
      <c r="G556" s="167"/>
    </row>
    <row r="557" spans="1:17" x14ac:dyDescent="0.2">
      <c r="A557" s="369" t="s">
        <v>232</v>
      </c>
      <c r="B557" s="378" t="s">
        <v>226</v>
      </c>
      <c r="C557" s="371"/>
      <c r="D557" s="372"/>
      <c r="E557" s="180"/>
      <c r="F557" s="181"/>
      <c r="G557" s="218"/>
    </row>
    <row r="558" spans="1:17" x14ac:dyDescent="0.2">
      <c r="A558" s="369" t="s">
        <v>163</v>
      </c>
      <c r="B558" s="378" t="s">
        <v>568</v>
      </c>
      <c r="C558" s="371"/>
      <c r="D558" s="372"/>
      <c r="E558" s="180"/>
      <c r="F558" s="181"/>
      <c r="G558" s="218"/>
      <c r="I558" s="28">
        <f>12.5+2.95+3.05+3.05+2.95</f>
        <v>24.5</v>
      </c>
    </row>
    <row r="559" spans="1:17" ht="13.5" x14ac:dyDescent="0.2">
      <c r="A559" s="369"/>
      <c r="B559" s="377" t="s">
        <v>323</v>
      </c>
      <c r="C559" s="371" t="s">
        <v>456</v>
      </c>
      <c r="D559" s="372">
        <v>205.85</v>
      </c>
      <c r="E559" s="180"/>
      <c r="F559" s="181"/>
      <c r="G559" s="218">
        <f t="shared" ref="G559:G560" si="88">(D559*E559)+(D559*F559)</f>
        <v>0</v>
      </c>
      <c r="I559" s="28">
        <v>28.7</v>
      </c>
    </row>
    <row r="560" spans="1:17" ht="12" customHeight="1" x14ac:dyDescent="0.2">
      <c r="A560" s="369"/>
      <c r="B560" s="377" t="s">
        <v>324</v>
      </c>
      <c r="C560" s="371" t="s">
        <v>456</v>
      </c>
      <c r="D560" s="372">
        <v>12.15</v>
      </c>
      <c r="E560" s="180"/>
      <c r="F560" s="181"/>
      <c r="G560" s="218">
        <f t="shared" si="88"/>
        <v>0</v>
      </c>
      <c r="I560" s="28">
        <v>19.7</v>
      </c>
    </row>
    <row r="561" spans="1:13" x14ac:dyDescent="0.2">
      <c r="A561" s="369" t="s">
        <v>164</v>
      </c>
      <c r="B561" s="378" t="s">
        <v>571</v>
      </c>
      <c r="C561" s="371"/>
      <c r="D561" s="372"/>
      <c r="E561" s="180"/>
      <c r="F561" s="181"/>
      <c r="G561" s="218"/>
    </row>
    <row r="562" spans="1:13" ht="13.5" x14ac:dyDescent="0.2">
      <c r="A562" s="369"/>
      <c r="B562" s="377" t="s">
        <v>502</v>
      </c>
      <c r="C562" s="371" t="s">
        <v>456</v>
      </c>
      <c r="D562" s="372">
        <v>76.45</v>
      </c>
      <c r="E562" s="180"/>
      <c r="F562" s="181"/>
      <c r="G562" s="218">
        <f t="shared" ref="G562" si="89">(D562*E562)+(D562*F562)</f>
        <v>0</v>
      </c>
      <c r="I562" s="28">
        <f>19.1*1.85</f>
        <v>35.335000000000001</v>
      </c>
      <c r="J562" s="28">
        <f>4.28*3.2</f>
        <v>13.696000000000002</v>
      </c>
      <c r="K562" s="28">
        <f>SUM(I562:J562)</f>
        <v>49.031000000000006</v>
      </c>
    </row>
    <row r="563" spans="1:13" x14ac:dyDescent="0.2">
      <c r="A563" s="369" t="s">
        <v>175</v>
      </c>
      <c r="B563" s="378" t="s">
        <v>246</v>
      </c>
      <c r="C563" s="371"/>
      <c r="D563" s="372"/>
      <c r="E563" s="180"/>
      <c r="F563" s="181"/>
      <c r="G563" s="218"/>
    </row>
    <row r="564" spans="1:13" ht="13.5" x14ac:dyDescent="0.2">
      <c r="A564" s="369"/>
      <c r="B564" s="377" t="s">
        <v>421</v>
      </c>
      <c r="C564" s="371" t="s">
        <v>456</v>
      </c>
      <c r="D564" s="372">
        <v>4.5</v>
      </c>
      <c r="E564" s="180"/>
      <c r="F564" s="181"/>
      <c r="G564" s="218">
        <f t="shared" ref="G564:G565" si="90">(D564*E564)+(D564*F564)</f>
        <v>0</v>
      </c>
    </row>
    <row r="565" spans="1:13" ht="13.5" x14ac:dyDescent="0.2">
      <c r="A565" s="369"/>
      <c r="B565" s="377" t="s">
        <v>422</v>
      </c>
      <c r="C565" s="371" t="s">
        <v>456</v>
      </c>
      <c r="D565" s="372">
        <v>3.65</v>
      </c>
      <c r="E565" s="180"/>
      <c r="F565" s="181"/>
      <c r="G565" s="218">
        <f t="shared" si="90"/>
        <v>0</v>
      </c>
    </row>
    <row r="566" spans="1:13" x14ac:dyDescent="0.2">
      <c r="A566" s="369" t="s">
        <v>233</v>
      </c>
      <c r="B566" s="378" t="s">
        <v>227</v>
      </c>
      <c r="C566" s="371"/>
      <c r="D566" s="372"/>
      <c r="E566" s="180"/>
      <c r="F566" s="181"/>
      <c r="G566" s="218"/>
    </row>
    <row r="567" spans="1:13" ht="56.25" customHeight="1" x14ac:dyDescent="0.2">
      <c r="A567" s="369"/>
      <c r="B567" s="378" t="s">
        <v>504</v>
      </c>
      <c r="C567" s="371"/>
      <c r="D567" s="372"/>
      <c r="E567" s="180"/>
      <c r="F567" s="181"/>
      <c r="G567" s="218"/>
    </row>
    <row r="568" spans="1:13" ht="13.5" x14ac:dyDescent="0.2">
      <c r="A568" s="369"/>
      <c r="B568" s="377" t="s">
        <v>503</v>
      </c>
      <c r="C568" s="371" t="s">
        <v>456</v>
      </c>
      <c r="D568" s="372">
        <v>35.6</v>
      </c>
      <c r="E568" s="180"/>
      <c r="F568" s="181"/>
      <c r="G568" s="218">
        <f t="shared" ref="G568:G570" si="91">(D568*E568)+(D568*F568)</f>
        <v>0</v>
      </c>
      <c r="I568" s="28">
        <f>1.5*6+1*2*3</f>
        <v>15</v>
      </c>
      <c r="J568" s="28">
        <f>I568*2.6</f>
        <v>39</v>
      </c>
      <c r="K568" s="28">
        <f>0.6*1.9*3</f>
        <v>3.42</v>
      </c>
      <c r="L568" s="28">
        <f>J568-K568</f>
        <v>35.58</v>
      </c>
    </row>
    <row r="569" spans="1:13" ht="13.5" x14ac:dyDescent="0.2">
      <c r="A569" s="369"/>
      <c r="B569" s="377" t="s">
        <v>408</v>
      </c>
      <c r="C569" s="371" t="s">
        <v>456</v>
      </c>
      <c r="D569" s="372">
        <v>15.2</v>
      </c>
      <c r="E569" s="180"/>
      <c r="F569" s="181"/>
      <c r="G569" s="218">
        <f t="shared" si="91"/>
        <v>0</v>
      </c>
      <c r="I569" s="28">
        <f>1.65*2+1.5</f>
        <v>4.8</v>
      </c>
      <c r="J569" s="169">
        <f>I569*2.6</f>
        <v>12.48</v>
      </c>
      <c r="K569" s="28">
        <f>1.8*1.5</f>
        <v>2.7</v>
      </c>
      <c r="L569" s="169">
        <f>SUM(J569:K569)</f>
        <v>15.18</v>
      </c>
    </row>
    <row r="570" spans="1:13" ht="13.5" x14ac:dyDescent="0.2">
      <c r="A570" s="369"/>
      <c r="B570" s="377" t="s">
        <v>423</v>
      </c>
      <c r="C570" s="371" t="s">
        <v>456</v>
      </c>
      <c r="D570" s="372">
        <v>22.25</v>
      </c>
      <c r="E570" s="180"/>
      <c r="F570" s="181"/>
      <c r="G570" s="218">
        <f t="shared" si="91"/>
        <v>0</v>
      </c>
      <c r="I570" s="28">
        <f>3.45+5.1</f>
        <v>8.5500000000000007</v>
      </c>
      <c r="J570" s="169">
        <f>I570*2.6</f>
        <v>22.230000000000004</v>
      </c>
    </row>
    <row r="571" spans="1:13" x14ac:dyDescent="0.2">
      <c r="A571" s="369" t="s">
        <v>234</v>
      </c>
      <c r="B571" s="378" t="s">
        <v>228</v>
      </c>
      <c r="C571" s="371"/>
      <c r="D571" s="372"/>
      <c r="E571" s="180"/>
      <c r="F571" s="181"/>
      <c r="G571" s="218"/>
    </row>
    <row r="572" spans="1:13" x14ac:dyDescent="0.2">
      <c r="A572" s="369" t="s">
        <v>163</v>
      </c>
      <c r="B572" s="378" t="s">
        <v>573</v>
      </c>
      <c r="C572" s="371"/>
      <c r="D572" s="372"/>
      <c r="E572" s="180"/>
      <c r="F572" s="181"/>
      <c r="G572" s="218"/>
    </row>
    <row r="573" spans="1:13" ht="13.5" x14ac:dyDescent="0.2">
      <c r="A573" s="369"/>
      <c r="B573" s="377" t="s">
        <v>253</v>
      </c>
      <c r="C573" s="371" t="s">
        <v>456</v>
      </c>
      <c r="D573" s="372">
        <v>18</v>
      </c>
      <c r="E573" s="180"/>
      <c r="F573" s="181"/>
      <c r="G573" s="218">
        <f t="shared" ref="G573" si="92">(D573*E573)+(D573*F573)</f>
        <v>0</v>
      </c>
    </row>
    <row r="574" spans="1:13" x14ac:dyDescent="0.2">
      <c r="A574" s="369" t="s">
        <v>235</v>
      </c>
      <c r="B574" s="378" t="s">
        <v>229</v>
      </c>
      <c r="C574" s="371"/>
      <c r="D574" s="372"/>
      <c r="E574" s="180"/>
      <c r="F574" s="181"/>
      <c r="G574" s="218"/>
    </row>
    <row r="575" spans="1:13" x14ac:dyDescent="0.2">
      <c r="A575" s="369" t="s">
        <v>163</v>
      </c>
      <c r="B575" s="377" t="s">
        <v>574</v>
      </c>
      <c r="C575" s="371" t="s">
        <v>125</v>
      </c>
      <c r="D575" s="372">
        <v>238</v>
      </c>
      <c r="E575" s="180"/>
      <c r="F575" s="181"/>
      <c r="G575" s="218">
        <f t="shared" ref="G575" si="93">(D575*E575)+(D575*F575)</f>
        <v>0</v>
      </c>
      <c r="I575" s="28">
        <v>240</v>
      </c>
      <c r="J575" s="28">
        <f>19.1+4</f>
        <v>23.1</v>
      </c>
      <c r="K575" s="28">
        <f>I575+J575</f>
        <v>263.10000000000002</v>
      </c>
      <c r="L575" s="28">
        <f>0.95*5</f>
        <v>4.75</v>
      </c>
      <c r="M575" s="28">
        <f>K575-L575</f>
        <v>258.35000000000002</v>
      </c>
    </row>
    <row r="576" spans="1:13" x14ac:dyDescent="0.2">
      <c r="A576" s="369"/>
      <c r="B576" s="377"/>
      <c r="C576" s="371"/>
      <c r="D576" s="372"/>
      <c r="E576" s="180"/>
      <c r="F576" s="181"/>
      <c r="G576" s="218"/>
    </row>
    <row r="577" spans="1:7" x14ac:dyDescent="0.2">
      <c r="A577" s="373" t="s">
        <v>57</v>
      </c>
      <c r="B577" s="374" t="s">
        <v>70</v>
      </c>
      <c r="C577" s="375"/>
      <c r="D577" s="376"/>
      <c r="E577" s="222"/>
      <c r="F577" s="166"/>
      <c r="G577" s="167"/>
    </row>
    <row r="578" spans="1:7" x14ac:dyDescent="0.2">
      <c r="A578" s="369" t="s">
        <v>232</v>
      </c>
      <c r="B578" s="378" t="s">
        <v>226</v>
      </c>
      <c r="C578" s="371"/>
      <c r="D578" s="372"/>
      <c r="E578" s="180"/>
      <c r="F578" s="181"/>
      <c r="G578" s="218"/>
    </row>
    <row r="579" spans="1:7" x14ac:dyDescent="0.2">
      <c r="A579" s="369" t="s">
        <v>163</v>
      </c>
      <c r="B579" s="378" t="s">
        <v>568</v>
      </c>
      <c r="C579" s="371"/>
      <c r="D579" s="372"/>
      <c r="E579" s="180"/>
      <c r="F579" s="181"/>
      <c r="G579" s="218"/>
    </row>
    <row r="580" spans="1:7" ht="13.5" x14ac:dyDescent="0.2">
      <c r="A580" s="369"/>
      <c r="B580" s="377" t="s">
        <v>323</v>
      </c>
      <c r="C580" s="371" t="s">
        <v>456</v>
      </c>
      <c r="D580" s="372">
        <v>205.85</v>
      </c>
      <c r="E580" s="180"/>
      <c r="F580" s="181"/>
      <c r="G580" s="218">
        <f t="shared" ref="G580" si="94">(D580*E580)+(D580*F580)</f>
        <v>0</v>
      </c>
    </row>
    <row r="581" spans="1:7" x14ac:dyDescent="0.2">
      <c r="A581" s="369" t="s">
        <v>164</v>
      </c>
      <c r="B581" s="378" t="s">
        <v>571</v>
      </c>
      <c r="C581" s="371"/>
      <c r="D581" s="372"/>
      <c r="E581" s="180"/>
      <c r="F581" s="181"/>
      <c r="G581" s="218"/>
    </row>
    <row r="582" spans="1:7" ht="13.5" x14ac:dyDescent="0.2">
      <c r="A582" s="369"/>
      <c r="B582" s="377" t="s">
        <v>502</v>
      </c>
      <c r="C582" s="371" t="s">
        <v>456</v>
      </c>
      <c r="D582" s="372">
        <v>76.45</v>
      </c>
      <c r="E582" s="180"/>
      <c r="F582" s="181"/>
      <c r="G582" s="218">
        <f t="shared" ref="G582" si="95">(D582*E582)+(D582*F582)</f>
        <v>0</v>
      </c>
    </row>
    <row r="583" spans="1:7" x14ac:dyDescent="0.2">
      <c r="A583" s="369" t="s">
        <v>175</v>
      </c>
      <c r="B583" s="378" t="s">
        <v>246</v>
      </c>
      <c r="C583" s="371"/>
      <c r="D583" s="372"/>
      <c r="E583" s="180"/>
      <c r="F583" s="181"/>
      <c r="G583" s="218"/>
    </row>
    <row r="584" spans="1:7" ht="13.5" x14ac:dyDescent="0.2">
      <c r="A584" s="369"/>
      <c r="B584" s="377" t="s">
        <v>421</v>
      </c>
      <c r="C584" s="371" t="s">
        <v>456</v>
      </c>
      <c r="D584" s="372">
        <v>4.5</v>
      </c>
      <c r="E584" s="180"/>
      <c r="F584" s="181"/>
      <c r="G584" s="218">
        <f t="shared" ref="G584:G585" si="96">(D584*E584)+(D584*F584)</f>
        <v>0</v>
      </c>
    </row>
    <row r="585" spans="1:7" ht="13.5" x14ac:dyDescent="0.2">
      <c r="A585" s="369"/>
      <c r="B585" s="377" t="s">
        <v>422</v>
      </c>
      <c r="C585" s="371" t="s">
        <v>456</v>
      </c>
      <c r="D585" s="372">
        <v>3.65</v>
      </c>
      <c r="E585" s="180"/>
      <c r="F585" s="181"/>
      <c r="G585" s="218">
        <f t="shared" si="96"/>
        <v>0</v>
      </c>
    </row>
    <row r="586" spans="1:7" x14ac:dyDescent="0.2">
      <c r="A586" s="369"/>
      <c r="B586" s="377"/>
      <c r="C586" s="371"/>
      <c r="D586" s="372"/>
      <c r="E586" s="180"/>
      <c r="F586" s="181"/>
      <c r="G586" s="218"/>
    </row>
    <row r="587" spans="1:7" x14ac:dyDescent="0.2">
      <c r="A587" s="369"/>
      <c r="B587" s="377"/>
      <c r="C587" s="371"/>
      <c r="D587" s="372"/>
      <c r="E587" s="180"/>
      <c r="F587" s="181"/>
      <c r="G587" s="218"/>
    </row>
    <row r="588" spans="1:7" x14ac:dyDescent="0.2">
      <c r="A588" s="369"/>
      <c r="B588" s="377"/>
      <c r="C588" s="371"/>
      <c r="D588" s="372"/>
      <c r="E588" s="180"/>
      <c r="F588" s="181"/>
      <c r="G588" s="218"/>
    </row>
    <row r="589" spans="1:7" ht="12.75" thickBot="1" x14ac:dyDescent="0.25">
      <c r="A589" s="379"/>
      <c r="B589" s="380"/>
      <c r="C589" s="381"/>
      <c r="D589" s="382"/>
      <c r="E589" s="184"/>
      <c r="F589" s="185"/>
      <c r="G589" s="226"/>
    </row>
    <row r="590" spans="1:7" x14ac:dyDescent="0.2">
      <c r="A590" s="369"/>
      <c r="B590" s="377"/>
      <c r="C590" s="371"/>
      <c r="D590" s="372"/>
      <c r="E590" s="180"/>
      <c r="F590" s="181"/>
      <c r="G590" s="218"/>
    </row>
    <row r="591" spans="1:7" x14ac:dyDescent="0.2">
      <c r="A591" s="369" t="s">
        <v>233</v>
      </c>
      <c r="B591" s="378" t="s">
        <v>227</v>
      </c>
      <c r="C591" s="371"/>
      <c r="D591" s="372"/>
      <c r="E591" s="180"/>
      <c r="F591" s="181"/>
      <c r="G591" s="218"/>
    </row>
    <row r="592" spans="1:7" ht="48" x14ac:dyDescent="0.2">
      <c r="A592" s="369"/>
      <c r="B592" s="378" t="s">
        <v>254</v>
      </c>
      <c r="C592" s="371"/>
      <c r="D592" s="372"/>
      <c r="E592" s="180"/>
      <c r="F592" s="181"/>
      <c r="G592" s="218"/>
    </row>
    <row r="593" spans="1:13" ht="13.5" x14ac:dyDescent="0.2">
      <c r="A593" s="369"/>
      <c r="B593" s="377" t="s">
        <v>503</v>
      </c>
      <c r="C593" s="371" t="s">
        <v>456</v>
      </c>
      <c r="D593" s="372">
        <v>35.6</v>
      </c>
      <c r="E593" s="180"/>
      <c r="F593" s="181"/>
      <c r="G593" s="218">
        <f t="shared" ref="G593:G595" si="97">(D593*E593)+(D593*F593)</f>
        <v>0</v>
      </c>
    </row>
    <row r="594" spans="1:13" ht="13.5" x14ac:dyDescent="0.2">
      <c r="A594" s="369"/>
      <c r="B594" s="377" t="s">
        <v>408</v>
      </c>
      <c r="C594" s="371" t="s">
        <v>456</v>
      </c>
      <c r="D594" s="372">
        <v>15.2</v>
      </c>
      <c r="E594" s="180"/>
      <c r="F594" s="181"/>
      <c r="G594" s="218">
        <f t="shared" si="97"/>
        <v>0</v>
      </c>
    </row>
    <row r="595" spans="1:13" ht="13.5" x14ac:dyDescent="0.2">
      <c r="A595" s="369"/>
      <c r="B595" s="377" t="s">
        <v>423</v>
      </c>
      <c r="C595" s="371" t="s">
        <v>456</v>
      </c>
      <c r="D595" s="372">
        <v>22.25</v>
      </c>
      <c r="E595" s="180"/>
      <c r="F595" s="181"/>
      <c r="G595" s="218">
        <f t="shared" si="97"/>
        <v>0</v>
      </c>
    </row>
    <row r="596" spans="1:13" x14ac:dyDescent="0.2">
      <c r="A596" s="369" t="s">
        <v>234</v>
      </c>
      <c r="B596" s="378" t="s">
        <v>229</v>
      </c>
      <c r="C596" s="371"/>
      <c r="D596" s="372"/>
      <c r="E596" s="180"/>
      <c r="F596" s="181"/>
      <c r="G596" s="218"/>
    </row>
    <row r="597" spans="1:13" x14ac:dyDescent="0.2">
      <c r="A597" s="369" t="s">
        <v>163</v>
      </c>
      <c r="B597" s="377" t="s">
        <v>576</v>
      </c>
      <c r="C597" s="371" t="s">
        <v>125</v>
      </c>
      <c r="D597" s="372">
        <v>238</v>
      </c>
      <c r="E597" s="180"/>
      <c r="F597" s="181"/>
      <c r="G597" s="218">
        <f t="shared" ref="G597" si="98">(D597*E597)+(D597*F597)</f>
        <v>0</v>
      </c>
    </row>
    <row r="598" spans="1:13" x14ac:dyDescent="0.2">
      <c r="A598" s="369"/>
      <c r="B598" s="377"/>
      <c r="C598" s="371"/>
      <c r="D598" s="372"/>
      <c r="E598" s="180"/>
      <c r="F598" s="181"/>
      <c r="G598" s="218"/>
    </row>
    <row r="599" spans="1:13" x14ac:dyDescent="0.2">
      <c r="A599" s="235" t="s">
        <v>166</v>
      </c>
      <c r="B599" s="236" t="s">
        <v>202</v>
      </c>
      <c r="C599" s="131"/>
      <c r="D599" s="121"/>
      <c r="E599" s="122"/>
      <c r="F599" s="237"/>
      <c r="G599" s="238"/>
    </row>
    <row r="600" spans="1:13" ht="36" x14ac:dyDescent="0.2">
      <c r="A600" s="239"/>
      <c r="B600" s="240" t="s">
        <v>464</v>
      </c>
      <c r="C600" s="241"/>
      <c r="D600" s="57"/>
      <c r="E600" s="180"/>
      <c r="F600" s="181"/>
      <c r="G600" s="218"/>
    </row>
    <row r="601" spans="1:13" ht="13.5" x14ac:dyDescent="0.2">
      <c r="A601" s="239"/>
      <c r="B601" s="240" t="s">
        <v>516</v>
      </c>
      <c r="C601" s="178" t="s">
        <v>459</v>
      </c>
      <c r="D601" s="57">
        <f>D564+D546+D584</f>
        <v>13.5</v>
      </c>
      <c r="E601" s="180"/>
      <c r="F601" s="181"/>
      <c r="G601" s="218">
        <f>(D601*E601)+(D601*F601)</f>
        <v>0</v>
      </c>
      <c r="I601" s="169">
        <f>D601/2.5</f>
        <v>5.4</v>
      </c>
      <c r="J601" s="169">
        <f>I601*800</f>
        <v>4320</v>
      </c>
      <c r="K601" s="169">
        <f>J601/D601</f>
        <v>320</v>
      </c>
    </row>
    <row r="602" spans="1:13" ht="13.5" x14ac:dyDescent="0.2">
      <c r="A602" s="239"/>
      <c r="B602" s="240" t="s">
        <v>515</v>
      </c>
      <c r="C602" s="178" t="s">
        <v>459</v>
      </c>
      <c r="D602" s="57">
        <f>D541+D562+D582</f>
        <v>232.60000000000002</v>
      </c>
      <c r="E602" s="180"/>
      <c r="F602" s="181"/>
      <c r="G602" s="218">
        <f>(D602*E602)+(D602*F602)</f>
        <v>0</v>
      </c>
      <c r="I602" s="139"/>
      <c r="L602" s="139"/>
    </row>
    <row r="603" spans="1:13" x14ac:dyDescent="0.2">
      <c r="A603" s="239"/>
      <c r="B603" s="240"/>
      <c r="C603" s="178"/>
      <c r="D603" s="57"/>
      <c r="E603" s="180"/>
      <c r="F603" s="181"/>
      <c r="G603" s="218"/>
    </row>
    <row r="604" spans="1:13" x14ac:dyDescent="0.2">
      <c r="A604" s="235" t="s">
        <v>167</v>
      </c>
      <c r="B604" s="236" t="s">
        <v>210</v>
      </c>
      <c r="C604" s="131"/>
      <c r="D604" s="121"/>
      <c r="E604" s="122"/>
      <c r="F604" s="237"/>
      <c r="G604" s="238"/>
    </row>
    <row r="605" spans="1:13" ht="27" customHeight="1" x14ac:dyDescent="0.2">
      <c r="A605" s="242" t="s">
        <v>163</v>
      </c>
      <c r="B605" s="240" t="s">
        <v>575</v>
      </c>
      <c r="C605" s="178" t="s">
        <v>15</v>
      </c>
      <c r="D605" s="57">
        <v>1</v>
      </c>
      <c r="E605" s="180"/>
      <c r="F605" s="181"/>
      <c r="G605" s="218">
        <f>(D605*E605)+(D605*F605)</f>
        <v>0</v>
      </c>
      <c r="J605" s="169" t="e">
        <f>D537+D541+#REF!+#REF!+D543+#REF!+D550+#REF!+D559+D560+#REF!+D562+D564+D568+#REF!+D573+D580+#REF!+D581+D583+#REF!+D593+D594+#REF!+#REF!+#REF!+#REF!+#REF!+#REF!+#REF!+#REF!</f>
        <v>#REF!</v>
      </c>
      <c r="K605" s="169" t="e">
        <f>J605/3</f>
        <v>#REF!</v>
      </c>
      <c r="L605" s="169" t="e">
        <f>K605*235</f>
        <v>#REF!</v>
      </c>
      <c r="M605" s="169" t="e">
        <f>L605*2</f>
        <v>#REF!</v>
      </c>
    </row>
    <row r="606" spans="1:13" x14ac:dyDescent="0.2">
      <c r="A606" s="242"/>
      <c r="B606" s="240"/>
      <c r="C606" s="178"/>
      <c r="D606" s="57"/>
      <c r="E606" s="180"/>
      <c r="F606" s="181"/>
      <c r="G606" s="218"/>
    </row>
    <row r="607" spans="1:13" ht="24" x14ac:dyDescent="0.2">
      <c r="A607" s="242" t="s">
        <v>164</v>
      </c>
      <c r="B607" s="240" t="s">
        <v>465</v>
      </c>
      <c r="C607" s="178" t="s">
        <v>15</v>
      </c>
      <c r="D607" s="57">
        <v>1</v>
      </c>
      <c r="E607" s="180"/>
      <c r="F607" s="181"/>
      <c r="G607" s="218">
        <f>(D607*E607)+(D607*F607)</f>
        <v>0</v>
      </c>
    </row>
    <row r="608" spans="1:13" x14ac:dyDescent="0.2">
      <c r="A608" s="239"/>
      <c r="B608" s="240"/>
      <c r="C608" s="178"/>
      <c r="D608" s="57"/>
      <c r="E608" s="180"/>
      <c r="F608" s="181"/>
      <c r="G608" s="218"/>
    </row>
    <row r="609" spans="1:7" x14ac:dyDescent="0.2">
      <c r="A609" s="239"/>
      <c r="B609" s="240"/>
      <c r="C609" s="178"/>
      <c r="D609" s="57"/>
      <c r="E609" s="180"/>
      <c r="F609" s="181"/>
      <c r="G609" s="218"/>
    </row>
    <row r="610" spans="1:7" x14ac:dyDescent="0.2">
      <c r="A610" s="239"/>
      <c r="B610" s="240"/>
      <c r="C610" s="178"/>
      <c r="D610" s="57"/>
      <c r="E610" s="180"/>
      <c r="F610" s="181"/>
      <c r="G610" s="218"/>
    </row>
    <row r="611" spans="1:7" x14ac:dyDescent="0.2">
      <c r="A611" s="239"/>
      <c r="B611" s="240"/>
      <c r="C611" s="178"/>
      <c r="D611" s="57"/>
      <c r="E611" s="180"/>
      <c r="F611" s="181"/>
      <c r="G611" s="218"/>
    </row>
    <row r="612" spans="1:7" x14ac:dyDescent="0.2">
      <c r="A612" s="239"/>
      <c r="B612" s="240"/>
      <c r="C612" s="178"/>
      <c r="D612" s="57"/>
      <c r="E612" s="180"/>
      <c r="F612" s="181"/>
      <c r="G612" s="218"/>
    </row>
    <row r="613" spans="1:7" x14ac:dyDescent="0.2">
      <c r="A613" s="239"/>
      <c r="B613" s="240"/>
      <c r="C613" s="178"/>
      <c r="D613" s="57"/>
      <c r="E613" s="180"/>
      <c r="F613" s="181"/>
      <c r="G613" s="218"/>
    </row>
    <row r="614" spans="1:7" x14ac:dyDescent="0.2">
      <c r="A614" s="239"/>
      <c r="B614" s="240"/>
      <c r="C614" s="178"/>
      <c r="D614" s="57"/>
      <c r="E614" s="180"/>
      <c r="F614" s="181"/>
      <c r="G614" s="218"/>
    </row>
    <row r="615" spans="1:7" x14ac:dyDescent="0.2">
      <c r="A615" s="239"/>
      <c r="B615" s="240"/>
      <c r="C615" s="178"/>
      <c r="D615" s="57"/>
      <c r="E615" s="180"/>
      <c r="F615" s="181"/>
      <c r="G615" s="218"/>
    </row>
    <row r="616" spans="1:7" x14ac:dyDescent="0.2">
      <c r="A616" s="239"/>
      <c r="B616" s="240"/>
      <c r="C616" s="178"/>
      <c r="D616" s="57"/>
      <c r="E616" s="180"/>
      <c r="F616" s="181"/>
      <c r="G616" s="218"/>
    </row>
    <row r="617" spans="1:7" x14ac:dyDescent="0.2">
      <c r="A617" s="239"/>
      <c r="B617" s="240"/>
      <c r="C617" s="178"/>
      <c r="D617" s="57"/>
      <c r="E617" s="180"/>
      <c r="F617" s="181"/>
      <c r="G617" s="218"/>
    </row>
    <row r="618" spans="1:7" x14ac:dyDescent="0.2">
      <c r="A618" s="239"/>
      <c r="B618" s="240"/>
      <c r="C618" s="178"/>
      <c r="D618" s="57"/>
      <c r="E618" s="180"/>
      <c r="F618" s="181"/>
      <c r="G618" s="218"/>
    </row>
    <row r="619" spans="1:7" x14ac:dyDescent="0.2">
      <c r="A619" s="239"/>
      <c r="B619" s="240"/>
      <c r="C619" s="178"/>
      <c r="D619" s="57"/>
      <c r="E619" s="180"/>
      <c r="F619" s="181"/>
      <c r="G619" s="218"/>
    </row>
    <row r="620" spans="1:7" x14ac:dyDescent="0.2">
      <c r="A620" s="239"/>
      <c r="B620" s="240"/>
      <c r="C620" s="178"/>
      <c r="D620" s="57"/>
      <c r="E620" s="180"/>
      <c r="F620" s="181"/>
      <c r="G620" s="218"/>
    </row>
    <row r="621" spans="1:7" x14ac:dyDescent="0.2">
      <c r="A621" s="239"/>
      <c r="B621" s="240"/>
      <c r="C621" s="178"/>
      <c r="D621" s="57"/>
      <c r="E621" s="180"/>
      <c r="F621" s="181"/>
      <c r="G621" s="218"/>
    </row>
    <row r="622" spans="1:7" x14ac:dyDescent="0.2">
      <c r="A622" s="239"/>
      <c r="B622" s="240"/>
      <c r="C622" s="178"/>
      <c r="D622" s="57"/>
      <c r="E622" s="180"/>
      <c r="F622" s="181"/>
      <c r="G622" s="218"/>
    </row>
    <row r="623" spans="1:7" x14ac:dyDescent="0.2">
      <c r="A623" s="239"/>
      <c r="B623" s="240"/>
      <c r="C623" s="178"/>
      <c r="D623" s="57"/>
      <c r="E623" s="180"/>
      <c r="F623" s="181"/>
      <c r="G623" s="218"/>
    </row>
    <row r="624" spans="1:7" x14ac:dyDescent="0.2">
      <c r="A624" s="239"/>
      <c r="B624" s="240"/>
      <c r="C624" s="178"/>
      <c r="D624" s="57"/>
      <c r="E624" s="180"/>
      <c r="F624" s="181"/>
      <c r="G624" s="218"/>
    </row>
    <row r="625" spans="1:7" x14ac:dyDescent="0.2">
      <c r="A625" s="239"/>
      <c r="B625" s="240"/>
      <c r="C625" s="178"/>
      <c r="D625" s="57"/>
      <c r="E625" s="180"/>
      <c r="F625" s="181"/>
      <c r="G625" s="218"/>
    </row>
    <row r="626" spans="1:7" x14ac:dyDescent="0.2">
      <c r="A626" s="239"/>
      <c r="B626" s="240"/>
      <c r="C626" s="178"/>
      <c r="D626" s="57"/>
      <c r="E626" s="180"/>
      <c r="F626" s="181"/>
      <c r="G626" s="218"/>
    </row>
    <row r="627" spans="1:7" x14ac:dyDescent="0.2">
      <c r="A627" s="239"/>
      <c r="B627" s="240"/>
      <c r="C627" s="178"/>
      <c r="D627" s="57"/>
      <c r="E627" s="180"/>
      <c r="F627" s="181"/>
      <c r="G627" s="218"/>
    </row>
    <row r="628" spans="1:7" x14ac:dyDescent="0.2">
      <c r="A628" s="239"/>
      <c r="B628" s="240"/>
      <c r="C628" s="178"/>
      <c r="D628" s="57"/>
      <c r="E628" s="180"/>
      <c r="F628" s="181"/>
      <c r="G628" s="218"/>
    </row>
    <row r="629" spans="1:7" x14ac:dyDescent="0.2">
      <c r="A629" s="239"/>
      <c r="B629" s="240"/>
      <c r="C629" s="178"/>
      <c r="D629" s="57"/>
      <c r="E629" s="180"/>
      <c r="F629" s="181"/>
      <c r="G629" s="218"/>
    </row>
    <row r="630" spans="1:7" x14ac:dyDescent="0.2">
      <c r="A630" s="239"/>
      <c r="B630" s="240"/>
      <c r="C630" s="178"/>
      <c r="D630" s="57"/>
      <c r="E630" s="180"/>
      <c r="F630" s="181"/>
      <c r="G630" s="218"/>
    </row>
    <row r="631" spans="1:7" x14ac:dyDescent="0.2">
      <c r="A631" s="239"/>
      <c r="B631" s="240"/>
      <c r="C631" s="178"/>
      <c r="D631" s="57"/>
      <c r="E631" s="180"/>
      <c r="F631" s="181"/>
      <c r="G631" s="218"/>
    </row>
    <row r="632" spans="1:7" x14ac:dyDescent="0.2">
      <c r="A632" s="239"/>
      <c r="B632" s="240"/>
      <c r="C632" s="178"/>
      <c r="D632" s="57"/>
      <c r="E632" s="180"/>
      <c r="F632" s="181"/>
      <c r="G632" s="218"/>
    </row>
    <row r="633" spans="1:7" x14ac:dyDescent="0.2">
      <c r="A633" s="239"/>
      <c r="B633" s="240"/>
      <c r="C633" s="178"/>
      <c r="D633" s="57"/>
      <c r="E633" s="180"/>
      <c r="F633" s="181"/>
      <c r="G633" s="218"/>
    </row>
    <row r="634" spans="1:7" x14ac:dyDescent="0.2">
      <c r="A634" s="239"/>
      <c r="B634" s="240"/>
      <c r="C634" s="178"/>
      <c r="D634" s="57"/>
      <c r="E634" s="180"/>
      <c r="F634" s="181"/>
      <c r="G634" s="218"/>
    </row>
    <row r="635" spans="1:7" x14ac:dyDescent="0.2">
      <c r="A635" s="239"/>
      <c r="B635" s="240"/>
      <c r="C635" s="178"/>
      <c r="D635" s="57"/>
      <c r="E635" s="180"/>
      <c r="F635" s="181"/>
      <c r="G635" s="218"/>
    </row>
    <row r="636" spans="1:7" x14ac:dyDescent="0.2">
      <c r="A636" s="239"/>
      <c r="B636" s="240"/>
      <c r="C636" s="178"/>
      <c r="D636" s="57"/>
      <c r="E636" s="180"/>
      <c r="F636" s="181"/>
      <c r="G636" s="218"/>
    </row>
    <row r="637" spans="1:7" x14ac:dyDescent="0.2">
      <c r="A637" s="239"/>
      <c r="B637" s="240"/>
      <c r="C637" s="178"/>
      <c r="D637" s="57"/>
      <c r="E637" s="180"/>
      <c r="F637" s="181"/>
      <c r="G637" s="218"/>
    </row>
    <row r="638" spans="1:7" ht="12.75" thickBot="1" x14ac:dyDescent="0.25">
      <c r="A638" s="239"/>
      <c r="B638" s="240"/>
      <c r="C638" s="178"/>
      <c r="D638" s="57"/>
      <c r="E638" s="180"/>
      <c r="F638" s="181"/>
      <c r="G638" s="218"/>
    </row>
    <row r="639" spans="1:7" x14ac:dyDescent="0.2">
      <c r="A639" s="68"/>
      <c r="B639" s="69" t="s">
        <v>146</v>
      </c>
      <c r="C639" s="113"/>
      <c r="D639" s="71"/>
      <c r="E639" s="72"/>
      <c r="F639" s="191"/>
      <c r="G639" s="192"/>
    </row>
    <row r="640" spans="1:7" ht="12.75" thickBot="1" x14ac:dyDescent="0.25">
      <c r="A640" s="73"/>
      <c r="B640" s="74" t="s">
        <v>147</v>
      </c>
      <c r="C640" s="114"/>
      <c r="D640" s="76"/>
      <c r="E640" s="77"/>
      <c r="F640" s="155"/>
      <c r="G640" s="193">
        <f>SUM(G506:G639)</f>
        <v>0</v>
      </c>
    </row>
    <row r="641" spans="1:11" x14ac:dyDescent="0.2">
      <c r="A641" s="40"/>
      <c r="B641" s="80"/>
      <c r="C641" s="56"/>
      <c r="D641" s="57"/>
      <c r="E641" s="44"/>
      <c r="F641" s="59"/>
      <c r="G641" s="150"/>
    </row>
    <row r="642" spans="1:11" x14ac:dyDescent="0.2">
      <c r="A642" s="40"/>
      <c r="B642" s="41" t="s">
        <v>188</v>
      </c>
      <c r="C642" s="56"/>
      <c r="D642" s="57"/>
      <c r="E642" s="44"/>
      <c r="F642" s="59"/>
      <c r="G642" s="60"/>
    </row>
    <row r="643" spans="1:11" x14ac:dyDescent="0.2">
      <c r="A643" s="40"/>
      <c r="B643" s="49" t="s">
        <v>110</v>
      </c>
      <c r="C643" s="56"/>
      <c r="D643" s="57"/>
      <c r="E643" s="44"/>
      <c r="F643" s="59"/>
      <c r="G643" s="60"/>
    </row>
    <row r="644" spans="1:11" x14ac:dyDescent="0.2">
      <c r="A644" s="194" t="s">
        <v>168</v>
      </c>
      <c r="B644" s="51" t="s">
        <v>41</v>
      </c>
      <c r="C644" s="56"/>
      <c r="D644" s="57"/>
      <c r="E644" s="44"/>
      <c r="F644" s="59"/>
      <c r="G644" s="60"/>
    </row>
    <row r="645" spans="1:11" ht="45" customHeight="1" x14ac:dyDescent="0.2">
      <c r="A645" s="40"/>
      <c r="B645" s="62" t="s">
        <v>264</v>
      </c>
      <c r="C645" s="195"/>
      <c r="D645" s="195"/>
      <c r="E645" s="195"/>
      <c r="F645" s="195"/>
      <c r="G645" s="196"/>
    </row>
    <row r="646" spans="1:11" ht="62.25" customHeight="1" x14ac:dyDescent="0.2">
      <c r="A646" s="40"/>
      <c r="B646" s="62" t="s">
        <v>263</v>
      </c>
      <c r="C646" s="195"/>
      <c r="D646" s="195"/>
      <c r="E646" s="195"/>
      <c r="F646" s="195"/>
      <c r="G646" s="196"/>
    </row>
    <row r="647" spans="1:11" ht="43.5" customHeight="1" x14ac:dyDescent="0.2">
      <c r="A647" s="40"/>
      <c r="B647" s="62" t="s">
        <v>262</v>
      </c>
      <c r="C647" s="195"/>
      <c r="D647" s="195"/>
      <c r="E647" s="195"/>
      <c r="F647" s="195"/>
      <c r="G647" s="196"/>
    </row>
    <row r="648" spans="1:11" ht="38.25" customHeight="1" x14ac:dyDescent="0.2">
      <c r="A648" s="40"/>
      <c r="B648" s="62" t="s">
        <v>261</v>
      </c>
      <c r="C648" s="195"/>
      <c r="D648" s="195"/>
      <c r="E648" s="195"/>
      <c r="F648" s="195"/>
      <c r="G648" s="196"/>
    </row>
    <row r="649" spans="1:11" ht="13.5" customHeight="1" x14ac:dyDescent="0.2">
      <c r="A649" s="40"/>
      <c r="B649" s="444" t="s">
        <v>208</v>
      </c>
      <c r="C649" s="445"/>
      <c r="D649" s="445"/>
      <c r="E649" s="445"/>
      <c r="F649" s="445"/>
      <c r="G649" s="446"/>
    </row>
    <row r="650" spans="1:11" x14ac:dyDescent="0.2">
      <c r="A650" s="243" t="s">
        <v>150</v>
      </c>
      <c r="B650" s="244" t="s">
        <v>112</v>
      </c>
      <c r="C650" s="245"/>
      <c r="D650" s="246"/>
      <c r="E650" s="222"/>
      <c r="F650" s="166"/>
      <c r="G650" s="167"/>
    </row>
    <row r="651" spans="1:11" x14ac:dyDescent="0.2">
      <c r="A651" s="247"/>
      <c r="B651" s="248" t="s">
        <v>401</v>
      </c>
      <c r="C651" s="249"/>
      <c r="D651" s="250"/>
      <c r="E651" s="251"/>
      <c r="F651" s="252"/>
      <c r="G651" s="253"/>
    </row>
    <row r="652" spans="1:11" s="205" customFormat="1" ht="25.5" customHeight="1" x14ac:dyDescent="0.2">
      <c r="A652" s="63" t="s">
        <v>163</v>
      </c>
      <c r="B652" s="254" t="s">
        <v>314</v>
      </c>
      <c r="C652" s="255" t="s">
        <v>113</v>
      </c>
      <c r="D652" s="57">
        <v>8</v>
      </c>
      <c r="E652" s="44"/>
      <c r="F652" s="103"/>
      <c r="G652" s="104">
        <f t="shared" ref="G652:G654" si="99">(D652*E652)+(D652*F652)</f>
        <v>0</v>
      </c>
      <c r="I652" s="256">
        <f>0.95*2.83</f>
        <v>2.6884999999999999</v>
      </c>
      <c r="J652" s="257">
        <f>I652*D652</f>
        <v>21.507999999999999</v>
      </c>
      <c r="K652" s="256">
        <f>J652+J656+J657+J658</f>
        <v>81.092000000000013</v>
      </c>
    </row>
    <row r="653" spans="1:11" s="205" customFormat="1" ht="23.25" customHeight="1" x14ac:dyDescent="0.2">
      <c r="A653" s="63" t="s">
        <v>164</v>
      </c>
      <c r="B653" s="254" t="s">
        <v>491</v>
      </c>
      <c r="C653" s="255" t="s">
        <v>113</v>
      </c>
      <c r="D653" s="57">
        <v>1</v>
      </c>
      <c r="E653" s="44"/>
      <c r="F653" s="103"/>
      <c r="G653" s="104">
        <f t="shared" si="99"/>
        <v>0</v>
      </c>
      <c r="I653" s="256">
        <f>0.95*2.15</f>
        <v>2.0425</v>
      </c>
      <c r="J653" s="257">
        <f>I653*D653</f>
        <v>2.0425</v>
      </c>
      <c r="K653" s="256"/>
    </row>
    <row r="654" spans="1:11" s="205" customFormat="1" ht="24.75" customHeight="1" x14ac:dyDescent="0.2">
      <c r="A654" s="63" t="s">
        <v>175</v>
      </c>
      <c r="B654" s="254" t="s">
        <v>490</v>
      </c>
      <c r="C654" s="255" t="s">
        <v>113</v>
      </c>
      <c r="D654" s="57">
        <v>4</v>
      </c>
      <c r="E654" s="44"/>
      <c r="F654" s="103"/>
      <c r="G654" s="104">
        <f t="shared" si="99"/>
        <v>0</v>
      </c>
      <c r="I654" s="257">
        <f>0.78*2</f>
        <v>1.56</v>
      </c>
      <c r="J654" s="257">
        <f t="shared" ref="J654" si="100">I654*D654</f>
        <v>6.24</v>
      </c>
      <c r="K654" s="256"/>
    </row>
    <row r="655" spans="1:11" ht="12" customHeight="1" x14ac:dyDescent="0.2">
      <c r="A655" s="247"/>
      <c r="B655" s="248" t="s">
        <v>400</v>
      </c>
      <c r="C655" s="249"/>
      <c r="D655" s="250"/>
      <c r="E655" s="251"/>
      <c r="F655" s="252"/>
      <c r="G655" s="253"/>
      <c r="I655" s="139"/>
      <c r="J655" s="257"/>
      <c r="K655" s="169"/>
    </row>
    <row r="656" spans="1:11" ht="53.25" customHeight="1" x14ac:dyDescent="0.2">
      <c r="A656" s="63" t="s">
        <v>163</v>
      </c>
      <c r="B656" s="254" t="s">
        <v>493</v>
      </c>
      <c r="C656" s="255" t="s">
        <v>113</v>
      </c>
      <c r="D656" s="57">
        <v>8</v>
      </c>
      <c r="E656" s="44"/>
      <c r="F656" s="103"/>
      <c r="G656" s="104">
        <f t="shared" ref="G656:G658" si="101">(D656*E656)+(D656*F656)</f>
        <v>0</v>
      </c>
      <c r="I656" s="139">
        <f>2.45*1.69</f>
        <v>4.1405000000000003</v>
      </c>
      <c r="J656" s="257">
        <f>I656*D656</f>
        <v>33.124000000000002</v>
      </c>
      <c r="K656" s="169"/>
    </row>
    <row r="657" spans="1:11" ht="37.5" customHeight="1" x14ac:dyDescent="0.2">
      <c r="A657" s="63" t="s">
        <v>164</v>
      </c>
      <c r="B657" s="254" t="s">
        <v>492</v>
      </c>
      <c r="C657" s="255" t="s">
        <v>113</v>
      </c>
      <c r="D657" s="57">
        <v>8</v>
      </c>
      <c r="E657" s="44"/>
      <c r="F657" s="103"/>
      <c r="G657" s="104">
        <f t="shared" si="101"/>
        <v>0</v>
      </c>
      <c r="I657" s="139">
        <f>1.575*2</f>
        <v>3.15</v>
      </c>
      <c r="J657" s="257">
        <f t="shared" ref="J657:J658" si="102">I657*D657</f>
        <v>25.2</v>
      </c>
      <c r="K657" s="169"/>
    </row>
    <row r="658" spans="1:11" ht="40.5" customHeight="1" x14ac:dyDescent="0.2">
      <c r="A658" s="63" t="s">
        <v>175</v>
      </c>
      <c r="B658" s="254" t="s">
        <v>489</v>
      </c>
      <c r="C658" s="255" t="s">
        <v>113</v>
      </c>
      <c r="D658" s="57">
        <v>3</v>
      </c>
      <c r="E658" s="44"/>
      <c r="F658" s="103"/>
      <c r="G658" s="104">
        <f t="shared" si="101"/>
        <v>0</v>
      </c>
      <c r="I658" s="139">
        <f>0.7*0.6</f>
        <v>0.42</v>
      </c>
      <c r="J658" s="257">
        <f t="shared" si="102"/>
        <v>1.26</v>
      </c>
      <c r="K658" s="169"/>
    </row>
    <row r="659" spans="1:11" ht="12" customHeight="1" x14ac:dyDescent="0.2">
      <c r="A659" s="247"/>
      <c r="B659" s="248" t="s">
        <v>399</v>
      </c>
      <c r="C659" s="249"/>
      <c r="D659" s="250"/>
      <c r="E659" s="251"/>
      <c r="F659" s="252"/>
      <c r="G659" s="253"/>
      <c r="I659" s="139"/>
      <c r="J659" s="257">
        <f>SUM(J652:J658)</f>
        <v>89.374500000000012</v>
      </c>
      <c r="K659" s="169">
        <f>J659-I654</f>
        <v>87.81450000000001</v>
      </c>
    </row>
    <row r="660" spans="1:11" ht="30" customHeight="1" x14ac:dyDescent="0.2">
      <c r="A660" s="63" t="s">
        <v>163</v>
      </c>
      <c r="B660" s="254" t="s">
        <v>402</v>
      </c>
      <c r="C660" s="255" t="s">
        <v>113</v>
      </c>
      <c r="D660" s="57">
        <v>10</v>
      </c>
      <c r="E660" s="44"/>
      <c r="F660" s="103"/>
      <c r="G660" s="104">
        <f t="shared" ref="G660:G661" si="103">(D660*E660)+(D660*F660)</f>
        <v>0</v>
      </c>
      <c r="I660" s="139"/>
      <c r="J660" s="257"/>
      <c r="K660" s="169"/>
    </row>
    <row r="661" spans="1:11" ht="25.5" customHeight="1" x14ac:dyDescent="0.2">
      <c r="A661" s="63" t="s">
        <v>164</v>
      </c>
      <c r="B661" s="254" t="s">
        <v>403</v>
      </c>
      <c r="C661" s="255" t="s">
        <v>113</v>
      </c>
      <c r="D661" s="57">
        <v>2</v>
      </c>
      <c r="E661" s="44"/>
      <c r="F661" s="103"/>
      <c r="G661" s="104">
        <f t="shared" si="103"/>
        <v>0</v>
      </c>
      <c r="I661" s="139"/>
      <c r="J661" s="257"/>
      <c r="K661" s="169"/>
    </row>
    <row r="662" spans="1:11" ht="12" customHeight="1" x14ac:dyDescent="0.2">
      <c r="A662" s="63"/>
      <c r="B662" s="254"/>
      <c r="C662" s="255"/>
      <c r="D662" s="57"/>
      <c r="E662" s="44"/>
      <c r="F662" s="103"/>
      <c r="G662" s="104"/>
      <c r="I662" s="139"/>
      <c r="J662" s="257"/>
      <c r="K662" s="169"/>
    </row>
    <row r="663" spans="1:11" x14ac:dyDescent="0.2">
      <c r="A663" s="243" t="s">
        <v>151</v>
      </c>
      <c r="B663" s="244" t="s">
        <v>68</v>
      </c>
      <c r="C663" s="245"/>
      <c r="D663" s="246"/>
      <c r="E663" s="222"/>
      <c r="F663" s="166"/>
      <c r="G663" s="167"/>
      <c r="J663" s="139"/>
      <c r="K663" s="139"/>
    </row>
    <row r="664" spans="1:11" x14ac:dyDescent="0.2">
      <c r="A664" s="247"/>
      <c r="B664" s="248" t="s">
        <v>401</v>
      </c>
      <c r="C664" s="249"/>
      <c r="D664" s="250"/>
      <c r="E664" s="251"/>
      <c r="F664" s="252"/>
      <c r="G664" s="253"/>
      <c r="K664" s="139"/>
    </row>
    <row r="665" spans="1:11" ht="24" x14ac:dyDescent="0.2">
      <c r="A665" s="63" t="s">
        <v>163</v>
      </c>
      <c r="B665" s="254" t="s">
        <v>314</v>
      </c>
      <c r="C665" s="255" t="s">
        <v>113</v>
      </c>
      <c r="D665" s="57">
        <v>9</v>
      </c>
      <c r="E665" s="44"/>
      <c r="F665" s="103"/>
      <c r="G665" s="104">
        <f t="shared" ref="G665:G666" si="104">(D665*E665)+(D665*F665)</f>
        <v>0</v>
      </c>
      <c r="H665" s="205"/>
      <c r="I665" s="256">
        <f>0.95*2.83</f>
        <v>2.6884999999999999</v>
      </c>
      <c r="J665" s="257">
        <f>I665*D665</f>
        <v>24.1965</v>
      </c>
      <c r="K665" s="256">
        <f>J665+J669+J670+J671</f>
        <v>51.912100000000002</v>
      </c>
    </row>
    <row r="666" spans="1:11" ht="24" x14ac:dyDescent="0.2">
      <c r="A666" s="63" t="s">
        <v>164</v>
      </c>
      <c r="B666" s="254" t="s">
        <v>490</v>
      </c>
      <c r="C666" s="255" t="s">
        <v>113</v>
      </c>
      <c r="D666" s="57">
        <v>4</v>
      </c>
      <c r="E666" s="44"/>
      <c r="F666" s="103"/>
      <c r="G666" s="104">
        <f t="shared" si="104"/>
        <v>0</v>
      </c>
      <c r="H666" s="205"/>
      <c r="I666" s="257">
        <f>0.78*2</f>
        <v>1.56</v>
      </c>
      <c r="J666" s="257">
        <f t="shared" ref="J666" si="105">I666*D666</f>
        <v>6.24</v>
      </c>
      <c r="K666" s="169"/>
    </row>
    <row r="667" spans="1:11" ht="12" customHeight="1" x14ac:dyDescent="0.2">
      <c r="A667" s="247"/>
      <c r="B667" s="248" t="s">
        <v>400</v>
      </c>
      <c r="C667" s="249"/>
      <c r="D667" s="250"/>
      <c r="E667" s="251"/>
      <c r="F667" s="252"/>
      <c r="G667" s="253"/>
      <c r="I667" s="139"/>
      <c r="J667" s="257"/>
      <c r="K667" s="169"/>
    </row>
    <row r="668" spans="1:11" ht="48.75" thickBot="1" x14ac:dyDescent="0.25">
      <c r="A668" s="258" t="s">
        <v>163</v>
      </c>
      <c r="B668" s="259" t="s">
        <v>493</v>
      </c>
      <c r="C668" s="260" t="s">
        <v>113</v>
      </c>
      <c r="D668" s="76">
        <v>8</v>
      </c>
      <c r="E668" s="77"/>
      <c r="F668" s="261"/>
      <c r="G668" s="262">
        <f t="shared" ref="G668:G670" si="106">(D668*E668)+(D668*F668)</f>
        <v>0</v>
      </c>
      <c r="I668" s="139">
        <f>2.45*1.69</f>
        <v>4.1405000000000003</v>
      </c>
      <c r="J668" s="257">
        <f>I668*D668</f>
        <v>33.124000000000002</v>
      </c>
      <c r="K668" s="169"/>
    </row>
    <row r="669" spans="1:11" ht="36" x14ac:dyDescent="0.2">
      <c r="A669" s="63" t="s">
        <v>164</v>
      </c>
      <c r="B669" s="254" t="s">
        <v>492</v>
      </c>
      <c r="C669" s="255" t="s">
        <v>113</v>
      </c>
      <c r="D669" s="57">
        <v>8</v>
      </c>
      <c r="E669" s="44"/>
      <c r="F669" s="103"/>
      <c r="G669" s="104">
        <f t="shared" si="106"/>
        <v>0</v>
      </c>
      <c r="I669" s="139">
        <f>1.575*2</f>
        <v>3.15</v>
      </c>
      <c r="J669" s="257">
        <f t="shared" ref="J669:J671" si="107">I669*D669</f>
        <v>25.2</v>
      </c>
      <c r="K669" s="169"/>
    </row>
    <row r="670" spans="1:11" ht="36.75" customHeight="1" x14ac:dyDescent="0.2">
      <c r="A670" s="63" t="s">
        <v>175</v>
      </c>
      <c r="B670" s="254" t="s">
        <v>494</v>
      </c>
      <c r="C670" s="255" t="s">
        <v>113</v>
      </c>
      <c r="D670" s="57">
        <v>1</v>
      </c>
      <c r="E670" s="44"/>
      <c r="F670" s="103"/>
      <c r="G670" s="104">
        <f t="shared" si="106"/>
        <v>0</v>
      </c>
      <c r="I670" s="139">
        <f>1.24*1.69</f>
        <v>2.0956000000000001</v>
      </c>
      <c r="J670" s="257">
        <f t="shared" si="107"/>
        <v>2.0956000000000001</v>
      </c>
      <c r="K670" s="169"/>
    </row>
    <row r="671" spans="1:11" ht="42.75" customHeight="1" x14ac:dyDescent="0.2">
      <c r="A671" s="63" t="s">
        <v>176</v>
      </c>
      <c r="B671" s="254" t="s">
        <v>489</v>
      </c>
      <c r="C671" s="255" t="s">
        <v>113</v>
      </c>
      <c r="D671" s="57">
        <v>1</v>
      </c>
      <c r="E671" s="44"/>
      <c r="F671" s="103"/>
      <c r="G671" s="104">
        <f t="shared" ref="G671" si="108">(D671*E671)+(D671*F671)</f>
        <v>0</v>
      </c>
      <c r="I671" s="139">
        <f>0.7*0.6</f>
        <v>0.42</v>
      </c>
      <c r="J671" s="257">
        <f t="shared" si="107"/>
        <v>0.42</v>
      </c>
      <c r="K671" s="169"/>
    </row>
    <row r="672" spans="1:11" ht="12" customHeight="1" x14ac:dyDescent="0.2">
      <c r="A672" s="247"/>
      <c r="B672" s="248" t="s">
        <v>399</v>
      </c>
      <c r="C672" s="249"/>
      <c r="D672" s="250"/>
      <c r="E672" s="251"/>
      <c r="F672" s="252"/>
      <c r="G672" s="253"/>
      <c r="I672" s="139"/>
      <c r="J672" s="257">
        <f>SUM(J665:J671)</f>
        <v>91.276100000000014</v>
      </c>
      <c r="K672" s="139">
        <f>J672-J666</f>
        <v>85.036100000000019</v>
      </c>
    </row>
    <row r="673" spans="1:11" ht="24" customHeight="1" x14ac:dyDescent="0.2">
      <c r="A673" s="63" t="s">
        <v>163</v>
      </c>
      <c r="B673" s="254" t="s">
        <v>402</v>
      </c>
      <c r="C673" s="255" t="s">
        <v>113</v>
      </c>
      <c r="D673" s="57">
        <v>10</v>
      </c>
      <c r="E673" s="44"/>
      <c r="F673" s="103"/>
      <c r="G673" s="104">
        <f t="shared" ref="G673:G674" si="109">(D673*E673)+(D673*F673)</f>
        <v>0</v>
      </c>
      <c r="I673" s="139"/>
      <c r="J673" s="257"/>
      <c r="K673" s="139"/>
    </row>
    <row r="674" spans="1:11" ht="25.5" customHeight="1" x14ac:dyDescent="0.2">
      <c r="A674" s="63" t="s">
        <v>164</v>
      </c>
      <c r="B674" s="254" t="s">
        <v>403</v>
      </c>
      <c r="C674" s="255" t="s">
        <v>113</v>
      </c>
      <c r="D674" s="57">
        <v>2</v>
      </c>
      <c r="E674" s="44"/>
      <c r="F674" s="103"/>
      <c r="G674" s="104">
        <f t="shared" si="109"/>
        <v>0</v>
      </c>
      <c r="I674" s="139"/>
      <c r="J674" s="257"/>
      <c r="K674" s="139"/>
    </row>
    <row r="675" spans="1:11" ht="12" customHeight="1" x14ac:dyDescent="0.2">
      <c r="A675" s="63"/>
      <c r="B675" s="254"/>
      <c r="C675" s="255"/>
      <c r="D675" s="57"/>
      <c r="E675" s="44"/>
      <c r="F675" s="103"/>
      <c r="G675" s="104"/>
      <c r="I675" s="139"/>
      <c r="J675" s="257"/>
      <c r="K675" s="139"/>
    </row>
    <row r="676" spans="1:11" ht="12" customHeight="1" x14ac:dyDescent="0.2">
      <c r="A676" s="243" t="s">
        <v>57</v>
      </c>
      <c r="B676" s="244" t="s">
        <v>70</v>
      </c>
      <c r="C676" s="245"/>
      <c r="D676" s="246"/>
      <c r="E676" s="222"/>
      <c r="F676" s="166"/>
      <c r="G676" s="167"/>
      <c r="J676" s="257"/>
      <c r="K676" s="139"/>
    </row>
    <row r="677" spans="1:11" ht="12" customHeight="1" x14ac:dyDescent="0.2">
      <c r="A677" s="247"/>
      <c r="B677" s="248" t="s">
        <v>401</v>
      </c>
      <c r="C677" s="249"/>
      <c r="D677" s="250"/>
      <c r="E677" s="251"/>
      <c r="F677" s="252"/>
      <c r="G677" s="253"/>
      <c r="J677" s="257"/>
      <c r="K677" s="139"/>
    </row>
    <row r="678" spans="1:11" ht="24" customHeight="1" x14ac:dyDescent="0.2">
      <c r="A678" s="63" t="s">
        <v>163</v>
      </c>
      <c r="B678" s="254" t="s">
        <v>314</v>
      </c>
      <c r="C678" s="255" t="s">
        <v>113</v>
      </c>
      <c r="D678" s="57">
        <v>9</v>
      </c>
      <c r="E678" s="44"/>
      <c r="F678" s="103"/>
      <c r="G678" s="104">
        <f t="shared" ref="G678:G679" si="110">(D678*E678)+(D678*F678)</f>
        <v>0</v>
      </c>
      <c r="J678" s="257"/>
      <c r="K678" s="139"/>
    </row>
    <row r="679" spans="1:11" ht="26.25" customHeight="1" x14ac:dyDescent="0.2">
      <c r="A679" s="63" t="s">
        <v>164</v>
      </c>
      <c r="B679" s="254" t="s">
        <v>490</v>
      </c>
      <c r="C679" s="255" t="s">
        <v>113</v>
      </c>
      <c r="D679" s="57">
        <v>4</v>
      </c>
      <c r="E679" s="44"/>
      <c r="F679" s="103"/>
      <c r="G679" s="104">
        <f t="shared" si="110"/>
        <v>0</v>
      </c>
      <c r="J679" s="257"/>
      <c r="K679" s="139"/>
    </row>
    <row r="680" spans="1:11" x14ac:dyDescent="0.2">
      <c r="A680" s="247"/>
      <c r="B680" s="248" t="s">
        <v>400</v>
      </c>
      <c r="C680" s="249"/>
      <c r="D680" s="250"/>
      <c r="E680" s="251"/>
      <c r="F680" s="252"/>
      <c r="G680" s="253"/>
      <c r="J680" s="139"/>
      <c r="K680" s="139"/>
    </row>
    <row r="681" spans="1:11" ht="48.75" thickBot="1" x14ac:dyDescent="0.25">
      <c r="A681" s="258" t="s">
        <v>163</v>
      </c>
      <c r="B681" s="259" t="s">
        <v>493</v>
      </c>
      <c r="C681" s="260" t="s">
        <v>113</v>
      </c>
      <c r="D681" s="76">
        <v>8</v>
      </c>
      <c r="E681" s="77"/>
      <c r="F681" s="261"/>
      <c r="G681" s="262">
        <f t="shared" ref="G681:G684" si="111">(D681*E681)+(D681*F681)</f>
        <v>0</v>
      </c>
      <c r="K681" s="139"/>
    </row>
    <row r="682" spans="1:11" ht="36" x14ac:dyDescent="0.2">
      <c r="A682" s="63" t="s">
        <v>164</v>
      </c>
      <c r="B682" s="254" t="s">
        <v>492</v>
      </c>
      <c r="C682" s="255" t="s">
        <v>113</v>
      </c>
      <c r="D682" s="57">
        <v>8</v>
      </c>
      <c r="E682" s="44"/>
      <c r="F682" s="103"/>
      <c r="G682" s="104">
        <f t="shared" si="111"/>
        <v>0</v>
      </c>
      <c r="H682" s="205"/>
      <c r="I682" s="139">
        <f>0.9*2.6</f>
        <v>2.3400000000000003</v>
      </c>
      <c r="J682" s="257">
        <f>I682*D682</f>
        <v>18.720000000000002</v>
      </c>
      <c r="K682" s="169">
        <f>I682*2800</f>
        <v>6552.0000000000009</v>
      </c>
    </row>
    <row r="683" spans="1:11" ht="36" x14ac:dyDescent="0.2">
      <c r="A683" s="63" t="s">
        <v>175</v>
      </c>
      <c r="B683" s="254" t="s">
        <v>494</v>
      </c>
      <c r="C683" s="255" t="s">
        <v>113</v>
      </c>
      <c r="D683" s="57">
        <v>1</v>
      </c>
      <c r="E683" s="44"/>
      <c r="F683" s="103"/>
      <c r="G683" s="104">
        <f t="shared" si="111"/>
        <v>0</v>
      </c>
      <c r="H683" s="205"/>
      <c r="I683" s="139">
        <f>0.9*2.1</f>
        <v>1.8900000000000001</v>
      </c>
      <c r="J683" s="257">
        <f t="shared" ref="J683:J684" si="112">I683*D683</f>
        <v>1.8900000000000001</v>
      </c>
      <c r="K683" s="169">
        <f>I683*2800</f>
        <v>5292</v>
      </c>
    </row>
    <row r="684" spans="1:11" ht="36" x14ac:dyDescent="0.2">
      <c r="A684" s="63" t="s">
        <v>176</v>
      </c>
      <c r="B684" s="254" t="s">
        <v>489</v>
      </c>
      <c r="C684" s="255" t="s">
        <v>113</v>
      </c>
      <c r="D684" s="57">
        <v>1</v>
      </c>
      <c r="E684" s="44"/>
      <c r="F684" s="103"/>
      <c r="G684" s="104">
        <f t="shared" si="111"/>
        <v>0</v>
      </c>
      <c r="H684" s="205"/>
      <c r="I684" s="139">
        <f>0.7*2.15</f>
        <v>1.5049999999999999</v>
      </c>
      <c r="J684" s="257">
        <f t="shared" si="112"/>
        <v>1.5049999999999999</v>
      </c>
      <c r="K684" s="169">
        <f t="shared" ref="K684" si="113">I684*2800</f>
        <v>4214</v>
      </c>
    </row>
    <row r="685" spans="1:11" x14ac:dyDescent="0.2">
      <c r="A685" s="247"/>
      <c r="B685" s="248" t="s">
        <v>399</v>
      </c>
      <c r="C685" s="249"/>
      <c r="D685" s="250"/>
      <c r="E685" s="251"/>
      <c r="F685" s="252"/>
      <c r="G685" s="253"/>
      <c r="I685" s="169"/>
      <c r="J685" s="139" t="e">
        <f>SUM(#REF!)</f>
        <v>#REF!</v>
      </c>
    </row>
    <row r="686" spans="1:11" ht="24" x14ac:dyDescent="0.2">
      <c r="A686" s="63" t="s">
        <v>163</v>
      </c>
      <c r="B686" s="254" t="s">
        <v>402</v>
      </c>
      <c r="C686" s="255" t="s">
        <v>113</v>
      </c>
      <c r="D686" s="57">
        <v>10</v>
      </c>
      <c r="E686" s="44"/>
      <c r="F686" s="103"/>
      <c r="G686" s="104">
        <f t="shared" ref="G686:G687" si="114">(D686*E686)+(D686*F686)</f>
        <v>0</v>
      </c>
      <c r="I686" s="169"/>
      <c r="J686" s="139"/>
    </row>
    <row r="687" spans="1:11" ht="24" x14ac:dyDescent="0.2">
      <c r="A687" s="63" t="s">
        <v>164</v>
      </c>
      <c r="B687" s="254" t="s">
        <v>403</v>
      </c>
      <c r="C687" s="255" t="s">
        <v>113</v>
      </c>
      <c r="D687" s="57">
        <v>2</v>
      </c>
      <c r="E687" s="44"/>
      <c r="F687" s="103"/>
      <c r="G687" s="104">
        <f t="shared" si="114"/>
        <v>0</v>
      </c>
      <c r="I687" s="169"/>
      <c r="J687" s="139"/>
    </row>
    <row r="688" spans="1:11" x14ac:dyDescent="0.2">
      <c r="A688" s="63"/>
      <c r="B688" s="254"/>
      <c r="C688" s="143"/>
      <c r="D688" s="57"/>
      <c r="E688" s="44"/>
      <c r="F688" s="59"/>
      <c r="G688" s="60"/>
      <c r="I688" s="169"/>
      <c r="J688" s="139"/>
    </row>
    <row r="689" spans="1:10" x14ac:dyDescent="0.2">
      <c r="A689" s="63"/>
      <c r="B689" s="254"/>
      <c r="C689" s="143"/>
      <c r="D689" s="57"/>
      <c r="E689" s="44"/>
      <c r="F689" s="59"/>
      <c r="G689" s="60"/>
      <c r="I689" s="169"/>
      <c r="J689" s="139"/>
    </row>
    <row r="690" spans="1:10" x14ac:dyDescent="0.2">
      <c r="A690" s="63"/>
      <c r="B690" s="254"/>
      <c r="C690" s="143"/>
      <c r="D690" s="57"/>
      <c r="E690" s="44"/>
      <c r="F690" s="59"/>
      <c r="G690" s="60"/>
      <c r="I690" s="169"/>
      <c r="J690" s="139"/>
    </row>
    <row r="691" spans="1:10" x14ac:dyDescent="0.2">
      <c r="A691" s="63"/>
      <c r="B691" s="254"/>
      <c r="C691" s="143"/>
      <c r="D691" s="57"/>
      <c r="E691" s="44"/>
      <c r="F691" s="59"/>
      <c r="G691" s="60"/>
      <c r="I691" s="169"/>
      <c r="J691" s="139"/>
    </row>
    <row r="692" spans="1:10" x14ac:dyDescent="0.2">
      <c r="A692" s="63"/>
      <c r="B692" s="254"/>
      <c r="C692" s="143"/>
      <c r="D692" s="57"/>
      <c r="E692" s="44"/>
      <c r="F692" s="59"/>
      <c r="G692" s="60"/>
      <c r="I692" s="169"/>
      <c r="J692" s="139"/>
    </row>
    <row r="693" spans="1:10" x14ac:dyDescent="0.2">
      <c r="A693" s="63"/>
      <c r="B693" s="254"/>
      <c r="C693" s="143"/>
      <c r="D693" s="57"/>
      <c r="E693" s="44"/>
      <c r="F693" s="59"/>
      <c r="G693" s="60"/>
      <c r="I693" s="169"/>
      <c r="J693" s="139"/>
    </row>
    <row r="694" spans="1:10" x14ac:dyDescent="0.2">
      <c r="A694" s="63"/>
      <c r="B694" s="254"/>
      <c r="C694" s="143"/>
      <c r="D694" s="57"/>
      <c r="E694" s="44"/>
      <c r="F694" s="59"/>
      <c r="G694" s="60"/>
      <c r="I694" s="169"/>
      <c r="J694" s="139"/>
    </row>
    <row r="695" spans="1:10" x14ac:dyDescent="0.2">
      <c r="A695" s="63"/>
      <c r="B695" s="254"/>
      <c r="C695" s="143"/>
      <c r="D695" s="57"/>
      <c r="E695" s="44"/>
      <c r="F695" s="59"/>
      <c r="G695" s="60"/>
      <c r="I695" s="169"/>
      <c r="J695" s="139"/>
    </row>
    <row r="696" spans="1:10" x14ac:dyDescent="0.2">
      <c r="A696" s="63"/>
      <c r="B696" s="254"/>
      <c r="C696" s="143"/>
      <c r="D696" s="57"/>
      <c r="E696" s="44"/>
      <c r="F696" s="59"/>
      <c r="G696" s="60"/>
      <c r="I696" s="169"/>
      <c r="J696" s="139"/>
    </row>
    <row r="697" spans="1:10" x14ac:dyDescent="0.2">
      <c r="A697" s="63"/>
      <c r="B697" s="254"/>
      <c r="C697" s="143"/>
      <c r="D697" s="57"/>
      <c r="E697" s="44"/>
      <c r="F697" s="59"/>
      <c r="G697" s="60"/>
      <c r="I697" s="169"/>
      <c r="J697" s="139"/>
    </row>
    <row r="698" spans="1:10" x14ac:dyDescent="0.2">
      <c r="A698" s="63"/>
      <c r="B698" s="254"/>
      <c r="C698" s="143"/>
      <c r="D698" s="57"/>
      <c r="E698" s="44"/>
      <c r="F698" s="59"/>
      <c r="G698" s="60"/>
      <c r="I698" s="169"/>
      <c r="J698" s="139"/>
    </row>
    <row r="699" spans="1:10" x14ac:dyDescent="0.2">
      <c r="A699" s="63"/>
      <c r="B699" s="254"/>
      <c r="C699" s="143"/>
      <c r="D699" s="57"/>
      <c r="E699" s="44"/>
      <c r="F699" s="59"/>
      <c r="G699" s="60"/>
      <c r="I699" s="169"/>
      <c r="J699" s="139"/>
    </row>
    <row r="700" spans="1:10" x14ac:dyDescent="0.2">
      <c r="A700" s="63"/>
      <c r="B700" s="254"/>
      <c r="C700" s="143"/>
      <c r="D700" s="57"/>
      <c r="E700" s="44"/>
      <c r="F700" s="59"/>
      <c r="G700" s="60"/>
      <c r="I700" s="169"/>
      <c r="J700" s="139"/>
    </row>
    <row r="701" spans="1:10" x14ac:dyDescent="0.2">
      <c r="A701" s="63"/>
      <c r="B701" s="254"/>
      <c r="C701" s="143"/>
      <c r="D701" s="57"/>
      <c r="E701" s="44"/>
      <c r="F701" s="59"/>
      <c r="G701" s="60"/>
      <c r="I701" s="169"/>
      <c r="J701" s="139"/>
    </row>
    <row r="702" spans="1:10" x14ac:dyDescent="0.2">
      <c r="A702" s="63"/>
      <c r="B702" s="254"/>
      <c r="C702" s="143"/>
      <c r="D702" s="57"/>
      <c r="E702" s="44"/>
      <c r="F702" s="59"/>
      <c r="G702" s="60"/>
      <c r="I702" s="169"/>
      <c r="J702" s="139"/>
    </row>
    <row r="703" spans="1:10" ht="12.75" thickBot="1" x14ac:dyDescent="0.25">
      <c r="A703" s="63"/>
      <c r="B703" s="254"/>
      <c r="C703" s="143"/>
      <c r="D703" s="57"/>
      <c r="E703" s="44"/>
      <c r="F703" s="59"/>
      <c r="G703" s="60"/>
      <c r="I703" s="169"/>
      <c r="J703" s="139"/>
    </row>
    <row r="704" spans="1:10" x14ac:dyDescent="0.2">
      <c r="A704" s="263"/>
      <c r="B704" s="69" t="s">
        <v>189</v>
      </c>
      <c r="C704" s="264"/>
      <c r="D704" s="265"/>
      <c r="E704" s="72"/>
      <c r="F704" s="191"/>
      <c r="G704" s="192"/>
    </row>
    <row r="705" spans="1:12" ht="12.75" thickBot="1" x14ac:dyDescent="0.25">
      <c r="A705" s="266"/>
      <c r="B705" s="74" t="s">
        <v>190</v>
      </c>
      <c r="C705" s="267"/>
      <c r="D705" s="268"/>
      <c r="E705" s="77"/>
      <c r="F705" s="155"/>
      <c r="G705" s="193">
        <f>SUM(G652:G704)</f>
        <v>0</v>
      </c>
    </row>
    <row r="706" spans="1:12" x14ac:dyDescent="0.2">
      <c r="A706" s="194"/>
      <c r="B706" s="80"/>
      <c r="C706" s="42"/>
      <c r="D706" s="43"/>
      <c r="E706" s="44"/>
      <c r="F706" s="59"/>
      <c r="G706" s="150"/>
    </row>
    <row r="707" spans="1:12" x14ac:dyDescent="0.2">
      <c r="A707" s="40"/>
      <c r="B707" s="41" t="s">
        <v>191</v>
      </c>
      <c r="C707" s="56"/>
      <c r="D707" s="57"/>
      <c r="E707" s="44"/>
      <c r="F707" s="59"/>
      <c r="G707" s="60"/>
    </row>
    <row r="708" spans="1:12" x14ac:dyDescent="0.2">
      <c r="A708" s="40"/>
      <c r="B708" s="49" t="s">
        <v>162</v>
      </c>
      <c r="C708" s="56"/>
      <c r="D708" s="57"/>
      <c r="E708" s="44"/>
      <c r="F708" s="59"/>
      <c r="G708" s="60"/>
    </row>
    <row r="709" spans="1:12" x14ac:dyDescent="0.2">
      <c r="A709" s="194" t="s">
        <v>111</v>
      </c>
      <c r="B709" s="98" t="s">
        <v>41</v>
      </c>
      <c r="C709" s="56"/>
      <c r="D709" s="57"/>
      <c r="E709" s="44"/>
      <c r="F709" s="59"/>
      <c r="G709" s="60"/>
    </row>
    <row r="710" spans="1:12" ht="62.25" customHeight="1" x14ac:dyDescent="0.2">
      <c r="A710" s="194"/>
      <c r="B710" s="269" t="s">
        <v>248</v>
      </c>
      <c r="C710" s="270"/>
      <c r="D710" s="270"/>
      <c r="E710" s="270"/>
      <c r="F710" s="270"/>
      <c r="G710" s="271"/>
    </row>
    <row r="711" spans="1:12" ht="42.75" customHeight="1" x14ac:dyDescent="0.2">
      <c r="A711" s="194"/>
      <c r="B711" s="272" t="s">
        <v>117</v>
      </c>
      <c r="C711" s="272"/>
      <c r="D711" s="272"/>
      <c r="E711" s="272"/>
      <c r="F711" s="272"/>
      <c r="G711" s="273"/>
      <c r="I711" s="139"/>
    </row>
    <row r="712" spans="1:12" ht="36.75" customHeight="1" x14ac:dyDescent="0.2">
      <c r="A712" s="40"/>
      <c r="B712" s="274" t="s">
        <v>236</v>
      </c>
      <c r="C712" s="274"/>
      <c r="D712" s="274"/>
      <c r="E712" s="274"/>
      <c r="F712" s="274"/>
      <c r="G712" s="275"/>
    </row>
    <row r="713" spans="1:12" x14ac:dyDescent="0.2">
      <c r="A713" s="118" t="s">
        <v>169</v>
      </c>
      <c r="B713" s="276" t="s">
        <v>92</v>
      </c>
      <c r="C713" s="131"/>
      <c r="D713" s="121"/>
      <c r="E713" s="122"/>
      <c r="F713" s="121"/>
      <c r="G713" s="203"/>
    </row>
    <row r="714" spans="1:12" x14ac:dyDescent="0.2">
      <c r="A714" s="243" t="s">
        <v>150</v>
      </c>
      <c r="B714" s="244" t="s">
        <v>328</v>
      </c>
      <c r="C714" s="277"/>
      <c r="D714" s="278"/>
      <c r="E714" s="279"/>
      <c r="F714" s="166"/>
      <c r="G714" s="167"/>
    </row>
    <row r="715" spans="1:12" ht="13.5" x14ac:dyDescent="0.2">
      <c r="A715" s="194"/>
      <c r="B715" s="280" t="s">
        <v>506</v>
      </c>
      <c r="C715" s="81" t="s">
        <v>456</v>
      </c>
      <c r="D715" s="57">
        <v>218.2</v>
      </c>
      <c r="E715" s="44"/>
      <c r="F715" s="59"/>
      <c r="G715" s="60"/>
      <c r="I715" s="169">
        <f>51.46*4+4.085*3.025</f>
        <v>218.197125</v>
      </c>
    </row>
    <row r="716" spans="1:12" x14ac:dyDescent="0.2">
      <c r="A716" s="194"/>
      <c r="B716" s="280"/>
      <c r="C716" s="81"/>
      <c r="D716" s="57"/>
      <c r="E716" s="44"/>
      <c r="F716" s="59"/>
      <c r="G716" s="60"/>
      <c r="I716" s="169"/>
    </row>
    <row r="717" spans="1:12" x14ac:dyDescent="0.2">
      <c r="A717" s="243" t="s">
        <v>151</v>
      </c>
      <c r="B717" s="244" t="s">
        <v>329</v>
      </c>
      <c r="C717" s="277"/>
      <c r="D717" s="278"/>
      <c r="E717" s="279"/>
      <c r="F717" s="166"/>
      <c r="G717" s="167"/>
      <c r="I717" s="169"/>
    </row>
    <row r="718" spans="1:12" ht="24" x14ac:dyDescent="0.2">
      <c r="A718" s="194"/>
      <c r="B718" s="280" t="s">
        <v>424</v>
      </c>
      <c r="C718" s="81" t="s">
        <v>456</v>
      </c>
      <c r="D718" s="57">
        <v>18</v>
      </c>
      <c r="E718" s="44"/>
      <c r="F718" s="59"/>
      <c r="G718" s="60">
        <f>(D718*E718)+(D718*F718)</f>
        <v>0</v>
      </c>
      <c r="I718" s="169"/>
    </row>
    <row r="719" spans="1:12" ht="13.5" x14ac:dyDescent="0.2">
      <c r="A719" s="194"/>
      <c r="B719" s="280" t="s">
        <v>425</v>
      </c>
      <c r="C719" s="81" t="s">
        <v>456</v>
      </c>
      <c r="D719" s="57">
        <v>18</v>
      </c>
      <c r="E719" s="44"/>
      <c r="F719" s="59"/>
      <c r="G719" s="60">
        <f t="shared" ref="G719:G721" si="115">(D719*E719)+(D719*F719)</f>
        <v>0</v>
      </c>
      <c r="I719" s="169"/>
    </row>
    <row r="720" spans="1:12" ht="24" x14ac:dyDescent="0.2">
      <c r="A720" s="194"/>
      <c r="B720" s="280" t="s">
        <v>330</v>
      </c>
      <c r="C720" s="81" t="s">
        <v>456</v>
      </c>
      <c r="D720" s="57">
        <v>102.9</v>
      </c>
      <c r="E720" s="44"/>
      <c r="F720" s="59"/>
      <c r="G720" s="60">
        <f t="shared" si="115"/>
        <v>0</v>
      </c>
      <c r="I720" s="169">
        <f>32.2*2</f>
        <v>64.400000000000006</v>
      </c>
      <c r="J720" s="28">
        <f>8.5*3</f>
        <v>25.5</v>
      </c>
      <c r="K720" s="169">
        <f>3.025*4.28</f>
        <v>12.947000000000001</v>
      </c>
      <c r="L720" s="169">
        <f>SUM(I720:K720)</f>
        <v>102.84700000000001</v>
      </c>
    </row>
    <row r="721" spans="1:9" ht="13.5" x14ac:dyDescent="0.2">
      <c r="A721" s="194"/>
      <c r="B721" s="280" t="s">
        <v>331</v>
      </c>
      <c r="C721" s="81" t="s">
        <v>456</v>
      </c>
      <c r="D721" s="57">
        <v>49.95</v>
      </c>
      <c r="E721" s="44"/>
      <c r="F721" s="59"/>
      <c r="G721" s="60">
        <f t="shared" si="115"/>
        <v>0</v>
      </c>
      <c r="I721" s="28">
        <f>32.2*0.775*2</f>
        <v>49.910000000000004</v>
      </c>
    </row>
    <row r="722" spans="1:9" x14ac:dyDescent="0.2">
      <c r="A722" s="194"/>
      <c r="B722" s="280"/>
      <c r="C722" s="81"/>
      <c r="D722" s="57"/>
      <c r="E722" s="44"/>
      <c r="F722" s="59"/>
      <c r="G722" s="60"/>
    </row>
    <row r="723" spans="1:9" x14ac:dyDescent="0.2">
      <c r="A723" s="118" t="s">
        <v>349</v>
      </c>
      <c r="B723" s="276" t="s">
        <v>350</v>
      </c>
      <c r="C723" s="131"/>
      <c r="D723" s="121"/>
      <c r="E723" s="122"/>
      <c r="F723" s="121"/>
      <c r="G723" s="203"/>
    </row>
    <row r="724" spans="1:9" ht="36" x14ac:dyDescent="0.2">
      <c r="A724" s="40" t="s">
        <v>163</v>
      </c>
      <c r="B724" s="280" t="s">
        <v>351</v>
      </c>
      <c r="C724" s="81" t="s">
        <v>346</v>
      </c>
      <c r="D724" s="57">
        <v>65</v>
      </c>
      <c r="E724" s="44"/>
      <c r="F724" s="59"/>
      <c r="G724" s="60">
        <f>(D724*E724)+(D724*F724)</f>
        <v>0</v>
      </c>
      <c r="I724" s="28">
        <f>32.2*2</f>
        <v>64.400000000000006</v>
      </c>
    </row>
    <row r="725" spans="1:9" x14ac:dyDescent="0.2">
      <c r="A725" s="194"/>
      <c r="B725" s="280"/>
      <c r="C725" s="81"/>
      <c r="D725" s="57"/>
      <c r="E725" s="44"/>
      <c r="F725" s="59"/>
      <c r="G725" s="60"/>
    </row>
    <row r="726" spans="1:9" x14ac:dyDescent="0.2">
      <c r="A726" s="194"/>
      <c r="B726" s="280"/>
      <c r="C726" s="81"/>
      <c r="D726" s="57"/>
      <c r="E726" s="44"/>
      <c r="F726" s="59"/>
      <c r="G726" s="60"/>
    </row>
    <row r="727" spans="1:9" x14ac:dyDescent="0.2">
      <c r="A727" s="194"/>
      <c r="B727" s="280"/>
      <c r="C727" s="81"/>
      <c r="D727" s="57"/>
      <c r="E727" s="44"/>
      <c r="F727" s="59"/>
      <c r="G727" s="60"/>
    </row>
    <row r="728" spans="1:9" x14ac:dyDescent="0.2">
      <c r="A728" s="194"/>
      <c r="B728" s="280"/>
      <c r="C728" s="81"/>
      <c r="D728" s="57"/>
      <c r="E728" s="44"/>
      <c r="F728" s="59"/>
      <c r="G728" s="60"/>
    </row>
    <row r="729" spans="1:9" x14ac:dyDescent="0.2">
      <c r="A729" s="194"/>
      <c r="B729" s="280"/>
      <c r="C729" s="81"/>
      <c r="D729" s="57"/>
      <c r="E729" s="44"/>
      <c r="F729" s="59"/>
      <c r="G729" s="60"/>
    </row>
    <row r="730" spans="1:9" x14ac:dyDescent="0.2">
      <c r="A730" s="194"/>
      <c r="B730" s="280"/>
      <c r="C730" s="81"/>
      <c r="D730" s="57"/>
      <c r="E730" s="44"/>
      <c r="F730" s="59"/>
      <c r="G730" s="60"/>
    </row>
    <row r="731" spans="1:9" x14ac:dyDescent="0.2">
      <c r="A731" s="194"/>
      <c r="B731" s="280"/>
      <c r="C731" s="81"/>
      <c r="D731" s="57"/>
      <c r="E731" s="44"/>
      <c r="F731" s="59"/>
      <c r="G731" s="60"/>
    </row>
    <row r="732" spans="1:9" x14ac:dyDescent="0.2">
      <c r="A732" s="194"/>
      <c r="B732" s="280"/>
      <c r="C732" s="81"/>
      <c r="D732" s="57"/>
      <c r="E732" s="44"/>
      <c r="F732" s="59"/>
      <c r="G732" s="60"/>
    </row>
    <row r="733" spans="1:9" x14ac:dyDescent="0.2">
      <c r="A733" s="194"/>
      <c r="B733" s="280"/>
      <c r="C733" s="81"/>
      <c r="D733" s="57"/>
      <c r="E733" s="44"/>
      <c r="F733" s="59"/>
      <c r="G733" s="60"/>
    </row>
    <row r="734" spans="1:9" x14ac:dyDescent="0.2">
      <c r="A734" s="194"/>
      <c r="B734" s="280"/>
      <c r="C734" s="81"/>
      <c r="D734" s="57"/>
      <c r="E734" s="44"/>
      <c r="F734" s="59"/>
      <c r="G734" s="60"/>
    </row>
    <row r="735" spans="1:9" x14ac:dyDescent="0.2">
      <c r="A735" s="194"/>
      <c r="B735" s="280"/>
      <c r="C735" s="81"/>
      <c r="D735" s="57"/>
      <c r="E735" s="44"/>
      <c r="F735" s="59"/>
      <c r="G735" s="60"/>
    </row>
    <row r="736" spans="1:9" x14ac:dyDescent="0.2">
      <c r="A736" s="194"/>
      <c r="B736" s="280"/>
      <c r="C736" s="81"/>
      <c r="D736" s="57"/>
      <c r="E736" s="44"/>
      <c r="F736" s="59"/>
      <c r="G736" s="60"/>
    </row>
    <row r="737" spans="1:7" x14ac:dyDescent="0.2">
      <c r="A737" s="194"/>
      <c r="B737" s="280"/>
      <c r="C737" s="81"/>
      <c r="D737" s="57"/>
      <c r="E737" s="44"/>
      <c r="F737" s="59"/>
      <c r="G737" s="60"/>
    </row>
    <row r="738" spans="1:7" x14ac:dyDescent="0.2">
      <c r="A738" s="194"/>
      <c r="B738" s="280"/>
      <c r="C738" s="81"/>
      <c r="D738" s="57"/>
      <c r="E738" s="44"/>
      <c r="F738" s="59"/>
      <c r="G738" s="60"/>
    </row>
    <row r="739" spans="1:7" x14ac:dyDescent="0.2">
      <c r="A739" s="194"/>
      <c r="B739" s="280"/>
      <c r="C739" s="81"/>
      <c r="D739" s="57"/>
      <c r="E739" s="44"/>
      <c r="F739" s="59"/>
      <c r="G739" s="60"/>
    </row>
    <row r="740" spans="1:7" x14ac:dyDescent="0.2">
      <c r="A740" s="194"/>
      <c r="B740" s="280"/>
      <c r="C740" s="81"/>
      <c r="D740" s="57"/>
      <c r="E740" s="44"/>
      <c r="F740" s="59"/>
      <c r="G740" s="60"/>
    </row>
    <row r="741" spans="1:7" x14ac:dyDescent="0.2">
      <c r="A741" s="194"/>
      <c r="B741" s="280"/>
      <c r="C741" s="81"/>
      <c r="D741" s="57"/>
      <c r="E741" s="44"/>
      <c r="F741" s="59"/>
      <c r="G741" s="60"/>
    </row>
    <row r="742" spans="1:7" x14ac:dyDescent="0.2">
      <c r="A742" s="194"/>
      <c r="B742" s="280"/>
      <c r="C742" s="81"/>
      <c r="D742" s="57"/>
      <c r="E742" s="44"/>
      <c r="F742" s="59"/>
      <c r="G742" s="60"/>
    </row>
    <row r="743" spans="1:7" x14ac:dyDescent="0.2">
      <c r="A743" s="194"/>
      <c r="B743" s="280"/>
      <c r="C743" s="81"/>
      <c r="D743" s="57"/>
      <c r="E743" s="44"/>
      <c r="F743" s="59"/>
      <c r="G743" s="60"/>
    </row>
    <row r="744" spans="1:7" x14ac:dyDescent="0.2">
      <c r="A744" s="194"/>
      <c r="B744" s="280"/>
      <c r="C744" s="81"/>
      <c r="D744" s="57"/>
      <c r="E744" s="44"/>
      <c r="F744" s="59"/>
      <c r="G744" s="60"/>
    </row>
    <row r="745" spans="1:7" x14ac:dyDescent="0.2">
      <c r="A745" s="194"/>
      <c r="B745" s="280"/>
      <c r="C745" s="81"/>
      <c r="D745" s="57"/>
      <c r="E745" s="44"/>
      <c r="F745" s="59"/>
      <c r="G745" s="60"/>
    </row>
    <row r="746" spans="1:7" x14ac:dyDescent="0.2">
      <c r="A746" s="194"/>
      <c r="B746" s="280"/>
      <c r="C746" s="81"/>
      <c r="D746" s="57"/>
      <c r="E746" s="44"/>
      <c r="F746" s="59"/>
      <c r="G746" s="60"/>
    </row>
    <row r="747" spans="1:7" x14ac:dyDescent="0.2">
      <c r="A747" s="194"/>
      <c r="B747" s="280"/>
      <c r="C747" s="81"/>
      <c r="D747" s="57"/>
      <c r="E747" s="44"/>
      <c r="F747" s="59"/>
      <c r="G747" s="60"/>
    </row>
    <row r="748" spans="1:7" x14ac:dyDescent="0.2">
      <c r="A748" s="194"/>
      <c r="B748" s="280"/>
      <c r="C748" s="81"/>
      <c r="D748" s="57"/>
      <c r="E748" s="44"/>
      <c r="F748" s="59"/>
      <c r="G748" s="60"/>
    </row>
    <row r="749" spans="1:7" ht="12.75" thickBot="1" x14ac:dyDescent="0.25">
      <c r="A749" s="194"/>
      <c r="B749" s="280"/>
      <c r="C749" s="81"/>
      <c r="D749" s="57"/>
      <c r="E749" s="44"/>
      <c r="F749" s="59"/>
      <c r="G749" s="60"/>
    </row>
    <row r="750" spans="1:7" x14ac:dyDescent="0.2">
      <c r="A750" s="68"/>
      <c r="B750" s="69" t="s">
        <v>192</v>
      </c>
      <c r="C750" s="113"/>
      <c r="D750" s="71"/>
      <c r="E750" s="72"/>
      <c r="F750" s="191"/>
      <c r="G750" s="192"/>
    </row>
    <row r="751" spans="1:7" ht="12.75" thickBot="1" x14ac:dyDescent="0.25">
      <c r="A751" s="73"/>
      <c r="B751" s="74" t="s">
        <v>114</v>
      </c>
      <c r="C751" s="114"/>
      <c r="D751" s="76"/>
      <c r="E751" s="77"/>
      <c r="F751" s="155"/>
      <c r="G751" s="193">
        <f>SUM(G715:G724)</f>
        <v>0</v>
      </c>
    </row>
    <row r="752" spans="1:7" x14ac:dyDescent="0.2">
      <c r="A752" s="40"/>
      <c r="B752" s="80"/>
      <c r="C752" s="56"/>
      <c r="D752" s="57"/>
      <c r="E752" s="44"/>
      <c r="F752" s="59"/>
      <c r="G752" s="150"/>
    </row>
    <row r="753" spans="1:11" x14ac:dyDescent="0.2">
      <c r="A753" s="40"/>
      <c r="B753" s="41" t="s">
        <v>115</v>
      </c>
      <c r="C753" s="56"/>
      <c r="D753" s="57"/>
      <c r="E753" s="44"/>
      <c r="F753" s="59"/>
      <c r="G753" s="60"/>
    </row>
    <row r="754" spans="1:11" x14ac:dyDescent="0.2">
      <c r="A754" s="40"/>
      <c r="B754" s="49" t="s">
        <v>94</v>
      </c>
      <c r="C754" s="56"/>
      <c r="D754" s="57"/>
      <c r="E754" s="44"/>
      <c r="F754" s="59"/>
      <c r="G754" s="60"/>
    </row>
    <row r="755" spans="1:11" x14ac:dyDescent="0.2">
      <c r="A755" s="194" t="s">
        <v>116</v>
      </c>
      <c r="B755" s="98" t="s">
        <v>41</v>
      </c>
      <c r="C755" s="56" t="s">
        <v>59</v>
      </c>
      <c r="D755" s="57"/>
      <c r="E755" s="44"/>
      <c r="F755" s="59"/>
      <c r="G755" s="60"/>
      <c r="I755" s="281"/>
      <c r="J755" s="282">
        <v>80.599999999999994</v>
      </c>
      <c r="K755" s="282"/>
    </row>
    <row r="756" spans="1:11" s="284" customFormat="1" ht="51" customHeight="1" x14ac:dyDescent="0.2">
      <c r="A756" s="63"/>
      <c r="B756" s="447" t="s">
        <v>268</v>
      </c>
      <c r="C756" s="448"/>
      <c r="D756" s="448"/>
      <c r="E756" s="449"/>
      <c r="F756" s="109"/>
      <c r="G756" s="283"/>
      <c r="I756" s="281"/>
      <c r="J756" s="285"/>
      <c r="K756" s="282"/>
    </row>
    <row r="757" spans="1:11" s="284" customFormat="1" ht="17.25" customHeight="1" x14ac:dyDescent="0.2">
      <c r="A757" s="63"/>
      <c r="B757" s="434" t="s">
        <v>451</v>
      </c>
      <c r="C757" s="435"/>
      <c r="D757" s="435"/>
      <c r="E757" s="436"/>
      <c r="F757" s="109"/>
      <c r="G757" s="283"/>
      <c r="I757" s="281"/>
      <c r="J757" s="282">
        <v>168.85</v>
      </c>
      <c r="K757" s="282"/>
    </row>
    <row r="758" spans="1:11" s="284" customFormat="1" ht="40.5" customHeight="1" x14ac:dyDescent="0.2">
      <c r="A758" s="63"/>
      <c r="B758" s="434" t="s">
        <v>466</v>
      </c>
      <c r="C758" s="435"/>
      <c r="D758" s="435"/>
      <c r="E758" s="436"/>
      <c r="F758" s="109"/>
      <c r="G758" s="283"/>
      <c r="I758" s="281"/>
      <c r="J758" s="285"/>
      <c r="K758" s="282"/>
    </row>
    <row r="759" spans="1:11" s="284" customFormat="1" ht="52.5" customHeight="1" x14ac:dyDescent="0.2">
      <c r="A759" s="63"/>
      <c r="B759" s="434" t="s">
        <v>467</v>
      </c>
      <c r="C759" s="435"/>
      <c r="D759" s="435"/>
      <c r="E759" s="436"/>
      <c r="F759" s="109"/>
      <c r="G759" s="283"/>
      <c r="I759" s="286"/>
      <c r="J759" s="282">
        <v>139</v>
      </c>
      <c r="K759" s="287"/>
    </row>
    <row r="760" spans="1:11" s="284" customFormat="1" ht="12" customHeight="1" x14ac:dyDescent="0.2">
      <c r="A760" s="63"/>
      <c r="B760" s="288"/>
      <c r="C760" s="289"/>
      <c r="D760" s="289"/>
      <c r="E760" s="290"/>
      <c r="F760" s="109"/>
      <c r="G760" s="283"/>
      <c r="I760" s="286"/>
      <c r="J760" s="282"/>
      <c r="K760" s="287"/>
    </row>
    <row r="761" spans="1:11" x14ac:dyDescent="0.2">
      <c r="A761" s="243" t="s">
        <v>150</v>
      </c>
      <c r="B761" s="244" t="s">
        <v>66</v>
      </c>
      <c r="C761" s="245"/>
      <c r="D761" s="246"/>
      <c r="E761" s="222"/>
      <c r="F761" s="166"/>
      <c r="G761" s="167"/>
      <c r="I761" s="282"/>
      <c r="J761" s="287"/>
      <c r="K761" s="282"/>
    </row>
    <row r="762" spans="1:11" ht="36" x14ac:dyDescent="0.2">
      <c r="A762" s="40"/>
      <c r="B762" s="291" t="s">
        <v>468</v>
      </c>
      <c r="C762" s="292" t="s">
        <v>456</v>
      </c>
      <c r="D762" s="57">
        <f>D475</f>
        <v>307.45</v>
      </c>
      <c r="E762" s="44"/>
      <c r="F762" s="59"/>
      <c r="G762" s="60">
        <f t="shared" ref="G762:G764" si="116">(D762*E762)+(D762*F762)</f>
        <v>0</v>
      </c>
      <c r="I762" s="282"/>
      <c r="J762" s="285"/>
      <c r="K762" s="282"/>
    </row>
    <row r="763" spans="1:11" ht="24.75" customHeight="1" x14ac:dyDescent="0.2">
      <c r="A763" s="40"/>
      <c r="B763" s="291" t="s">
        <v>469</v>
      </c>
      <c r="C763" s="292" t="s">
        <v>456</v>
      </c>
      <c r="D763" s="57">
        <f>D478</f>
        <v>602.85</v>
      </c>
      <c r="E763" s="44"/>
      <c r="F763" s="59"/>
      <c r="G763" s="60">
        <f t="shared" si="116"/>
        <v>0</v>
      </c>
      <c r="I763" s="282"/>
      <c r="J763" s="282">
        <v>143.19999999999999</v>
      </c>
      <c r="K763" s="282"/>
    </row>
    <row r="764" spans="1:11" ht="28.5" customHeight="1" x14ac:dyDescent="0.2">
      <c r="A764" s="40"/>
      <c r="B764" s="291" t="s">
        <v>470</v>
      </c>
      <c r="C764" s="292" t="s">
        <v>456</v>
      </c>
      <c r="D764" s="57">
        <v>321.24</v>
      </c>
      <c r="E764" s="44"/>
      <c r="F764" s="59"/>
      <c r="G764" s="60">
        <f t="shared" si="116"/>
        <v>0</v>
      </c>
      <c r="I764" s="282">
        <f>51.46*4+8.5*3*2+32.2*2</f>
        <v>321.24</v>
      </c>
      <c r="J764" s="285"/>
      <c r="K764" s="282"/>
    </row>
    <row r="765" spans="1:11" x14ac:dyDescent="0.2">
      <c r="A765" s="40"/>
      <c r="B765" s="291"/>
      <c r="C765" s="292"/>
      <c r="D765" s="57"/>
      <c r="E765" s="44"/>
      <c r="F765" s="59"/>
      <c r="G765" s="60"/>
      <c r="I765" s="287"/>
      <c r="J765" s="282"/>
      <c r="K765" s="282"/>
    </row>
    <row r="766" spans="1:11" x14ac:dyDescent="0.2">
      <c r="A766" s="243" t="s">
        <v>151</v>
      </c>
      <c r="B766" s="244" t="s">
        <v>68</v>
      </c>
      <c r="C766" s="245"/>
      <c r="D766" s="246"/>
      <c r="E766" s="222"/>
      <c r="F766" s="166"/>
      <c r="G766" s="167"/>
      <c r="I766" s="282"/>
      <c r="J766" s="287"/>
      <c r="K766" s="282"/>
    </row>
    <row r="767" spans="1:11" ht="36" x14ac:dyDescent="0.2">
      <c r="A767" s="40"/>
      <c r="B767" s="291" t="s">
        <v>468</v>
      </c>
      <c r="C767" s="292" t="s">
        <v>456</v>
      </c>
      <c r="D767" s="57">
        <f>D481</f>
        <v>357.25</v>
      </c>
      <c r="E767" s="44"/>
      <c r="F767" s="59"/>
      <c r="G767" s="60">
        <f t="shared" ref="G767:G769" si="117">(D767*E767)+(D767*F767)</f>
        <v>0</v>
      </c>
      <c r="I767" s="282"/>
      <c r="J767" s="285"/>
      <c r="K767" s="282"/>
    </row>
    <row r="768" spans="1:11" ht="26.25" customHeight="1" x14ac:dyDescent="0.2">
      <c r="A768" s="40"/>
      <c r="B768" s="291" t="s">
        <v>469</v>
      </c>
      <c r="C768" s="292" t="s">
        <v>456</v>
      </c>
      <c r="D768" s="57">
        <f>D483</f>
        <v>598</v>
      </c>
      <c r="E768" s="44"/>
      <c r="F768" s="59"/>
      <c r="G768" s="60">
        <f t="shared" si="117"/>
        <v>0</v>
      </c>
      <c r="I768" s="282"/>
      <c r="J768" s="282">
        <v>143.19999999999999</v>
      </c>
      <c r="K768" s="282"/>
    </row>
    <row r="769" spans="1:12" ht="24" x14ac:dyDescent="0.2">
      <c r="A769" s="40"/>
      <c r="B769" s="291" t="s">
        <v>470</v>
      </c>
      <c r="C769" s="292" t="s">
        <v>456</v>
      </c>
      <c r="D769" s="57">
        <v>321.24</v>
      </c>
      <c r="E769" s="44"/>
      <c r="F769" s="59"/>
      <c r="G769" s="60">
        <f t="shared" si="117"/>
        <v>0</v>
      </c>
      <c r="I769" s="282">
        <f>51.46*4+32.2*2+8.5*3*2</f>
        <v>321.24</v>
      </c>
      <c r="J769" s="285">
        <f>D718</f>
        <v>18</v>
      </c>
      <c r="K769" s="282"/>
    </row>
    <row r="770" spans="1:12" x14ac:dyDescent="0.2">
      <c r="A770" s="243" t="s">
        <v>57</v>
      </c>
      <c r="B770" s="244" t="s">
        <v>70</v>
      </c>
      <c r="C770" s="245"/>
      <c r="D770" s="246"/>
      <c r="E770" s="222"/>
      <c r="F770" s="166"/>
      <c r="G770" s="167"/>
      <c r="J770" s="282">
        <v>319.60000000000002</v>
      </c>
    </row>
    <row r="771" spans="1:12" ht="36" x14ac:dyDescent="0.2">
      <c r="A771" s="40"/>
      <c r="B771" s="291" t="s">
        <v>468</v>
      </c>
      <c r="C771" s="292" t="s">
        <v>456</v>
      </c>
      <c r="D771" s="57">
        <f>D486</f>
        <v>357.7</v>
      </c>
      <c r="E771" s="44"/>
      <c r="F771" s="59"/>
      <c r="G771" s="60">
        <f t="shared" ref="G771:G773" si="118">(D771*E771)+(D771*F771)</f>
        <v>0</v>
      </c>
      <c r="J771" s="287"/>
    </row>
    <row r="772" spans="1:12" ht="24" x14ac:dyDescent="0.2">
      <c r="A772" s="40"/>
      <c r="B772" s="291" t="s">
        <v>469</v>
      </c>
      <c r="C772" s="292" t="s">
        <v>456</v>
      </c>
      <c r="D772" s="57">
        <f>D488</f>
        <v>629.04999999999995</v>
      </c>
      <c r="E772" s="44"/>
      <c r="F772" s="59"/>
      <c r="G772" s="60">
        <f t="shared" si="118"/>
        <v>0</v>
      </c>
      <c r="J772" s="285"/>
    </row>
    <row r="773" spans="1:12" ht="24" x14ac:dyDescent="0.2">
      <c r="A773" s="40"/>
      <c r="B773" s="291" t="s">
        <v>470</v>
      </c>
      <c r="C773" s="292" t="s">
        <v>456</v>
      </c>
      <c r="D773" s="57">
        <v>103.1</v>
      </c>
      <c r="E773" s="44"/>
      <c r="F773" s="59"/>
      <c r="G773" s="60">
        <f t="shared" si="118"/>
        <v>0</v>
      </c>
      <c r="I773" s="282">
        <f>51.46*4+32.2*2+8.5*3*2</f>
        <v>321.24</v>
      </c>
      <c r="J773" s="282">
        <f>I773-I715</f>
        <v>103.04287500000001</v>
      </c>
      <c r="K773" s="169"/>
      <c r="L773" s="139"/>
    </row>
    <row r="774" spans="1:12" x14ac:dyDescent="0.2">
      <c r="A774" s="243" t="s">
        <v>152</v>
      </c>
      <c r="B774" s="244" t="s">
        <v>260</v>
      </c>
      <c r="C774" s="245"/>
      <c r="D774" s="246"/>
      <c r="E774" s="222"/>
      <c r="F774" s="166"/>
      <c r="G774" s="167"/>
      <c r="J774" s="282"/>
    </row>
    <row r="775" spans="1:12" ht="36" x14ac:dyDescent="0.2">
      <c r="A775" s="40"/>
      <c r="B775" s="291" t="s">
        <v>468</v>
      </c>
      <c r="C775" s="292" t="s">
        <v>456</v>
      </c>
      <c r="D775" s="57">
        <f>D491</f>
        <v>24.8</v>
      </c>
      <c r="E775" s="44"/>
      <c r="F775" s="59"/>
      <c r="G775" s="60">
        <f t="shared" ref="G775:G777" si="119">(D775*E775)+(D775*F775)</f>
        <v>0</v>
      </c>
      <c r="J775" s="282"/>
    </row>
    <row r="776" spans="1:12" ht="24" x14ac:dyDescent="0.2">
      <c r="A776" s="40"/>
      <c r="B776" s="291" t="s">
        <v>469</v>
      </c>
      <c r="C776" s="292" t="s">
        <v>456</v>
      </c>
      <c r="D776" s="57">
        <f>D493</f>
        <v>24.8</v>
      </c>
      <c r="E776" s="44"/>
      <c r="F776" s="59"/>
      <c r="G776" s="60">
        <f t="shared" si="119"/>
        <v>0</v>
      </c>
      <c r="J776" s="282"/>
    </row>
    <row r="777" spans="1:12" ht="24" x14ac:dyDescent="0.2">
      <c r="A777" s="40"/>
      <c r="B777" s="291" t="s">
        <v>471</v>
      </c>
      <c r="C777" s="292" t="s">
        <v>456</v>
      </c>
      <c r="D777" s="57">
        <f>D721</f>
        <v>49.95</v>
      </c>
      <c r="E777" s="44"/>
      <c r="F777" s="59"/>
      <c r="G777" s="60">
        <f t="shared" si="119"/>
        <v>0</v>
      </c>
      <c r="J777" s="282"/>
    </row>
    <row r="778" spans="1:12" x14ac:dyDescent="0.2">
      <c r="A778" s="40"/>
      <c r="B778" s="291"/>
      <c r="C778" s="292"/>
      <c r="D778" s="57"/>
      <c r="E778" s="44"/>
      <c r="F778" s="59"/>
      <c r="G778" s="60"/>
      <c r="J778" s="293"/>
    </row>
    <row r="779" spans="1:12" x14ac:dyDescent="0.2">
      <c r="A779" s="40"/>
      <c r="B779" s="291"/>
      <c r="C779" s="292"/>
      <c r="D779" s="57"/>
      <c r="E779" s="44"/>
      <c r="F779" s="59"/>
      <c r="G779" s="60"/>
      <c r="J779" s="293"/>
    </row>
    <row r="780" spans="1:12" x14ac:dyDescent="0.2">
      <c r="A780" s="40"/>
      <c r="B780" s="291"/>
      <c r="C780" s="292"/>
      <c r="D780" s="57"/>
      <c r="E780" s="44"/>
      <c r="F780" s="59"/>
      <c r="G780" s="60"/>
      <c r="J780" s="293"/>
    </row>
    <row r="781" spans="1:12" x14ac:dyDescent="0.2">
      <c r="A781" s="40"/>
      <c r="B781" s="291"/>
      <c r="C781" s="292"/>
      <c r="D781" s="57"/>
      <c r="E781" s="44"/>
      <c r="F781" s="59"/>
      <c r="G781" s="60"/>
      <c r="J781" s="293"/>
    </row>
    <row r="782" spans="1:12" ht="12.75" thickBot="1" x14ac:dyDescent="0.25">
      <c r="A782" s="40"/>
      <c r="B782" s="291"/>
      <c r="C782" s="292"/>
      <c r="D782" s="57"/>
      <c r="E782" s="44"/>
      <c r="F782" s="59"/>
      <c r="G782" s="60"/>
      <c r="J782" s="293"/>
    </row>
    <row r="783" spans="1:12" x14ac:dyDescent="0.2">
      <c r="A783" s="68"/>
      <c r="B783" s="69" t="s">
        <v>193</v>
      </c>
      <c r="C783" s="113"/>
      <c r="D783" s="71"/>
      <c r="E783" s="72"/>
      <c r="F783" s="191"/>
      <c r="G783" s="192"/>
    </row>
    <row r="784" spans="1:12" ht="12.75" thickBot="1" x14ac:dyDescent="0.25">
      <c r="A784" s="73"/>
      <c r="B784" s="74" t="s">
        <v>118</v>
      </c>
      <c r="C784" s="114"/>
      <c r="D784" s="76"/>
      <c r="E784" s="77"/>
      <c r="F784" s="155"/>
      <c r="G784" s="193">
        <f>SUM(G762:G777)</f>
        <v>0</v>
      </c>
    </row>
    <row r="785" spans="1:9" x14ac:dyDescent="0.2">
      <c r="A785" s="40"/>
      <c r="B785" s="80"/>
      <c r="C785" s="56"/>
      <c r="D785" s="57"/>
      <c r="E785" s="44"/>
      <c r="F785" s="59"/>
      <c r="G785" s="150"/>
    </row>
    <row r="786" spans="1:9" x14ac:dyDescent="0.2">
      <c r="A786" s="40"/>
      <c r="B786" s="41" t="s">
        <v>119</v>
      </c>
      <c r="C786" s="56"/>
      <c r="D786" s="57"/>
      <c r="E786" s="44"/>
      <c r="F786" s="59"/>
      <c r="G786" s="60"/>
    </row>
    <row r="787" spans="1:9" x14ac:dyDescent="0.2">
      <c r="A787" s="40"/>
      <c r="B787" s="49" t="s">
        <v>96</v>
      </c>
      <c r="C787" s="56"/>
      <c r="D787" s="57"/>
      <c r="E787" s="44"/>
      <c r="F787" s="59"/>
      <c r="G787" s="60"/>
    </row>
    <row r="788" spans="1:9" x14ac:dyDescent="0.2">
      <c r="A788" s="194" t="s">
        <v>120</v>
      </c>
      <c r="B788" s="98" t="s">
        <v>41</v>
      </c>
      <c r="C788" s="56"/>
      <c r="D788" s="57"/>
      <c r="E788" s="44"/>
      <c r="F788" s="59"/>
      <c r="G788" s="60"/>
    </row>
    <row r="789" spans="1:9" s="284" customFormat="1" ht="37.5" customHeight="1" x14ac:dyDescent="0.25">
      <c r="A789" s="63"/>
      <c r="B789" s="434" t="s">
        <v>142</v>
      </c>
      <c r="C789" s="435"/>
      <c r="D789" s="435"/>
      <c r="E789" s="435"/>
      <c r="F789" s="436"/>
      <c r="G789" s="159"/>
    </row>
    <row r="790" spans="1:9" s="284" customFormat="1" ht="12" customHeight="1" x14ac:dyDescent="0.25">
      <c r="A790" s="63"/>
      <c r="B790" s="413"/>
      <c r="C790" s="414"/>
      <c r="D790" s="414"/>
      <c r="E790" s="414"/>
      <c r="F790" s="415"/>
      <c r="G790" s="159"/>
    </row>
    <row r="791" spans="1:9" x14ac:dyDescent="0.2">
      <c r="A791" s="118" t="s">
        <v>170</v>
      </c>
      <c r="B791" s="119" t="s">
        <v>124</v>
      </c>
      <c r="C791" s="131"/>
      <c r="D791" s="121"/>
      <c r="E791" s="122"/>
      <c r="F791" s="121"/>
      <c r="G791" s="203"/>
    </row>
    <row r="792" spans="1:9" x14ac:dyDescent="0.2">
      <c r="A792" s="243" t="s">
        <v>150</v>
      </c>
      <c r="B792" s="294" t="s">
        <v>66</v>
      </c>
      <c r="C792" s="295"/>
      <c r="D792" s="246"/>
      <c r="E792" s="222"/>
      <c r="F792" s="246"/>
      <c r="G792" s="296"/>
    </row>
    <row r="793" spans="1:9" x14ac:dyDescent="0.2">
      <c r="A793" s="297" t="s">
        <v>163</v>
      </c>
      <c r="B793" s="298" t="s">
        <v>582</v>
      </c>
      <c r="C793" s="299" t="s">
        <v>113</v>
      </c>
      <c r="D793" s="300"/>
      <c r="E793" s="301"/>
      <c r="F793" s="149"/>
      <c r="G793" s="150"/>
    </row>
    <row r="794" spans="1:9" ht="39.75" customHeight="1" x14ac:dyDescent="0.2">
      <c r="A794" s="194"/>
      <c r="B794" s="254" t="s">
        <v>581</v>
      </c>
      <c r="C794" s="255" t="s">
        <v>125</v>
      </c>
      <c r="D794" s="57">
        <v>7</v>
      </c>
      <c r="E794" s="44"/>
      <c r="F794" s="59"/>
      <c r="G794" s="60">
        <f>(D794*E794)+(D794*F794)</f>
        <v>0</v>
      </c>
    </row>
    <row r="795" spans="1:9" ht="12" customHeight="1" x14ac:dyDescent="0.2">
      <c r="A795" s="194"/>
      <c r="B795" s="254"/>
      <c r="C795" s="255"/>
      <c r="D795" s="57"/>
      <c r="E795" s="44"/>
      <c r="F795" s="59"/>
      <c r="G795" s="60"/>
    </row>
    <row r="796" spans="1:9" ht="36" customHeight="1" x14ac:dyDescent="0.2">
      <c r="A796" s="194"/>
      <c r="B796" s="254" t="s">
        <v>580</v>
      </c>
      <c r="C796" s="255" t="s">
        <v>125</v>
      </c>
      <c r="D796" s="57">
        <v>6.9</v>
      </c>
      <c r="E796" s="44"/>
      <c r="F796" s="59"/>
      <c r="G796" s="60">
        <f>(D796*E796)+(D796*F796)</f>
        <v>0</v>
      </c>
      <c r="I796" s="28">
        <f>3.6*4</f>
        <v>14.4</v>
      </c>
    </row>
    <row r="797" spans="1:9" s="284" customFormat="1" ht="12" customHeight="1" x14ac:dyDescent="0.25">
      <c r="A797" s="63"/>
      <c r="B797" s="413"/>
      <c r="C797" s="414"/>
      <c r="D797" s="414"/>
      <c r="E797" s="414"/>
      <c r="F797" s="415"/>
      <c r="G797" s="159"/>
    </row>
    <row r="798" spans="1:9" x14ac:dyDescent="0.2">
      <c r="A798" s="243" t="s">
        <v>151</v>
      </c>
      <c r="B798" s="294" t="s">
        <v>68</v>
      </c>
      <c r="C798" s="295"/>
      <c r="D798" s="246"/>
      <c r="E798" s="222"/>
      <c r="F798" s="246"/>
      <c r="G798" s="296"/>
    </row>
    <row r="799" spans="1:9" x14ac:dyDescent="0.2">
      <c r="A799" s="297" t="s">
        <v>163</v>
      </c>
      <c r="B799" s="298" t="s">
        <v>582</v>
      </c>
      <c r="C799" s="299" t="s">
        <v>113</v>
      </c>
      <c r="D799" s="300"/>
      <c r="E799" s="301"/>
      <c r="F799" s="149"/>
      <c r="G799" s="150"/>
    </row>
    <row r="800" spans="1:9" ht="36.75" customHeight="1" x14ac:dyDescent="0.2">
      <c r="A800" s="194"/>
      <c r="B800" s="254" t="s">
        <v>581</v>
      </c>
      <c r="C800" s="255" t="s">
        <v>125</v>
      </c>
      <c r="D800" s="57">
        <v>7</v>
      </c>
      <c r="E800" s="44"/>
      <c r="F800" s="59"/>
      <c r="G800" s="60">
        <f>(D800*E800)+(D800*F800)</f>
        <v>0</v>
      </c>
    </row>
    <row r="801" spans="1:10" ht="12" customHeight="1" x14ac:dyDescent="0.2">
      <c r="A801" s="194"/>
      <c r="B801" s="254"/>
      <c r="C801" s="255"/>
      <c r="D801" s="57"/>
      <c r="E801" s="44"/>
      <c r="F801" s="59"/>
      <c r="G801" s="60"/>
    </row>
    <row r="802" spans="1:10" ht="36" customHeight="1" x14ac:dyDescent="0.2">
      <c r="A802" s="194"/>
      <c r="B802" s="254" t="s">
        <v>580</v>
      </c>
      <c r="C802" s="255" t="s">
        <v>125</v>
      </c>
      <c r="D802" s="57">
        <v>6.9</v>
      </c>
      <c r="E802" s="44"/>
      <c r="F802" s="59"/>
      <c r="G802" s="60">
        <f>(D802*E802)+(D802*F802)</f>
        <v>0</v>
      </c>
    </row>
    <row r="803" spans="1:10" ht="12" customHeight="1" x14ac:dyDescent="0.2">
      <c r="A803" s="194"/>
      <c r="B803" s="254"/>
      <c r="C803" s="255"/>
      <c r="D803" s="57"/>
      <c r="E803" s="44"/>
      <c r="F803" s="59"/>
      <c r="G803" s="60"/>
    </row>
    <row r="804" spans="1:10" ht="11.25" customHeight="1" x14ac:dyDescent="0.2">
      <c r="A804" s="297" t="s">
        <v>164</v>
      </c>
      <c r="B804" s="298" t="s">
        <v>583</v>
      </c>
      <c r="C804" s="299" t="s">
        <v>113</v>
      </c>
      <c r="D804" s="300"/>
      <c r="E804" s="301"/>
      <c r="F804" s="149"/>
      <c r="G804" s="150"/>
    </row>
    <row r="805" spans="1:10" ht="39.75" customHeight="1" x14ac:dyDescent="0.2">
      <c r="A805" s="194"/>
      <c r="B805" s="254" t="s">
        <v>584</v>
      </c>
      <c r="C805" s="255" t="s">
        <v>125</v>
      </c>
      <c r="D805" s="57">
        <v>12</v>
      </c>
      <c r="E805" s="44"/>
      <c r="F805" s="59"/>
      <c r="G805" s="60">
        <f>(D805*E805)+(D805*F805)</f>
        <v>0</v>
      </c>
    </row>
    <row r="806" spans="1:10" s="284" customFormat="1" ht="12" customHeight="1" x14ac:dyDescent="0.25">
      <c r="A806" s="63"/>
      <c r="B806" s="413"/>
      <c r="C806" s="414"/>
      <c r="D806" s="414"/>
      <c r="E806" s="414"/>
      <c r="F806" s="415"/>
      <c r="G806" s="159"/>
    </row>
    <row r="807" spans="1:10" x14ac:dyDescent="0.2">
      <c r="A807" s="243" t="s">
        <v>57</v>
      </c>
      <c r="B807" s="294" t="s">
        <v>70</v>
      </c>
      <c r="C807" s="295"/>
      <c r="D807" s="246"/>
      <c r="E807" s="222"/>
      <c r="F807" s="246"/>
      <c r="G807" s="296"/>
    </row>
    <row r="808" spans="1:10" x14ac:dyDescent="0.2">
      <c r="A808" s="297" t="s">
        <v>163</v>
      </c>
      <c r="B808" s="298" t="s">
        <v>577</v>
      </c>
      <c r="C808" s="299" t="s">
        <v>113</v>
      </c>
      <c r="D808" s="300"/>
      <c r="E808" s="301"/>
      <c r="F808" s="149"/>
      <c r="G808" s="150"/>
    </row>
    <row r="809" spans="1:10" ht="37.5" customHeight="1" x14ac:dyDescent="0.2">
      <c r="A809" s="194"/>
      <c r="B809" s="254" t="s">
        <v>584</v>
      </c>
      <c r="C809" s="255" t="s">
        <v>125</v>
      </c>
      <c r="D809" s="57">
        <v>12</v>
      </c>
      <c r="E809" s="44"/>
      <c r="F809" s="59"/>
      <c r="G809" s="60">
        <f>(D809*E809)+(D809*F809)</f>
        <v>0</v>
      </c>
    </row>
    <row r="810" spans="1:10" ht="12" customHeight="1" x14ac:dyDescent="0.2">
      <c r="A810" s="194"/>
      <c r="B810" s="254"/>
      <c r="C810" s="255"/>
      <c r="D810" s="57"/>
      <c r="E810" s="44"/>
      <c r="F810" s="59"/>
      <c r="G810" s="60"/>
    </row>
    <row r="811" spans="1:10" x14ac:dyDescent="0.2">
      <c r="A811" s="194"/>
      <c r="B811" s="254"/>
      <c r="C811" s="255"/>
      <c r="D811" s="57"/>
      <c r="E811" s="44"/>
      <c r="F811" s="59"/>
      <c r="G811" s="60"/>
    </row>
    <row r="812" spans="1:10" ht="48" customHeight="1" x14ac:dyDescent="0.2">
      <c r="A812" s="194"/>
      <c r="B812" s="254"/>
      <c r="C812" s="255"/>
      <c r="D812" s="57"/>
      <c r="E812" s="44"/>
      <c r="F812" s="59"/>
      <c r="G812" s="60"/>
    </row>
    <row r="813" spans="1:10" x14ac:dyDescent="0.2">
      <c r="A813" s="194"/>
      <c r="B813" s="254"/>
      <c r="C813" s="255"/>
      <c r="D813" s="57"/>
      <c r="E813" s="44"/>
      <c r="F813" s="59"/>
      <c r="G813" s="60"/>
    </row>
    <row r="814" spans="1:10" ht="39" customHeight="1" x14ac:dyDescent="0.2">
      <c r="A814" s="194"/>
      <c r="B814" s="254"/>
      <c r="C814" s="255"/>
      <c r="D814" s="57"/>
      <c r="E814" s="44"/>
      <c r="F814" s="59"/>
      <c r="G814" s="60"/>
    </row>
    <row r="815" spans="1:10" x14ac:dyDescent="0.2">
      <c r="A815" s="194"/>
      <c r="B815" s="254"/>
      <c r="C815" s="255"/>
      <c r="D815" s="57"/>
      <c r="E815" s="44"/>
      <c r="F815" s="59"/>
      <c r="G815" s="60"/>
      <c r="I815" s="28">
        <f>32.2*8*2</f>
        <v>515.20000000000005</v>
      </c>
      <c r="J815" s="28">
        <f>I815*105%</f>
        <v>540.96</v>
      </c>
    </row>
    <row r="816" spans="1:10" x14ac:dyDescent="0.2">
      <c r="A816" s="194"/>
      <c r="B816" s="254"/>
      <c r="C816" s="255"/>
      <c r="D816" s="57"/>
      <c r="E816" s="44"/>
      <c r="F816" s="59"/>
      <c r="G816" s="60"/>
    </row>
    <row r="817" spans="1:9" x14ac:dyDescent="0.2">
      <c r="A817" s="194"/>
      <c r="B817" s="254"/>
      <c r="C817" s="255"/>
      <c r="D817" s="57"/>
      <c r="E817" s="44"/>
      <c r="F817" s="59"/>
      <c r="G817" s="60"/>
    </row>
    <row r="818" spans="1:9" x14ac:dyDescent="0.2">
      <c r="A818" s="194"/>
      <c r="B818" s="254"/>
      <c r="C818" s="255"/>
      <c r="D818" s="57"/>
      <c r="E818" s="44"/>
      <c r="F818" s="59"/>
      <c r="G818" s="60"/>
    </row>
    <row r="819" spans="1:9" x14ac:dyDescent="0.2">
      <c r="A819" s="194"/>
      <c r="B819" s="254"/>
      <c r="C819" s="255"/>
      <c r="D819" s="57"/>
      <c r="E819" s="44"/>
      <c r="F819" s="59"/>
      <c r="G819" s="60"/>
      <c r="I819" s="28">
        <f>32.2*6.62*2</f>
        <v>426.32800000000003</v>
      </c>
    </row>
    <row r="820" spans="1:9" x14ac:dyDescent="0.2">
      <c r="A820" s="194"/>
      <c r="B820" s="254"/>
      <c r="C820" s="255"/>
      <c r="D820" s="57"/>
      <c r="E820" s="44"/>
      <c r="F820" s="59"/>
      <c r="G820" s="60"/>
    </row>
    <row r="821" spans="1:9" x14ac:dyDescent="0.2">
      <c r="A821" s="194"/>
      <c r="B821" s="254"/>
      <c r="C821" s="255"/>
      <c r="D821" s="57"/>
      <c r="E821" s="44"/>
      <c r="F821" s="59"/>
      <c r="G821" s="60"/>
    </row>
    <row r="822" spans="1:9" x14ac:dyDescent="0.2">
      <c r="A822" s="194"/>
      <c r="B822" s="254"/>
      <c r="C822" s="255"/>
      <c r="D822" s="57"/>
      <c r="E822" s="44"/>
      <c r="F822" s="59"/>
      <c r="G822" s="60"/>
      <c r="I822" s="28">
        <f>6.7*4</f>
        <v>26.8</v>
      </c>
    </row>
    <row r="823" spans="1:9" ht="12.75" thickBot="1" x14ac:dyDescent="0.25">
      <c r="A823" s="266"/>
      <c r="B823" s="259"/>
      <c r="C823" s="260"/>
      <c r="D823" s="76"/>
      <c r="E823" s="77"/>
      <c r="F823" s="155"/>
      <c r="G823" s="156"/>
    </row>
    <row r="824" spans="1:9" x14ac:dyDescent="0.2">
      <c r="A824" s="40"/>
      <c r="B824" s="254"/>
      <c r="C824" s="292"/>
      <c r="D824" s="57"/>
      <c r="E824" s="44"/>
      <c r="F824" s="59"/>
      <c r="G824" s="60"/>
    </row>
    <row r="825" spans="1:9" x14ac:dyDescent="0.2">
      <c r="A825" s="118" t="s">
        <v>170</v>
      </c>
      <c r="B825" s="119" t="s">
        <v>333</v>
      </c>
      <c r="C825" s="131"/>
      <c r="D825" s="121"/>
      <c r="E825" s="122"/>
      <c r="F825" s="121"/>
      <c r="G825" s="203"/>
    </row>
    <row r="826" spans="1:9" ht="48" x14ac:dyDescent="0.2">
      <c r="A826" s="40" t="s">
        <v>163</v>
      </c>
      <c r="B826" s="254" t="s">
        <v>334</v>
      </c>
      <c r="C826" s="255"/>
      <c r="D826" s="57"/>
      <c r="E826" s="44"/>
      <c r="F826" s="59"/>
      <c r="G826" s="60">
        <f t="shared" ref="G826:G829" si="120">(D826*E826)+(D826*F826)</f>
        <v>0</v>
      </c>
    </row>
    <row r="827" spans="1:9" x14ac:dyDescent="0.2">
      <c r="A827" s="194"/>
      <c r="B827" s="254" t="s">
        <v>332</v>
      </c>
      <c r="C827" s="255" t="s">
        <v>113</v>
      </c>
      <c r="D827" s="57">
        <v>22</v>
      </c>
      <c r="E827" s="44"/>
      <c r="F827" s="59"/>
      <c r="G827" s="60">
        <f t="shared" si="120"/>
        <v>0</v>
      </c>
    </row>
    <row r="828" spans="1:9" ht="48" x14ac:dyDescent="0.2">
      <c r="A828" s="40" t="s">
        <v>164</v>
      </c>
      <c r="B828" s="254" t="s">
        <v>352</v>
      </c>
      <c r="C828" s="255" t="s">
        <v>335</v>
      </c>
      <c r="D828" s="57">
        <v>32.200000000000003</v>
      </c>
      <c r="E828" s="44"/>
      <c r="F828" s="59"/>
      <c r="G828" s="60">
        <f t="shared" si="120"/>
        <v>0</v>
      </c>
    </row>
    <row r="829" spans="1:9" ht="24" x14ac:dyDescent="0.2">
      <c r="A829" s="40" t="s">
        <v>336</v>
      </c>
      <c r="B829" s="254" t="s">
        <v>344</v>
      </c>
      <c r="C829" s="255" t="s">
        <v>335</v>
      </c>
      <c r="D829" s="57">
        <v>541</v>
      </c>
      <c r="E829" s="44"/>
      <c r="F829" s="59"/>
      <c r="G829" s="60">
        <f t="shared" si="120"/>
        <v>0</v>
      </c>
    </row>
    <row r="830" spans="1:9" ht="24" x14ac:dyDescent="0.2">
      <c r="A830" s="40" t="s">
        <v>337</v>
      </c>
      <c r="B830" s="254" t="s">
        <v>343</v>
      </c>
      <c r="C830" s="292" t="s">
        <v>456</v>
      </c>
      <c r="D830" s="57">
        <v>426.33</v>
      </c>
      <c r="E830" s="44"/>
      <c r="F830" s="59"/>
      <c r="G830" s="60">
        <f t="shared" ref="G830" si="121">(D830*E830)+(D830*F830)</f>
        <v>0</v>
      </c>
    </row>
    <row r="831" spans="1:9" ht="36" x14ac:dyDescent="0.2">
      <c r="A831" s="40" t="s">
        <v>339</v>
      </c>
      <c r="B831" s="254" t="s">
        <v>338</v>
      </c>
      <c r="C831" s="292" t="s">
        <v>456</v>
      </c>
      <c r="D831" s="57">
        <f>D830</f>
        <v>426.33</v>
      </c>
      <c r="E831" s="44"/>
      <c r="F831" s="59"/>
      <c r="G831" s="60">
        <f t="shared" ref="G831" si="122">(D831*E831)+(D831*F831)</f>
        <v>0</v>
      </c>
    </row>
    <row r="832" spans="1:9" ht="24" x14ac:dyDescent="0.2">
      <c r="A832" s="40" t="s">
        <v>340</v>
      </c>
      <c r="B832" s="254" t="s">
        <v>341</v>
      </c>
      <c r="C832" s="292" t="s">
        <v>456</v>
      </c>
      <c r="D832" s="57">
        <f>D830</f>
        <v>426.33</v>
      </c>
      <c r="E832" s="44"/>
      <c r="F832" s="59"/>
      <c r="G832" s="60">
        <f t="shared" ref="G832" si="123">(D832*E832)+(D832*F832)</f>
        <v>0</v>
      </c>
    </row>
    <row r="833" spans="1:7" ht="24" x14ac:dyDescent="0.2">
      <c r="A833" s="40" t="s">
        <v>342</v>
      </c>
      <c r="B833" s="254" t="s">
        <v>345</v>
      </c>
      <c r="C833" s="292" t="s">
        <v>346</v>
      </c>
      <c r="D833" s="57">
        <v>32.799999999999997</v>
      </c>
      <c r="E833" s="44"/>
      <c r="F833" s="59"/>
      <c r="G833" s="60">
        <f t="shared" ref="G833" si="124">(D833*E833)+(D833*F833)</f>
        <v>0</v>
      </c>
    </row>
    <row r="834" spans="1:7" ht="24" x14ac:dyDescent="0.2">
      <c r="A834" s="40" t="s">
        <v>180</v>
      </c>
      <c r="B834" s="254" t="s">
        <v>347</v>
      </c>
      <c r="C834" s="292" t="s">
        <v>346</v>
      </c>
      <c r="D834" s="57">
        <v>27</v>
      </c>
      <c r="E834" s="44"/>
      <c r="F834" s="59"/>
      <c r="G834" s="60">
        <f t="shared" ref="G834" si="125">(D834*E834)+(D834*F834)</f>
        <v>0</v>
      </c>
    </row>
    <row r="835" spans="1:7" ht="36" x14ac:dyDescent="0.2">
      <c r="A835" s="40" t="s">
        <v>181</v>
      </c>
      <c r="B835" s="254" t="s">
        <v>348</v>
      </c>
      <c r="C835" s="292" t="s">
        <v>346</v>
      </c>
      <c r="D835" s="57">
        <f>D724</f>
        <v>65</v>
      </c>
      <c r="E835" s="44"/>
      <c r="F835" s="59"/>
      <c r="G835" s="60">
        <f t="shared" ref="G835" si="126">(D835*E835)+(D835*F835)</f>
        <v>0</v>
      </c>
    </row>
    <row r="836" spans="1:7" x14ac:dyDescent="0.2">
      <c r="A836" s="40"/>
      <c r="B836" s="254"/>
      <c r="C836" s="292"/>
      <c r="D836" s="57"/>
      <c r="E836" s="44"/>
      <c r="F836" s="59"/>
      <c r="G836" s="60"/>
    </row>
    <row r="837" spans="1:7" x14ac:dyDescent="0.2">
      <c r="A837" s="40"/>
      <c r="B837" s="254"/>
      <c r="C837" s="292"/>
      <c r="D837" s="57"/>
      <c r="E837" s="44"/>
      <c r="F837" s="59"/>
      <c r="G837" s="60"/>
    </row>
    <row r="838" spans="1:7" x14ac:dyDescent="0.2">
      <c r="A838" s="40"/>
      <c r="B838" s="254"/>
      <c r="C838" s="292"/>
      <c r="D838" s="57"/>
      <c r="E838" s="44"/>
      <c r="F838" s="59"/>
      <c r="G838" s="60"/>
    </row>
    <row r="839" spans="1:7" x14ac:dyDescent="0.2">
      <c r="A839" s="40"/>
      <c r="B839" s="254"/>
      <c r="C839" s="292"/>
      <c r="D839" s="57"/>
      <c r="E839" s="44"/>
      <c r="F839" s="59"/>
      <c r="G839" s="60"/>
    </row>
    <row r="840" spans="1:7" x14ac:dyDescent="0.2">
      <c r="A840" s="40"/>
      <c r="B840" s="254"/>
      <c r="C840" s="292"/>
      <c r="D840" s="57"/>
      <c r="E840" s="44"/>
      <c r="F840" s="59"/>
      <c r="G840" s="60"/>
    </row>
    <row r="841" spans="1:7" x14ac:dyDescent="0.2">
      <c r="A841" s="40"/>
      <c r="B841" s="254"/>
      <c r="C841" s="292"/>
      <c r="D841" s="57"/>
      <c r="E841" s="44"/>
      <c r="F841" s="59"/>
      <c r="G841" s="60"/>
    </row>
    <row r="842" spans="1:7" x14ac:dyDescent="0.2">
      <c r="A842" s="40"/>
      <c r="B842" s="254"/>
      <c r="C842" s="292"/>
      <c r="D842" s="57"/>
      <c r="E842" s="44"/>
      <c r="F842" s="59"/>
      <c r="G842" s="60"/>
    </row>
    <row r="843" spans="1:7" x14ac:dyDescent="0.2">
      <c r="A843" s="40"/>
      <c r="B843" s="254"/>
      <c r="C843" s="292"/>
      <c r="D843" s="57"/>
      <c r="E843" s="44"/>
      <c r="F843" s="59"/>
      <c r="G843" s="60"/>
    </row>
    <row r="844" spans="1:7" x14ac:dyDescent="0.2">
      <c r="A844" s="40"/>
      <c r="B844" s="254"/>
      <c r="C844" s="292"/>
      <c r="D844" s="57"/>
      <c r="E844" s="44"/>
      <c r="F844" s="59"/>
      <c r="G844" s="60"/>
    </row>
    <row r="845" spans="1:7" x14ac:dyDescent="0.2">
      <c r="A845" s="40"/>
      <c r="B845" s="254"/>
      <c r="C845" s="292"/>
      <c r="D845" s="57"/>
      <c r="E845" s="44"/>
      <c r="F845" s="59"/>
      <c r="G845" s="60"/>
    </row>
    <row r="846" spans="1:7" x14ac:dyDescent="0.2">
      <c r="A846" s="40"/>
      <c r="B846" s="254"/>
      <c r="C846" s="292"/>
      <c r="D846" s="57"/>
      <c r="E846" s="44"/>
      <c r="F846" s="59"/>
      <c r="G846" s="60"/>
    </row>
    <row r="847" spans="1:7" x14ac:dyDescent="0.2">
      <c r="A847" s="40"/>
      <c r="B847" s="254"/>
      <c r="C847" s="292"/>
      <c r="D847" s="57"/>
      <c r="E847" s="44"/>
      <c r="F847" s="59"/>
      <c r="G847" s="60"/>
    </row>
    <row r="848" spans="1:7" x14ac:dyDescent="0.2">
      <c r="A848" s="40"/>
      <c r="B848" s="254"/>
      <c r="C848" s="292"/>
      <c r="D848" s="57"/>
      <c r="E848" s="44"/>
      <c r="F848" s="59"/>
      <c r="G848" s="60"/>
    </row>
    <row r="849" spans="1:7" x14ac:dyDescent="0.2">
      <c r="A849" s="40"/>
      <c r="B849" s="254"/>
      <c r="C849" s="292"/>
      <c r="D849" s="57"/>
      <c r="E849" s="44"/>
      <c r="F849" s="59"/>
      <c r="G849" s="60"/>
    </row>
    <row r="850" spans="1:7" x14ac:dyDescent="0.2">
      <c r="A850" s="40"/>
      <c r="B850" s="254"/>
      <c r="C850" s="292"/>
      <c r="D850" s="57"/>
      <c r="E850" s="44"/>
      <c r="F850" s="59"/>
      <c r="G850" s="60"/>
    </row>
    <row r="851" spans="1:7" x14ac:dyDescent="0.2">
      <c r="A851" s="40"/>
      <c r="B851" s="254"/>
      <c r="C851" s="292"/>
      <c r="D851" s="57"/>
      <c r="E851" s="44"/>
      <c r="F851" s="59"/>
      <c r="G851" s="60"/>
    </row>
    <row r="852" spans="1:7" x14ac:dyDescent="0.2">
      <c r="A852" s="40"/>
      <c r="B852" s="254"/>
      <c r="C852" s="292"/>
      <c r="D852" s="57"/>
      <c r="E852" s="44"/>
      <c r="F852" s="59"/>
      <c r="G852" s="60"/>
    </row>
    <row r="853" spans="1:7" x14ac:dyDescent="0.2">
      <c r="A853" s="40"/>
      <c r="B853" s="254"/>
      <c r="C853" s="292"/>
      <c r="D853" s="57"/>
      <c r="E853" s="44"/>
      <c r="F853" s="59"/>
      <c r="G853" s="60"/>
    </row>
    <row r="854" spans="1:7" x14ac:dyDescent="0.2">
      <c r="A854" s="40"/>
      <c r="B854" s="254"/>
      <c r="C854" s="292"/>
      <c r="D854" s="57"/>
      <c r="E854" s="44"/>
      <c r="F854" s="59"/>
      <c r="G854" s="60"/>
    </row>
    <row r="855" spans="1:7" x14ac:dyDescent="0.2">
      <c r="A855" s="40"/>
      <c r="B855" s="254"/>
      <c r="C855" s="292"/>
      <c r="D855" s="57"/>
      <c r="E855" s="44"/>
      <c r="F855" s="59"/>
      <c r="G855" s="60"/>
    </row>
    <row r="856" spans="1:7" x14ac:dyDescent="0.2">
      <c r="A856" s="40"/>
      <c r="B856" s="254"/>
      <c r="C856" s="292"/>
      <c r="D856" s="57"/>
      <c r="E856" s="44"/>
      <c r="F856" s="59"/>
      <c r="G856" s="60"/>
    </row>
    <row r="857" spans="1:7" x14ac:dyDescent="0.2">
      <c r="A857" s="40"/>
      <c r="B857" s="254"/>
      <c r="C857" s="292"/>
      <c r="D857" s="57"/>
      <c r="E857" s="44"/>
      <c r="F857" s="59"/>
      <c r="G857" s="60"/>
    </row>
    <row r="858" spans="1:7" x14ac:dyDescent="0.2">
      <c r="A858" s="40"/>
      <c r="B858" s="254"/>
      <c r="C858" s="292"/>
      <c r="D858" s="57"/>
      <c r="E858" s="44"/>
      <c r="F858" s="59"/>
      <c r="G858" s="60"/>
    </row>
    <row r="859" spans="1:7" x14ac:dyDescent="0.2">
      <c r="A859" s="40"/>
      <c r="B859" s="254"/>
      <c r="C859" s="292"/>
      <c r="D859" s="57"/>
      <c r="E859" s="44"/>
      <c r="F859" s="59"/>
      <c r="G859" s="60"/>
    </row>
    <row r="860" spans="1:7" x14ac:dyDescent="0.2">
      <c r="A860" s="40"/>
      <c r="B860" s="254"/>
      <c r="C860" s="292"/>
      <c r="D860" s="57"/>
      <c r="E860" s="44"/>
      <c r="F860" s="59"/>
      <c r="G860" s="60"/>
    </row>
    <row r="861" spans="1:7" x14ac:dyDescent="0.2">
      <c r="A861" s="40"/>
      <c r="B861" s="254"/>
      <c r="C861" s="292"/>
      <c r="D861" s="57"/>
      <c r="E861" s="44"/>
      <c r="F861" s="59"/>
      <c r="G861" s="60"/>
    </row>
    <row r="862" spans="1:7" x14ac:dyDescent="0.2">
      <c r="A862" s="40"/>
      <c r="B862" s="254"/>
      <c r="C862" s="292"/>
      <c r="D862" s="57"/>
      <c r="E862" s="44"/>
      <c r="F862" s="59"/>
      <c r="G862" s="60"/>
    </row>
    <row r="863" spans="1:7" x14ac:dyDescent="0.2">
      <c r="A863" s="40"/>
      <c r="B863" s="254"/>
      <c r="C863" s="292"/>
      <c r="D863" s="57"/>
      <c r="E863" s="44"/>
      <c r="F863" s="59"/>
      <c r="G863" s="60"/>
    </row>
    <row r="864" spans="1:7" x14ac:dyDescent="0.2">
      <c r="A864" s="40"/>
      <c r="B864" s="254"/>
      <c r="C864" s="292"/>
      <c r="D864" s="57"/>
      <c r="E864" s="44"/>
      <c r="F864" s="59"/>
      <c r="G864" s="60"/>
    </row>
    <row r="865" spans="1:7" ht="12.75" thickBot="1" x14ac:dyDescent="0.25">
      <c r="A865" s="40"/>
      <c r="B865" s="254"/>
      <c r="C865" s="292"/>
      <c r="D865" s="57"/>
      <c r="E865" s="44"/>
      <c r="F865" s="59"/>
      <c r="G865" s="60"/>
    </row>
    <row r="866" spans="1:7" x14ac:dyDescent="0.2">
      <c r="A866" s="263"/>
      <c r="B866" s="69" t="s">
        <v>194</v>
      </c>
      <c r="C866" s="113"/>
      <c r="D866" s="71"/>
      <c r="E866" s="72"/>
      <c r="F866" s="191"/>
      <c r="G866" s="192"/>
    </row>
    <row r="867" spans="1:7" ht="12.75" thickBot="1" x14ac:dyDescent="0.25">
      <c r="A867" s="266"/>
      <c r="B867" s="74" t="s">
        <v>121</v>
      </c>
      <c r="C867" s="114"/>
      <c r="D867" s="76"/>
      <c r="E867" s="77"/>
      <c r="F867" s="155"/>
      <c r="G867" s="193">
        <f>SUM(G794:G866)</f>
        <v>0</v>
      </c>
    </row>
    <row r="868" spans="1:7" x14ac:dyDescent="0.2">
      <c r="A868" s="194"/>
      <c r="B868" s="80"/>
      <c r="C868" s="56"/>
      <c r="D868" s="57"/>
      <c r="E868" s="44"/>
      <c r="F868" s="59"/>
      <c r="G868" s="60"/>
    </row>
    <row r="869" spans="1:7" x14ac:dyDescent="0.2">
      <c r="A869" s="40"/>
      <c r="B869" s="41" t="s">
        <v>122</v>
      </c>
      <c r="C869" s="56"/>
      <c r="D869" s="57"/>
      <c r="E869" s="44"/>
      <c r="F869" s="59"/>
      <c r="G869" s="60"/>
    </row>
    <row r="870" spans="1:7" x14ac:dyDescent="0.2">
      <c r="A870" s="40"/>
      <c r="B870" s="49" t="s">
        <v>128</v>
      </c>
      <c r="C870" s="56"/>
      <c r="D870" s="57"/>
      <c r="E870" s="44"/>
      <c r="F870" s="59"/>
      <c r="G870" s="60"/>
    </row>
    <row r="871" spans="1:7" x14ac:dyDescent="0.2">
      <c r="A871" s="194" t="s">
        <v>123</v>
      </c>
      <c r="B871" s="98" t="s">
        <v>41</v>
      </c>
      <c r="C871" s="56"/>
      <c r="D871" s="57"/>
      <c r="E871" s="44"/>
      <c r="F871" s="59"/>
      <c r="G871" s="60"/>
    </row>
    <row r="872" spans="1:7" ht="36" customHeight="1" x14ac:dyDescent="0.2">
      <c r="A872" s="40"/>
      <c r="B872" s="62" t="s">
        <v>161</v>
      </c>
      <c r="C872" s="195"/>
      <c r="D872" s="195"/>
      <c r="E872" s="195"/>
      <c r="F872" s="195"/>
      <c r="G872" s="196"/>
    </row>
    <row r="873" spans="1:7" ht="51" customHeight="1" x14ac:dyDescent="0.2">
      <c r="A873" s="101"/>
      <c r="B873" s="62" t="s">
        <v>160</v>
      </c>
      <c r="C873" s="195"/>
      <c r="D873" s="195"/>
      <c r="E873" s="195"/>
      <c r="F873" s="195"/>
      <c r="G873" s="196"/>
    </row>
    <row r="874" spans="1:7" ht="28.5" customHeight="1" x14ac:dyDescent="0.2">
      <c r="A874" s="40"/>
      <c r="B874" s="62" t="s">
        <v>251</v>
      </c>
      <c r="C874" s="195"/>
      <c r="D874" s="195"/>
      <c r="E874" s="195"/>
      <c r="F874" s="195"/>
      <c r="G874" s="196"/>
    </row>
    <row r="875" spans="1:7" ht="36.75" customHeight="1" x14ac:dyDescent="0.2">
      <c r="A875" s="40"/>
      <c r="B875" s="62" t="s">
        <v>159</v>
      </c>
      <c r="C875" s="195"/>
      <c r="D875" s="195"/>
      <c r="E875" s="195"/>
      <c r="F875" s="195"/>
      <c r="G875" s="196"/>
    </row>
    <row r="876" spans="1:7" ht="29.25" customHeight="1" x14ac:dyDescent="0.2">
      <c r="A876" s="40"/>
      <c r="B876" s="62" t="s">
        <v>252</v>
      </c>
      <c r="C876" s="195"/>
      <c r="D876" s="195"/>
      <c r="E876" s="195"/>
      <c r="F876" s="195"/>
      <c r="G876" s="196"/>
    </row>
    <row r="877" spans="1:7" x14ac:dyDescent="0.2">
      <c r="A877" s="302" t="s">
        <v>150</v>
      </c>
      <c r="B877" s="303" t="s">
        <v>66</v>
      </c>
      <c r="C877" s="304"/>
      <c r="D877" s="305"/>
      <c r="E877" s="279"/>
      <c r="F877" s="166"/>
      <c r="G877" s="167">
        <f>D877*E877</f>
        <v>0</v>
      </c>
    </row>
    <row r="878" spans="1:7" x14ac:dyDescent="0.2">
      <c r="A878" s="306" t="s">
        <v>163</v>
      </c>
      <c r="B878" s="307" t="s">
        <v>130</v>
      </c>
      <c r="C878" s="219"/>
      <c r="D878" s="308"/>
      <c r="E878" s="215"/>
      <c r="F878" s="220"/>
      <c r="G878" s="309"/>
    </row>
    <row r="879" spans="1:7" x14ac:dyDescent="0.2">
      <c r="A879" s="310" t="s">
        <v>184</v>
      </c>
      <c r="B879" s="188" t="s">
        <v>203</v>
      </c>
      <c r="C879" s="81" t="s">
        <v>15</v>
      </c>
      <c r="D879" s="189">
        <v>1</v>
      </c>
      <c r="E879" s="44"/>
      <c r="F879" s="59"/>
      <c r="G879" s="60">
        <f>(D879*E879)+(D879*F879)</f>
        <v>0</v>
      </c>
    </row>
    <row r="880" spans="1:7" ht="27" customHeight="1" x14ac:dyDescent="0.2">
      <c r="A880" s="310" t="s">
        <v>185</v>
      </c>
      <c r="B880" s="188" t="s">
        <v>204</v>
      </c>
      <c r="C880" s="81" t="s">
        <v>15</v>
      </c>
      <c r="D880" s="189">
        <v>1</v>
      </c>
      <c r="E880" s="44"/>
      <c r="F880" s="59"/>
      <c r="G880" s="60">
        <f>(D880*E880)+(D880*F880)</f>
        <v>0</v>
      </c>
    </row>
    <row r="881" spans="1:10" ht="36" x14ac:dyDescent="0.2">
      <c r="A881" s="310" t="s">
        <v>187</v>
      </c>
      <c r="B881" s="188" t="s">
        <v>237</v>
      </c>
      <c r="C881" s="81" t="s">
        <v>113</v>
      </c>
      <c r="D881" s="189">
        <v>1</v>
      </c>
      <c r="E881" s="44"/>
      <c r="F881" s="59"/>
      <c r="G881" s="60">
        <f>(D881*E881)+(D881*F881)</f>
        <v>0</v>
      </c>
    </row>
    <row r="882" spans="1:10" x14ac:dyDescent="0.2">
      <c r="A882" s="306" t="s">
        <v>164</v>
      </c>
      <c r="B882" s="311" t="s">
        <v>131</v>
      </c>
      <c r="C882" s="219"/>
      <c r="D882" s="308"/>
      <c r="E882" s="215"/>
      <c r="F882" s="216"/>
      <c r="G882" s="217">
        <f>D882*E882</f>
        <v>0</v>
      </c>
    </row>
    <row r="883" spans="1:10" x14ac:dyDescent="0.2">
      <c r="A883" s="310" t="s">
        <v>163</v>
      </c>
      <c r="B883" s="188" t="s">
        <v>432</v>
      </c>
      <c r="C883" s="81" t="s">
        <v>113</v>
      </c>
      <c r="D883" s="189">
        <v>3</v>
      </c>
      <c r="E883" s="44"/>
      <c r="F883" s="59"/>
      <c r="G883" s="60">
        <f>(D883*E883)+(D883*F883)</f>
        <v>0</v>
      </c>
      <c r="I883" s="312"/>
    </row>
    <row r="884" spans="1:10" x14ac:dyDescent="0.2">
      <c r="A884" s="310" t="s">
        <v>164</v>
      </c>
      <c r="B884" s="188" t="s">
        <v>433</v>
      </c>
      <c r="C884" s="81" t="s">
        <v>113</v>
      </c>
      <c r="D884" s="189">
        <v>1</v>
      </c>
      <c r="E884" s="44"/>
      <c r="F884" s="59"/>
      <c r="G884" s="60">
        <f t="shared" ref="G884" si="127">(D884*E884)+(D884*F884)</f>
        <v>0</v>
      </c>
      <c r="I884" s="312"/>
    </row>
    <row r="885" spans="1:10" x14ac:dyDescent="0.2">
      <c r="A885" s="310" t="s">
        <v>175</v>
      </c>
      <c r="B885" s="188" t="s">
        <v>434</v>
      </c>
      <c r="C885" s="81" t="s">
        <v>113</v>
      </c>
      <c r="D885" s="189">
        <f>D884</f>
        <v>1</v>
      </c>
      <c r="E885" s="44"/>
      <c r="F885" s="59"/>
      <c r="G885" s="60">
        <f t="shared" ref="G885:G891" si="128">(D885*E885)+(D885*F885)</f>
        <v>0</v>
      </c>
      <c r="I885" s="312"/>
    </row>
    <row r="886" spans="1:10" x14ac:dyDescent="0.2">
      <c r="A886" s="310" t="s">
        <v>176</v>
      </c>
      <c r="B886" s="188" t="s">
        <v>132</v>
      </c>
      <c r="C886" s="81" t="s">
        <v>113</v>
      </c>
      <c r="D886" s="189">
        <f>D883</f>
        <v>3</v>
      </c>
      <c r="E886" s="44"/>
      <c r="F886" s="59"/>
      <c r="G886" s="60">
        <f t="shared" si="128"/>
        <v>0</v>
      </c>
      <c r="I886" s="312"/>
    </row>
    <row r="887" spans="1:10" x14ac:dyDescent="0.2">
      <c r="A887" s="310" t="s">
        <v>177</v>
      </c>
      <c r="B887" s="188" t="s">
        <v>450</v>
      </c>
      <c r="C887" s="81" t="s">
        <v>113</v>
      </c>
      <c r="D887" s="189">
        <v>1</v>
      </c>
      <c r="E887" s="44"/>
      <c r="F887" s="59"/>
      <c r="G887" s="60">
        <f t="shared" si="128"/>
        <v>0</v>
      </c>
      <c r="I887" s="312"/>
    </row>
    <row r="888" spans="1:10" x14ac:dyDescent="0.2">
      <c r="A888" s="310" t="s">
        <v>178</v>
      </c>
      <c r="B888" s="188" t="s">
        <v>435</v>
      </c>
      <c r="C888" s="81" t="s">
        <v>113</v>
      </c>
      <c r="D888" s="189">
        <f>D883</f>
        <v>3</v>
      </c>
      <c r="E888" s="44"/>
      <c r="F888" s="59"/>
      <c r="G888" s="60">
        <f t="shared" si="128"/>
        <v>0</v>
      </c>
      <c r="I888" s="312"/>
    </row>
    <row r="889" spans="1:10" x14ac:dyDescent="0.2">
      <c r="A889" s="310" t="s">
        <v>179</v>
      </c>
      <c r="B889" s="188" t="s">
        <v>183</v>
      </c>
      <c r="C889" s="81" t="s">
        <v>113</v>
      </c>
      <c r="D889" s="189">
        <v>5</v>
      </c>
      <c r="E889" s="44"/>
      <c r="F889" s="59"/>
      <c r="G889" s="60">
        <f t="shared" si="128"/>
        <v>0</v>
      </c>
      <c r="I889" s="312"/>
    </row>
    <row r="890" spans="1:10" x14ac:dyDescent="0.2">
      <c r="A890" s="310" t="s">
        <v>180</v>
      </c>
      <c r="B890" s="188" t="s">
        <v>436</v>
      </c>
      <c r="C890" s="81" t="s">
        <v>113</v>
      </c>
      <c r="D890" s="189">
        <f>D884</f>
        <v>1</v>
      </c>
      <c r="E890" s="44"/>
      <c r="F890" s="59"/>
      <c r="G890" s="60">
        <f t="shared" si="128"/>
        <v>0</v>
      </c>
      <c r="I890" s="312"/>
    </row>
    <row r="891" spans="1:10" x14ac:dyDescent="0.2">
      <c r="A891" s="310" t="s">
        <v>181</v>
      </c>
      <c r="B891" s="188" t="s">
        <v>249</v>
      </c>
      <c r="C891" s="81" t="s">
        <v>113</v>
      </c>
      <c r="D891" s="189">
        <v>4</v>
      </c>
      <c r="E891" s="44"/>
      <c r="F891" s="59"/>
      <c r="G891" s="60">
        <f t="shared" si="128"/>
        <v>0</v>
      </c>
      <c r="I891" s="312"/>
    </row>
    <row r="892" spans="1:10" x14ac:dyDescent="0.2">
      <c r="A892" s="310"/>
      <c r="B892" s="188"/>
      <c r="C892" s="81"/>
      <c r="D892" s="189"/>
      <c r="E892" s="44"/>
      <c r="F892" s="59"/>
      <c r="G892" s="60"/>
    </row>
    <row r="893" spans="1:10" ht="12.75" customHeight="1" x14ac:dyDescent="0.2">
      <c r="A893" s="306" t="s">
        <v>164</v>
      </c>
      <c r="B893" s="313" t="s">
        <v>205</v>
      </c>
      <c r="C893" s="314"/>
      <c r="D893" s="308"/>
      <c r="E893" s="215"/>
      <c r="F893" s="216"/>
      <c r="G893" s="217">
        <f t="shared" ref="G893:G896" si="129">(D893*E893)+(D893*F893)</f>
        <v>0</v>
      </c>
    </row>
    <row r="894" spans="1:10" ht="47.25" customHeight="1" x14ac:dyDescent="0.2">
      <c r="A894" s="310" t="s">
        <v>163</v>
      </c>
      <c r="B894" s="188" t="s">
        <v>472</v>
      </c>
      <c r="C894" s="81" t="s">
        <v>15</v>
      </c>
      <c r="D894" s="189">
        <v>1</v>
      </c>
      <c r="E894" s="44"/>
      <c r="F894" s="59"/>
      <c r="G894" s="60">
        <f t="shared" si="129"/>
        <v>0</v>
      </c>
    </row>
    <row r="895" spans="1:10" ht="36.75" customHeight="1" x14ac:dyDescent="0.2">
      <c r="A895" s="310" t="s">
        <v>164</v>
      </c>
      <c r="B895" s="188" t="s">
        <v>473</v>
      </c>
      <c r="C895" s="81" t="s">
        <v>15</v>
      </c>
      <c r="D895" s="189">
        <v>1</v>
      </c>
      <c r="E895" s="44"/>
      <c r="F895" s="59"/>
      <c r="G895" s="60">
        <f t="shared" si="129"/>
        <v>0</v>
      </c>
    </row>
    <row r="896" spans="1:10" ht="63.75" customHeight="1" x14ac:dyDescent="0.2">
      <c r="A896" s="310" t="s">
        <v>175</v>
      </c>
      <c r="B896" s="188" t="s">
        <v>474</v>
      </c>
      <c r="C896" s="143" t="s">
        <v>455</v>
      </c>
      <c r="D896" s="189">
        <v>1.8</v>
      </c>
      <c r="E896" s="44"/>
      <c r="F896" s="59"/>
      <c r="G896" s="60">
        <f t="shared" si="129"/>
        <v>0</v>
      </c>
      <c r="I896" s="139"/>
      <c r="J896" s="139"/>
    </row>
    <row r="897" spans="1:10" ht="12" customHeight="1" x14ac:dyDescent="0.2">
      <c r="A897" s="310"/>
      <c r="B897" s="188"/>
      <c r="C897" s="81"/>
      <c r="D897" s="189"/>
      <c r="E897" s="44"/>
      <c r="F897" s="59"/>
      <c r="G897" s="60"/>
      <c r="I897" s="139"/>
      <c r="J897" s="139"/>
    </row>
    <row r="898" spans="1:10" ht="12" customHeight="1" x14ac:dyDescent="0.2">
      <c r="A898" s="302" t="s">
        <v>151</v>
      </c>
      <c r="B898" s="303" t="s">
        <v>68</v>
      </c>
      <c r="C898" s="304"/>
      <c r="D898" s="305"/>
      <c r="E898" s="279"/>
      <c r="F898" s="166"/>
      <c r="G898" s="167"/>
    </row>
    <row r="899" spans="1:10" x14ac:dyDescent="0.2">
      <c r="A899" s="306" t="s">
        <v>163</v>
      </c>
      <c r="B899" s="307" t="s">
        <v>130</v>
      </c>
      <c r="C899" s="219"/>
      <c r="D899" s="308"/>
      <c r="E899" s="215"/>
      <c r="F899" s="220"/>
      <c r="G899" s="309"/>
      <c r="I899" s="139"/>
      <c r="J899" s="139"/>
    </row>
    <row r="900" spans="1:10" x14ac:dyDescent="0.2">
      <c r="A900" s="310" t="s">
        <v>184</v>
      </c>
      <c r="B900" s="188" t="s">
        <v>203</v>
      </c>
      <c r="C900" s="81" t="s">
        <v>15</v>
      </c>
      <c r="D900" s="189">
        <v>1</v>
      </c>
      <c r="E900" s="44"/>
      <c r="F900" s="59"/>
      <c r="G900" s="60">
        <f>(D900*E900)+(D900*F900)</f>
        <v>0</v>
      </c>
    </row>
    <row r="901" spans="1:10" ht="24" x14ac:dyDescent="0.2">
      <c r="A901" s="310" t="s">
        <v>185</v>
      </c>
      <c r="B901" s="188" t="s">
        <v>204</v>
      </c>
      <c r="C901" s="81" t="s">
        <v>15</v>
      </c>
      <c r="D901" s="189">
        <v>1</v>
      </c>
      <c r="E901" s="44"/>
      <c r="F901" s="59"/>
      <c r="G901" s="60">
        <f>(D901*E901)+(D901*F901)</f>
        <v>0</v>
      </c>
    </row>
    <row r="902" spans="1:10" ht="12.75" thickBot="1" x14ac:dyDescent="0.25">
      <c r="A902" s="315"/>
      <c r="B902" s="316"/>
      <c r="C902" s="317"/>
      <c r="D902" s="318"/>
      <c r="E902" s="77"/>
      <c r="F902" s="155"/>
      <c r="G902" s="156"/>
    </row>
    <row r="903" spans="1:10" x14ac:dyDescent="0.2">
      <c r="A903" s="310"/>
      <c r="B903" s="188"/>
      <c r="C903" s="81"/>
      <c r="D903" s="189"/>
      <c r="E903" s="44"/>
      <c r="F903" s="59"/>
      <c r="G903" s="60"/>
    </row>
    <row r="904" spans="1:10" ht="12.75" customHeight="1" x14ac:dyDescent="0.2">
      <c r="A904" s="306" t="s">
        <v>164</v>
      </c>
      <c r="B904" s="311" t="s">
        <v>131</v>
      </c>
      <c r="C904" s="219"/>
      <c r="D904" s="308"/>
      <c r="E904" s="215"/>
      <c r="F904" s="216"/>
      <c r="G904" s="217"/>
    </row>
    <row r="905" spans="1:10" x14ac:dyDescent="0.2">
      <c r="A905" s="310" t="s">
        <v>163</v>
      </c>
      <c r="B905" s="188" t="s">
        <v>432</v>
      </c>
      <c r="C905" s="81" t="s">
        <v>113</v>
      </c>
      <c r="D905" s="189">
        <v>3</v>
      </c>
      <c r="E905" s="44"/>
      <c r="F905" s="59"/>
      <c r="G905" s="60">
        <f>(D905*E905)+(D905*F905)</f>
        <v>0</v>
      </c>
    </row>
    <row r="906" spans="1:10" x14ac:dyDescent="0.2">
      <c r="A906" s="310" t="s">
        <v>164</v>
      </c>
      <c r="B906" s="188" t="s">
        <v>433</v>
      </c>
      <c r="C906" s="81" t="s">
        <v>113</v>
      </c>
      <c r="D906" s="189">
        <v>1</v>
      </c>
      <c r="E906" s="44"/>
      <c r="F906" s="59"/>
      <c r="G906" s="60">
        <f t="shared" ref="G906:G913" si="130">(D906*E906)+(D906*F906)</f>
        <v>0</v>
      </c>
    </row>
    <row r="907" spans="1:10" x14ac:dyDescent="0.2">
      <c r="A907" s="310" t="s">
        <v>175</v>
      </c>
      <c r="B907" s="188" t="s">
        <v>434</v>
      </c>
      <c r="C907" s="81" t="s">
        <v>113</v>
      </c>
      <c r="D907" s="189">
        <f>D906</f>
        <v>1</v>
      </c>
      <c r="E907" s="44"/>
      <c r="F907" s="59"/>
      <c r="G907" s="60">
        <f t="shared" si="130"/>
        <v>0</v>
      </c>
    </row>
    <row r="908" spans="1:10" ht="14.25" customHeight="1" x14ac:dyDescent="0.2">
      <c r="A908" s="310" t="s">
        <v>176</v>
      </c>
      <c r="B908" s="188" t="s">
        <v>132</v>
      </c>
      <c r="C908" s="81" t="s">
        <v>113</v>
      </c>
      <c r="D908" s="189">
        <f>D905</f>
        <v>3</v>
      </c>
      <c r="E908" s="44"/>
      <c r="F908" s="59"/>
      <c r="G908" s="60">
        <f t="shared" si="130"/>
        <v>0</v>
      </c>
    </row>
    <row r="909" spans="1:10" ht="14.25" customHeight="1" x14ac:dyDescent="0.2">
      <c r="A909" s="310" t="s">
        <v>177</v>
      </c>
      <c r="B909" s="188" t="s">
        <v>450</v>
      </c>
      <c r="C909" s="81" t="s">
        <v>113</v>
      </c>
      <c r="D909" s="189">
        <v>1</v>
      </c>
      <c r="E909" s="44"/>
      <c r="F909" s="59"/>
      <c r="G909" s="60">
        <f t="shared" si="130"/>
        <v>0</v>
      </c>
    </row>
    <row r="910" spans="1:10" x14ac:dyDescent="0.2">
      <c r="A910" s="310" t="s">
        <v>178</v>
      </c>
      <c r="B910" s="188" t="s">
        <v>435</v>
      </c>
      <c r="C910" s="81" t="s">
        <v>113</v>
      </c>
      <c r="D910" s="189">
        <f>D905</f>
        <v>3</v>
      </c>
      <c r="E910" s="44"/>
      <c r="F910" s="59"/>
      <c r="G910" s="60">
        <f t="shared" si="130"/>
        <v>0</v>
      </c>
    </row>
    <row r="911" spans="1:10" x14ac:dyDescent="0.2">
      <c r="A911" s="310" t="s">
        <v>179</v>
      </c>
      <c r="B911" s="188" t="s">
        <v>183</v>
      </c>
      <c r="C911" s="81" t="s">
        <v>113</v>
      </c>
      <c r="D911" s="189">
        <v>5</v>
      </c>
      <c r="E911" s="44"/>
      <c r="F911" s="59"/>
      <c r="G911" s="60">
        <f t="shared" si="130"/>
        <v>0</v>
      </c>
    </row>
    <row r="912" spans="1:10" x14ac:dyDescent="0.2">
      <c r="A912" s="310" t="s">
        <v>180</v>
      </c>
      <c r="B912" s="188" t="s">
        <v>436</v>
      </c>
      <c r="C912" s="81" t="s">
        <v>113</v>
      </c>
      <c r="D912" s="189">
        <f>D906</f>
        <v>1</v>
      </c>
      <c r="E912" s="44"/>
      <c r="F912" s="59"/>
      <c r="G912" s="60">
        <f t="shared" si="130"/>
        <v>0</v>
      </c>
    </row>
    <row r="913" spans="1:7" x14ac:dyDescent="0.2">
      <c r="A913" s="310" t="s">
        <v>181</v>
      </c>
      <c r="B913" s="188" t="s">
        <v>249</v>
      </c>
      <c r="C913" s="81" t="s">
        <v>113</v>
      </c>
      <c r="D913" s="189">
        <v>4</v>
      </c>
      <c r="E913" s="44"/>
      <c r="F913" s="59"/>
      <c r="G913" s="60">
        <f t="shared" si="130"/>
        <v>0</v>
      </c>
    </row>
    <row r="914" spans="1:7" x14ac:dyDescent="0.2">
      <c r="A914" s="310"/>
      <c r="B914" s="188"/>
      <c r="C914" s="81"/>
      <c r="D914" s="189"/>
      <c r="E914" s="44"/>
      <c r="F914" s="59"/>
      <c r="G914" s="60"/>
    </row>
    <row r="915" spans="1:7" x14ac:dyDescent="0.2">
      <c r="A915" s="306" t="s">
        <v>175</v>
      </c>
      <c r="B915" s="313" t="s">
        <v>205</v>
      </c>
      <c r="C915" s="314"/>
      <c r="D915" s="308"/>
      <c r="E915" s="215"/>
      <c r="F915" s="216"/>
      <c r="G915" s="217">
        <f t="shared" ref="G915:G916" si="131">(D915*E915)+(D915*F915)</f>
        <v>0</v>
      </c>
    </row>
    <row r="916" spans="1:7" ht="48" x14ac:dyDescent="0.2">
      <c r="A916" s="310" t="s">
        <v>163</v>
      </c>
      <c r="B916" s="188" t="s">
        <v>472</v>
      </c>
      <c r="C916" s="81" t="s">
        <v>15</v>
      </c>
      <c r="D916" s="189">
        <v>1</v>
      </c>
      <c r="E916" s="44"/>
      <c r="F916" s="59"/>
      <c r="G916" s="60">
        <f t="shared" si="131"/>
        <v>0</v>
      </c>
    </row>
    <row r="917" spans="1:7" x14ac:dyDescent="0.2">
      <c r="A917" s="40"/>
      <c r="B917" s="254"/>
      <c r="C917" s="292"/>
      <c r="D917" s="57"/>
      <c r="E917" s="44"/>
      <c r="F917" s="59"/>
      <c r="G917" s="60"/>
    </row>
    <row r="918" spans="1:7" x14ac:dyDescent="0.2">
      <c r="A918" s="302" t="s">
        <v>57</v>
      </c>
      <c r="B918" s="303" t="s">
        <v>70</v>
      </c>
      <c r="C918" s="304"/>
      <c r="D918" s="305"/>
      <c r="E918" s="279"/>
      <c r="F918" s="166"/>
      <c r="G918" s="167"/>
    </row>
    <row r="919" spans="1:7" x14ac:dyDescent="0.2">
      <c r="A919" s="306" t="s">
        <v>163</v>
      </c>
      <c r="B919" s="307" t="s">
        <v>130</v>
      </c>
      <c r="C919" s="219"/>
      <c r="D919" s="308"/>
      <c r="E919" s="215"/>
      <c r="F919" s="220"/>
      <c r="G919" s="309"/>
    </row>
    <row r="920" spans="1:7" x14ac:dyDescent="0.2">
      <c r="A920" s="310" t="s">
        <v>184</v>
      </c>
      <c r="B920" s="188" t="s">
        <v>203</v>
      </c>
      <c r="C920" s="81" t="s">
        <v>15</v>
      </c>
      <c r="D920" s="189">
        <v>1</v>
      </c>
      <c r="E920" s="44"/>
      <c r="F920" s="59"/>
      <c r="G920" s="60">
        <f>(D920*E920)+(D920*F920)</f>
        <v>0</v>
      </c>
    </row>
    <row r="921" spans="1:7" ht="24" x14ac:dyDescent="0.2">
      <c r="A921" s="310" t="s">
        <v>185</v>
      </c>
      <c r="B921" s="188" t="s">
        <v>204</v>
      </c>
      <c r="C921" s="81" t="s">
        <v>15</v>
      </c>
      <c r="D921" s="189">
        <v>1</v>
      </c>
      <c r="E921" s="44"/>
      <c r="F921" s="59"/>
      <c r="G921" s="60">
        <f>(D921*E921)+(D921*F921)</f>
        <v>0</v>
      </c>
    </row>
    <row r="922" spans="1:7" x14ac:dyDescent="0.2">
      <c r="A922" s="306" t="s">
        <v>164</v>
      </c>
      <c r="B922" s="311" t="s">
        <v>131</v>
      </c>
      <c r="C922" s="219"/>
      <c r="D922" s="308"/>
      <c r="E922" s="215"/>
      <c r="F922" s="216"/>
      <c r="G922" s="217"/>
    </row>
    <row r="923" spans="1:7" x14ac:dyDescent="0.2">
      <c r="A923" s="310" t="s">
        <v>163</v>
      </c>
      <c r="B923" s="188" t="s">
        <v>432</v>
      </c>
      <c r="C923" s="81" t="s">
        <v>113</v>
      </c>
      <c r="D923" s="189">
        <v>3</v>
      </c>
      <c r="E923" s="44"/>
      <c r="F923" s="59"/>
      <c r="G923" s="60">
        <f>(D923*E923)+(D923*F923)</f>
        <v>0</v>
      </c>
    </row>
    <row r="924" spans="1:7" x14ac:dyDescent="0.2">
      <c r="A924" s="310" t="s">
        <v>164</v>
      </c>
      <c r="B924" s="188" t="s">
        <v>433</v>
      </c>
      <c r="C924" s="81" t="s">
        <v>113</v>
      </c>
      <c r="D924" s="189">
        <v>1</v>
      </c>
      <c r="E924" s="44"/>
      <c r="F924" s="59"/>
      <c r="G924" s="60">
        <f t="shared" ref="G924:G931" si="132">(D924*E924)+(D924*F924)</f>
        <v>0</v>
      </c>
    </row>
    <row r="925" spans="1:7" x14ac:dyDescent="0.2">
      <c r="A925" s="310" t="s">
        <v>175</v>
      </c>
      <c r="B925" s="188" t="s">
        <v>434</v>
      </c>
      <c r="C925" s="81" t="s">
        <v>113</v>
      </c>
      <c r="D925" s="189">
        <f>D924</f>
        <v>1</v>
      </c>
      <c r="E925" s="44"/>
      <c r="F925" s="59"/>
      <c r="G925" s="60">
        <f t="shared" si="132"/>
        <v>0</v>
      </c>
    </row>
    <row r="926" spans="1:7" x14ac:dyDescent="0.2">
      <c r="A926" s="310" t="s">
        <v>176</v>
      </c>
      <c r="B926" s="188" t="s">
        <v>132</v>
      </c>
      <c r="C926" s="81" t="s">
        <v>113</v>
      </c>
      <c r="D926" s="189">
        <f>D923</f>
        <v>3</v>
      </c>
      <c r="E926" s="44"/>
      <c r="F926" s="59"/>
      <c r="G926" s="60">
        <f t="shared" si="132"/>
        <v>0</v>
      </c>
    </row>
    <row r="927" spans="1:7" x14ac:dyDescent="0.2">
      <c r="A927" s="310" t="s">
        <v>177</v>
      </c>
      <c r="B927" s="188" t="s">
        <v>450</v>
      </c>
      <c r="C927" s="81" t="s">
        <v>113</v>
      </c>
      <c r="D927" s="189">
        <v>1</v>
      </c>
      <c r="E927" s="44"/>
      <c r="F927" s="59"/>
      <c r="G927" s="60">
        <f t="shared" si="132"/>
        <v>0</v>
      </c>
    </row>
    <row r="928" spans="1:7" x14ac:dyDescent="0.2">
      <c r="A928" s="310" t="s">
        <v>178</v>
      </c>
      <c r="B928" s="188" t="s">
        <v>435</v>
      </c>
      <c r="C928" s="81" t="s">
        <v>113</v>
      </c>
      <c r="D928" s="189">
        <f>D923</f>
        <v>3</v>
      </c>
      <c r="E928" s="44"/>
      <c r="F928" s="59"/>
      <c r="G928" s="60">
        <f t="shared" si="132"/>
        <v>0</v>
      </c>
    </row>
    <row r="929" spans="1:7" x14ac:dyDescent="0.2">
      <c r="A929" s="310" t="s">
        <v>179</v>
      </c>
      <c r="B929" s="188" t="s">
        <v>183</v>
      </c>
      <c r="C929" s="81" t="s">
        <v>113</v>
      </c>
      <c r="D929" s="189">
        <v>5</v>
      </c>
      <c r="E929" s="44"/>
      <c r="F929" s="59"/>
      <c r="G929" s="60">
        <f t="shared" si="132"/>
        <v>0</v>
      </c>
    </row>
    <row r="930" spans="1:7" x14ac:dyDescent="0.2">
      <c r="A930" s="310" t="s">
        <v>180</v>
      </c>
      <c r="B930" s="188" t="s">
        <v>436</v>
      </c>
      <c r="C930" s="81" t="s">
        <v>113</v>
      </c>
      <c r="D930" s="189">
        <f>D924</f>
        <v>1</v>
      </c>
      <c r="E930" s="44"/>
      <c r="F930" s="59"/>
      <c r="G930" s="60">
        <f t="shared" si="132"/>
        <v>0</v>
      </c>
    </row>
    <row r="931" spans="1:7" x14ac:dyDescent="0.2">
      <c r="A931" s="310" t="s">
        <v>181</v>
      </c>
      <c r="B931" s="188" t="s">
        <v>249</v>
      </c>
      <c r="C931" s="81" t="s">
        <v>113</v>
      </c>
      <c r="D931" s="189">
        <v>4</v>
      </c>
      <c r="E931" s="44"/>
      <c r="F931" s="59"/>
      <c r="G931" s="60">
        <f t="shared" si="132"/>
        <v>0</v>
      </c>
    </row>
    <row r="932" spans="1:7" x14ac:dyDescent="0.2">
      <c r="A932" s="310"/>
      <c r="B932" s="188"/>
      <c r="C932" s="81"/>
      <c r="D932" s="189"/>
      <c r="E932" s="44"/>
      <c r="F932" s="59"/>
      <c r="G932" s="60"/>
    </row>
    <row r="933" spans="1:7" x14ac:dyDescent="0.2">
      <c r="A933" s="306" t="s">
        <v>175</v>
      </c>
      <c r="B933" s="313" t="s">
        <v>205</v>
      </c>
      <c r="C933" s="314"/>
      <c r="D933" s="308"/>
      <c r="E933" s="215"/>
      <c r="F933" s="216"/>
      <c r="G933" s="217">
        <f t="shared" ref="G933:G934" si="133">(D933*E933)+(D933*F933)</f>
        <v>0</v>
      </c>
    </row>
    <row r="934" spans="1:7" ht="48" x14ac:dyDescent="0.2">
      <c r="A934" s="310" t="s">
        <v>163</v>
      </c>
      <c r="B934" s="188" t="s">
        <v>472</v>
      </c>
      <c r="C934" s="81" t="s">
        <v>15</v>
      </c>
      <c r="D934" s="189">
        <v>1</v>
      </c>
      <c r="E934" s="44"/>
      <c r="F934" s="59"/>
      <c r="G934" s="60">
        <f t="shared" si="133"/>
        <v>0</v>
      </c>
    </row>
    <row r="935" spans="1:7" x14ac:dyDescent="0.2">
      <c r="A935" s="40"/>
      <c r="B935" s="254"/>
      <c r="C935" s="292"/>
      <c r="D935" s="57"/>
      <c r="E935" s="44"/>
      <c r="F935" s="59"/>
      <c r="G935" s="60"/>
    </row>
    <row r="936" spans="1:7" x14ac:dyDescent="0.2">
      <c r="A936" s="302" t="s">
        <v>152</v>
      </c>
      <c r="B936" s="303" t="s">
        <v>260</v>
      </c>
      <c r="C936" s="304"/>
      <c r="D936" s="305"/>
      <c r="E936" s="279"/>
      <c r="F936" s="166"/>
      <c r="G936" s="167"/>
    </row>
    <row r="937" spans="1:7" x14ac:dyDescent="0.2">
      <c r="A937" s="306" t="s">
        <v>175</v>
      </c>
      <c r="B937" s="313" t="s">
        <v>205</v>
      </c>
      <c r="C937" s="314"/>
      <c r="D937" s="308"/>
      <c r="E937" s="215"/>
      <c r="F937" s="216"/>
      <c r="G937" s="217">
        <f t="shared" ref="G937:G938" si="134">(D937*E937)+(D937*F937)</f>
        <v>0</v>
      </c>
    </row>
    <row r="938" spans="1:7" ht="48" x14ac:dyDescent="0.2">
      <c r="A938" s="310" t="s">
        <v>163</v>
      </c>
      <c r="B938" s="188" t="s">
        <v>475</v>
      </c>
      <c r="C938" s="81" t="s">
        <v>15</v>
      </c>
      <c r="D938" s="189">
        <v>1</v>
      </c>
      <c r="E938" s="44"/>
      <c r="F938" s="59"/>
      <c r="G938" s="60">
        <f t="shared" si="134"/>
        <v>0</v>
      </c>
    </row>
    <row r="939" spans="1:7" x14ac:dyDescent="0.2">
      <c r="A939" s="40"/>
      <c r="B939" s="254"/>
      <c r="C939" s="292"/>
      <c r="D939" s="57"/>
      <c r="E939" s="44"/>
      <c r="F939" s="59"/>
      <c r="G939" s="60"/>
    </row>
    <row r="940" spans="1:7" x14ac:dyDescent="0.2">
      <c r="A940" s="40"/>
      <c r="B940" s="254"/>
      <c r="C940" s="292"/>
      <c r="D940" s="57"/>
      <c r="E940" s="44"/>
      <c r="F940" s="59"/>
      <c r="G940" s="60"/>
    </row>
    <row r="941" spans="1:7" x14ac:dyDescent="0.2">
      <c r="A941" s="40"/>
      <c r="B941" s="254"/>
      <c r="C941" s="292"/>
      <c r="D941" s="57"/>
      <c r="E941" s="44"/>
      <c r="F941" s="59"/>
      <c r="G941" s="60"/>
    </row>
    <row r="942" spans="1:7" x14ac:dyDescent="0.2">
      <c r="A942" s="40"/>
      <c r="B942" s="254"/>
      <c r="C942" s="292"/>
      <c r="D942" s="57"/>
      <c r="E942" s="44"/>
      <c r="F942" s="59"/>
      <c r="G942" s="60"/>
    </row>
    <row r="943" spans="1:7" x14ac:dyDescent="0.2">
      <c r="A943" s="40"/>
      <c r="B943" s="254"/>
      <c r="C943" s="292"/>
      <c r="D943" s="57"/>
      <c r="E943" s="44"/>
      <c r="F943" s="59"/>
      <c r="G943" s="60"/>
    </row>
    <row r="944" spans="1:7" x14ac:dyDescent="0.2">
      <c r="A944" s="40"/>
      <c r="B944" s="254"/>
      <c r="C944" s="292"/>
      <c r="D944" s="57"/>
      <c r="E944" s="44"/>
      <c r="F944" s="59"/>
      <c r="G944" s="60"/>
    </row>
    <row r="945" spans="1:7" x14ac:dyDescent="0.2">
      <c r="A945" s="40"/>
      <c r="B945" s="254"/>
      <c r="C945" s="292"/>
      <c r="D945" s="57"/>
      <c r="E945" s="44"/>
      <c r="F945" s="59"/>
      <c r="G945" s="60"/>
    </row>
    <row r="946" spans="1:7" x14ac:dyDescent="0.2">
      <c r="A946" s="40"/>
      <c r="B946" s="254"/>
      <c r="C946" s="292"/>
      <c r="D946" s="57"/>
      <c r="E946" s="44"/>
      <c r="F946" s="59"/>
      <c r="G946" s="60"/>
    </row>
    <row r="947" spans="1:7" x14ac:dyDescent="0.2">
      <c r="A947" s="40"/>
      <c r="B947" s="254"/>
      <c r="C947" s="292"/>
      <c r="D947" s="57"/>
      <c r="E947" s="44"/>
      <c r="F947" s="59"/>
      <c r="G947" s="60"/>
    </row>
    <row r="948" spans="1:7" x14ac:dyDescent="0.2">
      <c r="A948" s="40"/>
      <c r="B948" s="254"/>
      <c r="C948" s="292"/>
      <c r="D948" s="57"/>
      <c r="E948" s="44"/>
      <c r="F948" s="59"/>
      <c r="G948" s="60"/>
    </row>
    <row r="949" spans="1:7" ht="12.75" thickBot="1" x14ac:dyDescent="0.25">
      <c r="A949" s="40"/>
      <c r="B949" s="254"/>
      <c r="C949" s="292"/>
      <c r="D949" s="57"/>
      <c r="E949" s="44"/>
      <c r="F949" s="59"/>
      <c r="G949" s="60"/>
    </row>
    <row r="950" spans="1:7" x14ac:dyDescent="0.2">
      <c r="A950" s="68"/>
      <c r="B950" s="69" t="s">
        <v>195</v>
      </c>
      <c r="C950" s="113"/>
      <c r="D950" s="71"/>
      <c r="E950" s="72"/>
      <c r="F950" s="191"/>
      <c r="G950" s="192"/>
    </row>
    <row r="951" spans="1:7" ht="12.75" thickBot="1" x14ac:dyDescent="0.25">
      <c r="A951" s="73"/>
      <c r="B951" s="74" t="s">
        <v>126</v>
      </c>
      <c r="C951" s="114"/>
      <c r="D951" s="76"/>
      <c r="E951" s="77"/>
      <c r="F951" s="155"/>
      <c r="G951" s="193">
        <f>SUM(G879:G950)</f>
        <v>0</v>
      </c>
    </row>
    <row r="952" spans="1:7" x14ac:dyDescent="0.2">
      <c r="A952" s="141"/>
      <c r="B952" s="200"/>
      <c r="C952" s="143"/>
      <c r="D952" s="91"/>
      <c r="E952" s="92"/>
      <c r="F952" s="59"/>
      <c r="G952" s="60"/>
    </row>
    <row r="953" spans="1:7" x14ac:dyDescent="0.2">
      <c r="A953" s="40"/>
      <c r="B953" s="41" t="s">
        <v>127</v>
      </c>
      <c r="C953" s="56"/>
      <c r="D953" s="57"/>
      <c r="E953" s="44"/>
      <c r="F953" s="59"/>
      <c r="G953" s="60"/>
    </row>
    <row r="954" spans="1:7" x14ac:dyDescent="0.2">
      <c r="A954" s="40"/>
      <c r="B954" s="49" t="s">
        <v>99</v>
      </c>
      <c r="C954" s="56"/>
      <c r="D954" s="57"/>
      <c r="E954" s="44"/>
      <c r="F954" s="59"/>
      <c r="G954" s="60"/>
    </row>
    <row r="955" spans="1:7" x14ac:dyDescent="0.2">
      <c r="A955" s="319" t="s">
        <v>129</v>
      </c>
      <c r="B955" s="98" t="s">
        <v>41</v>
      </c>
      <c r="C955" s="56"/>
      <c r="D955" s="57"/>
      <c r="E955" s="320"/>
      <c r="F955" s="59"/>
      <c r="G955" s="60"/>
    </row>
    <row r="956" spans="1:7" ht="27.75" customHeight="1" x14ac:dyDescent="0.2">
      <c r="A956" s="321"/>
      <c r="B956" s="437" t="s">
        <v>266</v>
      </c>
      <c r="C956" s="438"/>
      <c r="D956" s="438"/>
      <c r="E956" s="438"/>
      <c r="F956" s="439"/>
      <c r="G956" s="196"/>
    </row>
    <row r="957" spans="1:7" ht="29.25" customHeight="1" x14ac:dyDescent="0.2">
      <c r="A957" s="321"/>
      <c r="B957" s="440" t="s">
        <v>267</v>
      </c>
      <c r="C957" s="441"/>
      <c r="D957" s="441"/>
      <c r="E957" s="441"/>
      <c r="F957" s="442"/>
      <c r="G957" s="196"/>
    </row>
    <row r="958" spans="1:7" ht="41.25" customHeight="1" x14ac:dyDescent="0.2">
      <c r="A958" s="321"/>
      <c r="B958" s="440" t="s">
        <v>265</v>
      </c>
      <c r="C958" s="441"/>
      <c r="D958" s="441"/>
      <c r="E958" s="441"/>
      <c r="F958" s="442"/>
      <c r="G958" s="196"/>
    </row>
    <row r="959" spans="1:7" ht="26.25" customHeight="1" x14ac:dyDescent="0.2">
      <c r="A959" s="322"/>
      <c r="B959" s="440" t="s">
        <v>453</v>
      </c>
      <c r="C959" s="441"/>
      <c r="D959" s="441"/>
      <c r="E959" s="441"/>
      <c r="F959" s="442"/>
      <c r="G959" s="196"/>
    </row>
    <row r="960" spans="1:7" ht="15.75" customHeight="1" x14ac:dyDescent="0.2">
      <c r="A960" s="321"/>
      <c r="B960" s="422" t="s">
        <v>452</v>
      </c>
      <c r="C960" s="423"/>
      <c r="D960" s="423"/>
      <c r="E960" s="423"/>
      <c r="F960" s="424"/>
      <c r="G960" s="196"/>
    </row>
    <row r="961" spans="1:7" ht="17.25" customHeight="1" x14ac:dyDescent="0.2">
      <c r="A961" s="321"/>
      <c r="B961" s="425" t="s">
        <v>437</v>
      </c>
      <c r="C961" s="426"/>
      <c r="D961" s="426"/>
      <c r="E961" s="426"/>
      <c r="F961" s="427"/>
      <c r="G961" s="196"/>
    </row>
    <row r="962" spans="1:7" ht="12" customHeight="1" x14ac:dyDescent="0.2">
      <c r="A962" s="321"/>
      <c r="B962" s="323"/>
      <c r="C962" s="195"/>
      <c r="D962" s="195"/>
      <c r="E962" s="195"/>
      <c r="F962" s="195"/>
      <c r="G962" s="196"/>
    </row>
    <row r="963" spans="1:7" x14ac:dyDescent="0.2">
      <c r="A963" s="324" t="s">
        <v>150</v>
      </c>
      <c r="B963" s="325" t="s">
        <v>66</v>
      </c>
      <c r="C963" s="326"/>
      <c r="D963" s="327"/>
      <c r="E963" s="328"/>
      <c r="F963" s="329"/>
      <c r="G963" s="330"/>
    </row>
    <row r="964" spans="1:7" x14ac:dyDescent="0.2">
      <c r="A964" s="383" t="s">
        <v>163</v>
      </c>
      <c r="B964" s="384" t="s">
        <v>211</v>
      </c>
      <c r="C964" s="371"/>
      <c r="D964" s="372"/>
      <c r="E964" s="209"/>
      <c r="F964" s="181"/>
      <c r="G964" s="218">
        <f>D964*E964</f>
        <v>0</v>
      </c>
    </row>
    <row r="965" spans="1:7" ht="25.5" customHeight="1" x14ac:dyDescent="0.2">
      <c r="A965" s="385" t="s">
        <v>184</v>
      </c>
      <c r="B965" s="386" t="s">
        <v>255</v>
      </c>
      <c r="C965" s="387" t="s">
        <v>8</v>
      </c>
      <c r="D965" s="388">
        <v>1</v>
      </c>
      <c r="E965" s="331"/>
      <c r="F965" s="331"/>
      <c r="G965" s="332">
        <f>+D965*E965+D965*F965</f>
        <v>0</v>
      </c>
    </row>
    <row r="966" spans="1:7" ht="36.75" customHeight="1" x14ac:dyDescent="0.2">
      <c r="A966" s="385" t="s">
        <v>185</v>
      </c>
      <c r="B966" s="389" t="s">
        <v>508</v>
      </c>
      <c r="C966" s="387" t="s">
        <v>8</v>
      </c>
      <c r="D966" s="388">
        <v>2</v>
      </c>
      <c r="E966" s="209"/>
      <c r="F966" s="331"/>
      <c r="G966" s="332">
        <f t="shared" ref="G966:G993" si="135">+D966*E966+D966*F966</f>
        <v>0</v>
      </c>
    </row>
    <row r="967" spans="1:7" x14ac:dyDescent="0.2">
      <c r="A967" s="383" t="s">
        <v>164</v>
      </c>
      <c r="B967" s="384" t="s">
        <v>212</v>
      </c>
      <c r="C967" s="390"/>
      <c r="D967" s="391"/>
      <c r="E967" s="209"/>
      <c r="F967" s="331"/>
      <c r="G967" s="333">
        <f t="shared" si="135"/>
        <v>0</v>
      </c>
    </row>
    <row r="968" spans="1:7" x14ac:dyDescent="0.2">
      <c r="A968" s="385"/>
      <c r="B968" s="389" t="s">
        <v>354</v>
      </c>
      <c r="C968" s="371" t="s">
        <v>8</v>
      </c>
      <c r="D968" s="372">
        <v>32</v>
      </c>
      <c r="E968" s="209"/>
      <c r="F968" s="331"/>
      <c r="G968" s="333">
        <f t="shared" si="135"/>
        <v>0</v>
      </c>
    </row>
    <row r="969" spans="1:7" x14ac:dyDescent="0.2">
      <c r="A969" s="385"/>
      <c r="B969" s="389" t="s">
        <v>355</v>
      </c>
      <c r="C969" s="371" t="s">
        <v>8</v>
      </c>
      <c r="D969" s="372">
        <v>10</v>
      </c>
      <c r="E969" s="209"/>
      <c r="F969" s="331"/>
      <c r="G969" s="333">
        <f t="shared" ref="G969" si="136">+D969*E969+D969*F969</f>
        <v>0</v>
      </c>
    </row>
    <row r="970" spans="1:7" x14ac:dyDescent="0.2">
      <c r="A970" s="385"/>
      <c r="B970" s="389" t="s">
        <v>270</v>
      </c>
      <c r="C970" s="371" t="s">
        <v>8</v>
      </c>
      <c r="D970" s="372">
        <v>11</v>
      </c>
      <c r="E970" s="209"/>
      <c r="F970" s="331"/>
      <c r="G970" s="333">
        <f t="shared" ref="G970" si="137">+D970*E970+D970*F970</f>
        <v>0</v>
      </c>
    </row>
    <row r="971" spans="1:7" x14ac:dyDescent="0.2">
      <c r="A971" s="385"/>
      <c r="B971" s="389" t="s">
        <v>271</v>
      </c>
      <c r="C971" s="371" t="s">
        <v>8</v>
      </c>
      <c r="D971" s="372">
        <v>11</v>
      </c>
      <c r="E971" s="209"/>
      <c r="F971" s="331"/>
      <c r="G971" s="333">
        <f t="shared" si="135"/>
        <v>0</v>
      </c>
    </row>
    <row r="972" spans="1:7" x14ac:dyDescent="0.2">
      <c r="A972" s="385"/>
      <c r="B972" s="389" t="s">
        <v>256</v>
      </c>
      <c r="C972" s="371" t="s">
        <v>8</v>
      </c>
      <c r="D972" s="372">
        <v>16</v>
      </c>
      <c r="E972" s="209"/>
      <c r="F972" s="331"/>
      <c r="G972" s="333">
        <f t="shared" si="135"/>
        <v>0</v>
      </c>
    </row>
    <row r="973" spans="1:7" x14ac:dyDescent="0.2">
      <c r="A973" s="385"/>
      <c r="B973" s="389" t="s">
        <v>426</v>
      </c>
      <c r="C973" s="371" t="s">
        <v>8</v>
      </c>
      <c r="D973" s="372">
        <v>3</v>
      </c>
      <c r="E973" s="209"/>
      <c r="F973" s="331"/>
      <c r="G973" s="333">
        <f t="shared" si="135"/>
        <v>0</v>
      </c>
    </row>
    <row r="974" spans="1:7" x14ac:dyDescent="0.2">
      <c r="A974" s="385"/>
      <c r="B974" s="389" t="s">
        <v>372</v>
      </c>
      <c r="C974" s="387" t="s">
        <v>8</v>
      </c>
      <c r="D974" s="388">
        <v>8</v>
      </c>
      <c r="E974" s="209"/>
      <c r="F974" s="331"/>
      <c r="G974" s="333">
        <f t="shared" ref="G974:G977" si="138">+D974*E974+D974*F974</f>
        <v>0</v>
      </c>
    </row>
    <row r="975" spans="1:7" x14ac:dyDescent="0.2">
      <c r="A975" s="385"/>
      <c r="B975" s="389" t="s">
        <v>507</v>
      </c>
      <c r="C975" s="387" t="s">
        <v>8</v>
      </c>
      <c r="D975" s="388">
        <v>22</v>
      </c>
      <c r="E975" s="209"/>
      <c r="F975" s="331"/>
      <c r="G975" s="333">
        <f t="shared" ref="G975" si="139">+D975*E975+D975*F975</f>
        <v>0</v>
      </c>
    </row>
    <row r="976" spans="1:7" x14ac:dyDescent="0.2">
      <c r="A976" s="385"/>
      <c r="B976" s="389" t="s">
        <v>358</v>
      </c>
      <c r="C976" s="387" t="s">
        <v>8</v>
      </c>
      <c r="D976" s="388">
        <v>12</v>
      </c>
      <c r="E976" s="209"/>
      <c r="F976" s="331"/>
      <c r="G976" s="333">
        <f t="shared" si="138"/>
        <v>0</v>
      </c>
    </row>
    <row r="977" spans="1:7" x14ac:dyDescent="0.2">
      <c r="A977" s="385"/>
      <c r="B977" s="389" t="s">
        <v>427</v>
      </c>
      <c r="C977" s="371" t="s">
        <v>8</v>
      </c>
      <c r="D977" s="372">
        <v>5</v>
      </c>
      <c r="E977" s="209"/>
      <c r="F977" s="331"/>
      <c r="G977" s="333">
        <f t="shared" si="138"/>
        <v>0</v>
      </c>
    </row>
    <row r="978" spans="1:7" x14ac:dyDescent="0.2">
      <c r="A978" s="385"/>
      <c r="B978" s="389" t="s">
        <v>359</v>
      </c>
      <c r="C978" s="371" t="s">
        <v>8</v>
      </c>
      <c r="D978" s="372">
        <v>2</v>
      </c>
      <c r="E978" s="209"/>
      <c r="F978" s="331"/>
      <c r="G978" s="333">
        <f t="shared" ref="G978:G980" si="140">+D978*E978+D978*F978</f>
        <v>0</v>
      </c>
    </row>
    <row r="979" spans="1:7" x14ac:dyDescent="0.2">
      <c r="A979" s="385"/>
      <c r="B979" s="389" t="s">
        <v>360</v>
      </c>
      <c r="C979" s="371" t="s">
        <v>8</v>
      </c>
      <c r="D979" s="372">
        <v>1</v>
      </c>
      <c r="E979" s="209"/>
      <c r="F979" s="331"/>
      <c r="G979" s="333">
        <f t="shared" si="140"/>
        <v>0</v>
      </c>
    </row>
    <row r="980" spans="1:7" x14ac:dyDescent="0.2">
      <c r="A980" s="385"/>
      <c r="B980" s="389" t="s">
        <v>361</v>
      </c>
      <c r="C980" s="371" t="s">
        <v>8</v>
      </c>
      <c r="D980" s="372">
        <v>13</v>
      </c>
      <c r="E980" s="209"/>
      <c r="F980" s="331"/>
      <c r="G980" s="333">
        <f t="shared" si="140"/>
        <v>0</v>
      </c>
    </row>
    <row r="981" spans="1:7" x14ac:dyDescent="0.2">
      <c r="A981" s="385"/>
      <c r="B981" s="389" t="s">
        <v>362</v>
      </c>
      <c r="C981" s="371" t="s">
        <v>8</v>
      </c>
      <c r="D981" s="372">
        <f>D972</f>
        <v>16</v>
      </c>
      <c r="E981" s="209"/>
      <c r="F981" s="331"/>
      <c r="G981" s="333">
        <f t="shared" si="135"/>
        <v>0</v>
      </c>
    </row>
    <row r="982" spans="1:7" x14ac:dyDescent="0.2">
      <c r="A982" s="385"/>
      <c r="B982" s="389" t="s">
        <v>363</v>
      </c>
      <c r="C982" s="371" t="s">
        <v>8</v>
      </c>
      <c r="D982" s="372">
        <v>4</v>
      </c>
      <c r="E982" s="209"/>
      <c r="F982" s="331"/>
      <c r="G982" s="333">
        <f t="shared" ref="G982" si="141">+D982*E982+D982*F982</f>
        <v>0</v>
      </c>
    </row>
    <row r="983" spans="1:7" x14ac:dyDescent="0.2">
      <c r="A983" s="385"/>
      <c r="B983" s="389" t="s">
        <v>364</v>
      </c>
      <c r="C983" s="371" t="s">
        <v>8</v>
      </c>
      <c r="D983" s="372">
        <v>4</v>
      </c>
      <c r="E983" s="209"/>
      <c r="F983" s="331"/>
      <c r="G983" s="333">
        <f t="shared" si="135"/>
        <v>0</v>
      </c>
    </row>
    <row r="984" spans="1:7" x14ac:dyDescent="0.2">
      <c r="A984" s="385"/>
      <c r="B984" s="389" t="s">
        <v>365</v>
      </c>
      <c r="C984" s="371" t="s">
        <v>8</v>
      </c>
      <c r="D984" s="372">
        <v>4</v>
      </c>
      <c r="E984" s="209"/>
      <c r="F984" s="331"/>
      <c r="G984" s="333">
        <f t="shared" ref="G984:G987" si="142">+D984*E984+D984*F984</f>
        <v>0</v>
      </c>
    </row>
    <row r="985" spans="1:7" x14ac:dyDescent="0.2">
      <c r="A985" s="385"/>
      <c r="B985" s="389" t="s">
        <v>397</v>
      </c>
      <c r="C985" s="371" t="s">
        <v>8</v>
      </c>
      <c r="D985" s="372">
        <v>6</v>
      </c>
      <c r="E985" s="209"/>
      <c r="F985" s="331"/>
      <c r="G985" s="333">
        <f t="shared" si="142"/>
        <v>0</v>
      </c>
    </row>
    <row r="986" spans="1:7" x14ac:dyDescent="0.2">
      <c r="A986" s="385"/>
      <c r="B986" s="389" t="s">
        <v>367</v>
      </c>
      <c r="C986" s="371" t="s">
        <v>8</v>
      </c>
      <c r="D986" s="372">
        <v>8</v>
      </c>
      <c r="E986" s="209"/>
      <c r="F986" s="331"/>
      <c r="G986" s="333">
        <f t="shared" si="142"/>
        <v>0</v>
      </c>
    </row>
    <row r="987" spans="1:7" x14ac:dyDescent="0.2">
      <c r="A987" s="385"/>
      <c r="B987" s="389" t="s">
        <v>398</v>
      </c>
      <c r="C987" s="371" t="s">
        <v>8</v>
      </c>
      <c r="D987" s="372">
        <v>4</v>
      </c>
      <c r="E987" s="209"/>
      <c r="F987" s="331"/>
      <c r="G987" s="333">
        <f t="shared" si="142"/>
        <v>0</v>
      </c>
    </row>
    <row r="988" spans="1:7" x14ac:dyDescent="0.2">
      <c r="A988" s="383" t="s">
        <v>175</v>
      </c>
      <c r="B988" s="384" t="s">
        <v>213</v>
      </c>
      <c r="C988" s="390"/>
      <c r="D988" s="391"/>
      <c r="E988" s="209"/>
      <c r="F988" s="331"/>
      <c r="G988" s="333">
        <f t="shared" si="135"/>
        <v>0</v>
      </c>
    </row>
    <row r="989" spans="1:7" ht="13.5" x14ac:dyDescent="0.2">
      <c r="A989" s="40" t="s">
        <v>163</v>
      </c>
      <c r="B989" s="254" t="s">
        <v>476</v>
      </c>
      <c r="C989" s="292" t="s">
        <v>216</v>
      </c>
      <c r="D989" s="57">
        <f>D968+D971+D972+D970+D969+D973</f>
        <v>83</v>
      </c>
      <c r="E989" s="44"/>
      <c r="F989" s="331"/>
      <c r="G989" s="333">
        <f t="shared" si="135"/>
        <v>0</v>
      </c>
    </row>
    <row r="990" spans="1:7" ht="13.5" x14ac:dyDescent="0.2">
      <c r="A990" s="40" t="s">
        <v>164</v>
      </c>
      <c r="B990" s="254" t="s">
        <v>477</v>
      </c>
      <c r="C990" s="292" t="s">
        <v>216</v>
      </c>
      <c r="D990" s="57">
        <f>D974+D975+D976</f>
        <v>42</v>
      </c>
      <c r="E990" s="44"/>
      <c r="F990" s="331"/>
      <c r="G990" s="333">
        <f t="shared" si="135"/>
        <v>0</v>
      </c>
    </row>
    <row r="991" spans="1:7" ht="13.5" x14ac:dyDescent="0.2">
      <c r="A991" s="40" t="s">
        <v>175</v>
      </c>
      <c r="B991" s="254" t="s">
        <v>478</v>
      </c>
      <c r="C991" s="292" t="s">
        <v>113</v>
      </c>
      <c r="D991" s="57">
        <v>2</v>
      </c>
      <c r="E991" s="44"/>
      <c r="F991" s="331"/>
      <c r="G991" s="333">
        <f t="shared" si="135"/>
        <v>0</v>
      </c>
    </row>
    <row r="992" spans="1:7" x14ac:dyDescent="0.2">
      <c r="A992" s="40" t="s">
        <v>176</v>
      </c>
      <c r="B992" s="254" t="s">
        <v>214</v>
      </c>
      <c r="C992" s="292" t="s">
        <v>113</v>
      </c>
      <c r="D992" s="57">
        <f>D984</f>
        <v>4</v>
      </c>
      <c r="E992" s="44"/>
      <c r="F992" s="331"/>
      <c r="G992" s="333">
        <f t="shared" si="135"/>
        <v>0</v>
      </c>
    </row>
    <row r="993" spans="1:7" x14ac:dyDescent="0.2">
      <c r="A993" s="40" t="s">
        <v>177</v>
      </c>
      <c r="B993" s="254" t="s">
        <v>215</v>
      </c>
      <c r="C993" s="292" t="s">
        <v>113</v>
      </c>
      <c r="D993" s="57">
        <f>D982</f>
        <v>4</v>
      </c>
      <c r="E993" s="44"/>
      <c r="F993" s="331"/>
      <c r="G993" s="333">
        <f t="shared" si="135"/>
        <v>0</v>
      </c>
    </row>
    <row r="994" spans="1:7" x14ac:dyDescent="0.2">
      <c r="A994" s="40" t="s">
        <v>178</v>
      </c>
      <c r="B994" s="254" t="s">
        <v>272</v>
      </c>
      <c r="C994" s="292" t="s">
        <v>113</v>
      </c>
      <c r="D994" s="57">
        <f>D983</f>
        <v>4</v>
      </c>
      <c r="E994" s="44"/>
      <c r="F994" s="331"/>
      <c r="G994" s="333">
        <f t="shared" ref="G994" si="143">+D994*E994+D994*F994</f>
        <v>0</v>
      </c>
    </row>
    <row r="995" spans="1:7" x14ac:dyDescent="0.2">
      <c r="A995" s="40" t="s">
        <v>179</v>
      </c>
      <c r="B995" s="254" t="s">
        <v>369</v>
      </c>
      <c r="C995" s="292" t="s">
        <v>113</v>
      </c>
      <c r="D995" s="57">
        <f t="shared" ref="D995" si="144">D984</f>
        <v>4</v>
      </c>
      <c r="E995" s="44"/>
      <c r="F995" s="331"/>
      <c r="G995" s="333">
        <f t="shared" ref="G995:G996" si="145">+D995*E995+D995*F995</f>
        <v>0</v>
      </c>
    </row>
    <row r="996" spans="1:7" x14ac:dyDescent="0.2">
      <c r="A996" s="40" t="s">
        <v>180</v>
      </c>
      <c r="B996" s="254" t="s">
        <v>370</v>
      </c>
      <c r="C996" s="292" t="s">
        <v>113</v>
      </c>
      <c r="D996" s="57">
        <f>D985</f>
        <v>6</v>
      </c>
      <c r="E996" s="44"/>
      <c r="F996" s="331"/>
      <c r="G996" s="333">
        <f t="shared" si="145"/>
        <v>0</v>
      </c>
    </row>
    <row r="997" spans="1:7" x14ac:dyDescent="0.2">
      <c r="A997" s="40"/>
      <c r="B997" s="254"/>
      <c r="C997" s="292"/>
      <c r="D997" s="57"/>
      <c r="E997" s="44"/>
      <c r="F997" s="331"/>
      <c r="G997" s="333"/>
    </row>
    <row r="998" spans="1:7" x14ac:dyDescent="0.2">
      <c r="A998" s="40"/>
      <c r="B998" s="254"/>
      <c r="C998" s="292"/>
      <c r="D998" s="57"/>
      <c r="E998" s="44"/>
      <c r="F998" s="331"/>
      <c r="G998" s="333"/>
    </row>
    <row r="999" spans="1:7" x14ac:dyDescent="0.2">
      <c r="A999" s="40"/>
      <c r="B999" s="254"/>
      <c r="C999" s="292"/>
      <c r="D999" s="57"/>
      <c r="E999" s="44"/>
      <c r="F999" s="331"/>
      <c r="G999" s="333"/>
    </row>
    <row r="1000" spans="1:7" ht="12.75" thickBot="1" x14ac:dyDescent="0.25">
      <c r="A1000" s="73"/>
      <c r="B1000" s="259"/>
      <c r="C1000" s="334"/>
      <c r="D1000" s="76"/>
      <c r="E1000" s="77"/>
      <c r="F1000" s="335"/>
      <c r="G1000" s="336"/>
    </row>
    <row r="1001" spans="1:7" x14ac:dyDescent="0.2">
      <c r="A1001" s="40"/>
      <c r="B1001" s="254"/>
      <c r="C1001" s="292"/>
      <c r="D1001" s="57"/>
      <c r="E1001" s="44"/>
      <c r="F1001" s="181"/>
      <c r="G1001" s="333"/>
    </row>
    <row r="1002" spans="1:7" x14ac:dyDescent="0.2">
      <c r="A1002" s="324" t="s">
        <v>151</v>
      </c>
      <c r="B1002" s="325" t="s">
        <v>68</v>
      </c>
      <c r="C1002" s="326"/>
      <c r="D1002" s="327"/>
      <c r="E1002" s="328"/>
      <c r="F1002" s="329"/>
      <c r="G1002" s="330"/>
    </row>
    <row r="1003" spans="1:7" x14ac:dyDescent="0.2">
      <c r="A1003" s="383" t="s">
        <v>163</v>
      </c>
      <c r="B1003" s="384" t="s">
        <v>211</v>
      </c>
      <c r="C1003" s="371"/>
      <c r="D1003" s="372"/>
      <c r="E1003" s="209"/>
      <c r="F1003" s="181"/>
      <c r="G1003" s="218">
        <f>D1003*E1003</f>
        <v>0</v>
      </c>
    </row>
    <row r="1004" spans="1:7" ht="37.5" customHeight="1" x14ac:dyDescent="0.2">
      <c r="A1004" s="385" t="s">
        <v>184</v>
      </c>
      <c r="B1004" s="392" t="s">
        <v>509</v>
      </c>
      <c r="C1004" s="387" t="s">
        <v>8</v>
      </c>
      <c r="D1004" s="388">
        <v>2</v>
      </c>
      <c r="E1004" s="209"/>
      <c r="F1004" s="331"/>
      <c r="G1004" s="332">
        <f t="shared" ref="G1004:G1034" si="146">+D1004*E1004+D1004*F1004</f>
        <v>0</v>
      </c>
    </row>
    <row r="1005" spans="1:7" x14ac:dyDescent="0.2">
      <c r="A1005" s="383" t="s">
        <v>164</v>
      </c>
      <c r="B1005" s="384" t="s">
        <v>212</v>
      </c>
      <c r="C1005" s="390"/>
      <c r="D1005" s="391"/>
      <c r="E1005" s="209"/>
      <c r="F1005" s="331"/>
      <c r="G1005" s="333">
        <f t="shared" si="146"/>
        <v>0</v>
      </c>
    </row>
    <row r="1006" spans="1:7" x14ac:dyDescent="0.2">
      <c r="A1006" s="385"/>
      <c r="B1006" s="389" t="s">
        <v>354</v>
      </c>
      <c r="C1006" s="371" t="s">
        <v>8</v>
      </c>
      <c r="D1006" s="372">
        <v>32</v>
      </c>
      <c r="E1006" s="209"/>
      <c r="F1006" s="331"/>
      <c r="G1006" s="333">
        <f t="shared" si="146"/>
        <v>0</v>
      </c>
    </row>
    <row r="1007" spans="1:7" x14ac:dyDescent="0.2">
      <c r="A1007" s="385"/>
      <c r="B1007" s="389" t="s">
        <v>371</v>
      </c>
      <c r="C1007" s="371" t="s">
        <v>8</v>
      </c>
      <c r="D1007" s="372">
        <v>2</v>
      </c>
      <c r="E1007" s="209"/>
      <c r="F1007" s="331"/>
      <c r="G1007" s="333">
        <f t="shared" ref="G1007" si="147">+D1007*E1007+D1007*F1007</f>
        <v>0</v>
      </c>
    </row>
    <row r="1008" spans="1:7" x14ac:dyDescent="0.2">
      <c r="A1008" s="385"/>
      <c r="B1008" s="389" t="s">
        <v>355</v>
      </c>
      <c r="C1008" s="371" t="s">
        <v>8</v>
      </c>
      <c r="D1008" s="372">
        <v>10</v>
      </c>
      <c r="E1008" s="209"/>
      <c r="F1008" s="331"/>
      <c r="G1008" s="333">
        <f t="shared" si="146"/>
        <v>0</v>
      </c>
    </row>
    <row r="1009" spans="1:7" x14ac:dyDescent="0.2">
      <c r="A1009" s="385"/>
      <c r="B1009" s="389" t="s">
        <v>270</v>
      </c>
      <c r="C1009" s="371" t="s">
        <v>8</v>
      </c>
      <c r="D1009" s="372">
        <v>11</v>
      </c>
      <c r="E1009" s="209"/>
      <c r="F1009" s="331"/>
      <c r="G1009" s="333">
        <f t="shared" si="146"/>
        <v>0</v>
      </c>
    </row>
    <row r="1010" spans="1:7" x14ac:dyDescent="0.2">
      <c r="A1010" s="385"/>
      <c r="B1010" s="389" t="s">
        <v>256</v>
      </c>
      <c r="C1010" s="371" t="s">
        <v>8</v>
      </c>
      <c r="D1010" s="372">
        <v>17</v>
      </c>
      <c r="E1010" s="209"/>
      <c r="F1010" s="331"/>
      <c r="G1010" s="333">
        <f t="shared" si="146"/>
        <v>0</v>
      </c>
    </row>
    <row r="1011" spans="1:7" x14ac:dyDescent="0.2">
      <c r="A1011" s="385"/>
      <c r="B1011" s="389" t="s">
        <v>426</v>
      </c>
      <c r="C1011" s="371" t="s">
        <v>8</v>
      </c>
      <c r="D1011" s="372">
        <v>3</v>
      </c>
      <c r="E1011" s="209"/>
      <c r="F1011" s="331"/>
      <c r="G1011" s="333">
        <f t="shared" si="146"/>
        <v>0</v>
      </c>
    </row>
    <row r="1012" spans="1:7" x14ac:dyDescent="0.2">
      <c r="A1012" s="385"/>
      <c r="B1012" s="389" t="s">
        <v>356</v>
      </c>
      <c r="C1012" s="387" t="s">
        <v>8</v>
      </c>
      <c r="D1012" s="388">
        <v>6</v>
      </c>
      <c r="E1012" s="209"/>
      <c r="F1012" s="331"/>
      <c r="G1012" s="333">
        <f t="shared" si="146"/>
        <v>0</v>
      </c>
    </row>
    <row r="1013" spans="1:7" x14ac:dyDescent="0.2">
      <c r="A1013" s="385"/>
      <c r="B1013" s="389" t="s">
        <v>357</v>
      </c>
      <c r="C1013" s="387" t="s">
        <v>8</v>
      </c>
      <c r="D1013" s="388">
        <v>24</v>
      </c>
      <c r="E1013" s="209"/>
      <c r="F1013" s="331"/>
      <c r="G1013" s="333">
        <f t="shared" si="146"/>
        <v>0</v>
      </c>
    </row>
    <row r="1014" spans="1:7" x14ac:dyDescent="0.2">
      <c r="A1014" s="385"/>
      <c r="B1014" s="389" t="s">
        <v>358</v>
      </c>
      <c r="C1014" s="387" t="s">
        <v>8</v>
      </c>
      <c r="D1014" s="388">
        <v>12</v>
      </c>
      <c r="E1014" s="209"/>
      <c r="F1014" s="331"/>
      <c r="G1014" s="333">
        <f t="shared" si="146"/>
        <v>0</v>
      </c>
    </row>
    <row r="1015" spans="1:7" x14ac:dyDescent="0.2">
      <c r="A1015" s="385"/>
      <c r="B1015" s="389" t="s">
        <v>427</v>
      </c>
      <c r="C1015" s="371" t="s">
        <v>8</v>
      </c>
      <c r="D1015" s="372">
        <v>5</v>
      </c>
      <c r="E1015" s="209"/>
      <c r="F1015" s="331"/>
      <c r="G1015" s="333">
        <f t="shared" si="146"/>
        <v>0</v>
      </c>
    </row>
    <row r="1016" spans="1:7" x14ac:dyDescent="0.2">
      <c r="A1016" s="385"/>
      <c r="B1016" s="389" t="s">
        <v>359</v>
      </c>
      <c r="C1016" s="371" t="s">
        <v>8</v>
      </c>
      <c r="D1016" s="372">
        <v>3</v>
      </c>
      <c r="E1016" s="209"/>
      <c r="F1016" s="331"/>
      <c r="G1016" s="333">
        <f t="shared" si="146"/>
        <v>0</v>
      </c>
    </row>
    <row r="1017" spans="1:7" x14ac:dyDescent="0.2">
      <c r="A1017" s="385"/>
      <c r="B1017" s="389" t="s">
        <v>360</v>
      </c>
      <c r="C1017" s="371" t="s">
        <v>8</v>
      </c>
      <c r="D1017" s="372">
        <v>0</v>
      </c>
      <c r="E1017" s="209"/>
      <c r="F1017" s="331"/>
      <c r="G1017" s="333">
        <f t="shared" si="146"/>
        <v>0</v>
      </c>
    </row>
    <row r="1018" spans="1:7" x14ac:dyDescent="0.2">
      <c r="A1018" s="385"/>
      <c r="B1018" s="389" t="s">
        <v>361</v>
      </c>
      <c r="C1018" s="371" t="s">
        <v>8</v>
      </c>
      <c r="D1018" s="372">
        <v>11</v>
      </c>
      <c r="E1018" s="209"/>
      <c r="F1018" s="331"/>
      <c r="G1018" s="333">
        <f t="shared" si="146"/>
        <v>0</v>
      </c>
    </row>
    <row r="1019" spans="1:7" x14ac:dyDescent="0.2">
      <c r="A1019" s="385"/>
      <c r="B1019" s="389" t="s">
        <v>362</v>
      </c>
      <c r="C1019" s="371" t="s">
        <v>8</v>
      </c>
      <c r="D1019" s="372">
        <f>D1010</f>
        <v>17</v>
      </c>
      <c r="E1019" s="209"/>
      <c r="F1019" s="331"/>
      <c r="G1019" s="333">
        <f t="shared" si="146"/>
        <v>0</v>
      </c>
    </row>
    <row r="1020" spans="1:7" x14ac:dyDescent="0.2">
      <c r="A1020" s="385"/>
      <c r="B1020" s="389" t="s">
        <v>363</v>
      </c>
      <c r="C1020" s="371" t="s">
        <v>8</v>
      </c>
      <c r="D1020" s="372">
        <v>4</v>
      </c>
      <c r="E1020" s="209"/>
      <c r="F1020" s="331"/>
      <c r="G1020" s="333">
        <f t="shared" si="146"/>
        <v>0</v>
      </c>
    </row>
    <row r="1021" spans="1:7" x14ac:dyDescent="0.2">
      <c r="A1021" s="385"/>
      <c r="B1021" s="389" t="s">
        <v>364</v>
      </c>
      <c r="C1021" s="371" t="s">
        <v>8</v>
      </c>
      <c r="D1021" s="372">
        <v>4</v>
      </c>
      <c r="E1021" s="209"/>
      <c r="F1021" s="331"/>
      <c r="G1021" s="333">
        <f t="shared" si="146"/>
        <v>0</v>
      </c>
    </row>
    <row r="1022" spans="1:7" x14ac:dyDescent="0.2">
      <c r="A1022" s="385"/>
      <c r="B1022" s="389" t="s">
        <v>365</v>
      </c>
      <c r="C1022" s="371" t="s">
        <v>8</v>
      </c>
      <c r="D1022" s="372">
        <v>4</v>
      </c>
      <c r="E1022" s="209"/>
      <c r="F1022" s="331"/>
      <c r="G1022" s="333">
        <f t="shared" si="146"/>
        <v>0</v>
      </c>
    </row>
    <row r="1023" spans="1:7" x14ac:dyDescent="0.2">
      <c r="A1023" s="385"/>
      <c r="B1023" s="389" t="s">
        <v>366</v>
      </c>
      <c r="C1023" s="371" t="s">
        <v>8</v>
      </c>
      <c r="D1023" s="372">
        <v>6</v>
      </c>
      <c r="E1023" s="209"/>
      <c r="F1023" s="331"/>
      <c r="G1023" s="333">
        <f t="shared" si="146"/>
        <v>0</v>
      </c>
    </row>
    <row r="1024" spans="1:7" x14ac:dyDescent="0.2">
      <c r="A1024" s="385"/>
      <c r="B1024" s="389" t="s">
        <v>367</v>
      </c>
      <c r="C1024" s="371" t="s">
        <v>8</v>
      </c>
      <c r="D1024" s="372">
        <v>8</v>
      </c>
      <c r="E1024" s="209"/>
      <c r="F1024" s="331"/>
      <c r="G1024" s="333">
        <f t="shared" si="146"/>
        <v>0</v>
      </c>
    </row>
    <row r="1025" spans="1:7" x14ac:dyDescent="0.2">
      <c r="A1025" s="385"/>
      <c r="B1025" s="389" t="s">
        <v>368</v>
      </c>
      <c r="C1025" s="371" t="s">
        <v>8</v>
      </c>
      <c r="D1025" s="372">
        <v>4</v>
      </c>
      <c r="E1025" s="209"/>
      <c r="F1025" s="331"/>
      <c r="G1025" s="333">
        <f t="shared" si="146"/>
        <v>0</v>
      </c>
    </row>
    <row r="1026" spans="1:7" x14ac:dyDescent="0.2">
      <c r="A1026" s="383" t="s">
        <v>175</v>
      </c>
      <c r="B1026" s="384" t="s">
        <v>213</v>
      </c>
      <c r="C1026" s="390"/>
      <c r="D1026" s="391"/>
      <c r="E1026" s="209"/>
      <c r="F1026" s="331"/>
      <c r="G1026" s="333">
        <f t="shared" si="146"/>
        <v>0</v>
      </c>
    </row>
    <row r="1027" spans="1:7" ht="13.5" x14ac:dyDescent="0.2">
      <c r="A1027" s="40" t="s">
        <v>163</v>
      </c>
      <c r="B1027" s="254" t="s">
        <v>476</v>
      </c>
      <c r="C1027" s="292" t="s">
        <v>216</v>
      </c>
      <c r="D1027" s="57">
        <f>D1006+D1007+D1010+D1009+D1008</f>
        <v>72</v>
      </c>
      <c r="E1027" s="44"/>
      <c r="F1027" s="331"/>
      <c r="G1027" s="333">
        <f t="shared" si="146"/>
        <v>0</v>
      </c>
    </row>
    <row r="1028" spans="1:7" ht="13.5" x14ac:dyDescent="0.2">
      <c r="A1028" s="40" t="s">
        <v>164</v>
      </c>
      <c r="B1028" s="254" t="s">
        <v>477</v>
      </c>
      <c r="C1028" s="292" t="s">
        <v>216</v>
      </c>
      <c r="D1028" s="57">
        <f>D1012+D1013+D1014</f>
        <v>42</v>
      </c>
      <c r="E1028" s="44"/>
      <c r="F1028" s="331"/>
      <c r="G1028" s="333">
        <f t="shared" si="146"/>
        <v>0</v>
      </c>
    </row>
    <row r="1029" spans="1:7" ht="13.5" x14ac:dyDescent="0.2">
      <c r="A1029" s="40" t="s">
        <v>175</v>
      </c>
      <c r="B1029" s="254" t="s">
        <v>478</v>
      </c>
      <c r="C1029" s="292" t="s">
        <v>113</v>
      </c>
      <c r="D1029" s="57">
        <f>D1004</f>
        <v>2</v>
      </c>
      <c r="E1029" s="44"/>
      <c r="F1029" s="331"/>
      <c r="G1029" s="333">
        <f t="shared" si="146"/>
        <v>0</v>
      </c>
    </row>
    <row r="1030" spans="1:7" x14ac:dyDescent="0.2">
      <c r="A1030" s="40" t="s">
        <v>176</v>
      </c>
      <c r="B1030" s="254" t="s">
        <v>214</v>
      </c>
      <c r="C1030" s="292" t="s">
        <v>113</v>
      </c>
      <c r="D1030" s="57">
        <f>D1022</f>
        <v>4</v>
      </c>
      <c r="E1030" s="44"/>
      <c r="F1030" s="331"/>
      <c r="G1030" s="333">
        <f t="shared" si="146"/>
        <v>0</v>
      </c>
    </row>
    <row r="1031" spans="1:7" x14ac:dyDescent="0.2">
      <c r="A1031" s="40" t="s">
        <v>177</v>
      </c>
      <c r="B1031" s="254" t="s">
        <v>215</v>
      </c>
      <c r="C1031" s="292" t="s">
        <v>113</v>
      </c>
      <c r="D1031" s="57">
        <f>D1020</f>
        <v>4</v>
      </c>
      <c r="E1031" s="44"/>
      <c r="F1031" s="331"/>
      <c r="G1031" s="333">
        <f t="shared" si="146"/>
        <v>0</v>
      </c>
    </row>
    <row r="1032" spans="1:7" x14ac:dyDescent="0.2">
      <c r="A1032" s="40" t="s">
        <v>178</v>
      </c>
      <c r="B1032" s="254" t="s">
        <v>272</v>
      </c>
      <c r="C1032" s="292" t="s">
        <v>113</v>
      </c>
      <c r="D1032" s="57">
        <f>D1021</f>
        <v>4</v>
      </c>
      <c r="E1032" s="44"/>
      <c r="F1032" s="331"/>
      <c r="G1032" s="333">
        <f t="shared" si="146"/>
        <v>0</v>
      </c>
    </row>
    <row r="1033" spans="1:7" x14ac:dyDescent="0.2">
      <c r="A1033" s="40" t="s">
        <v>179</v>
      </c>
      <c r="B1033" s="254" t="s">
        <v>369</v>
      </c>
      <c r="C1033" s="292" t="s">
        <v>113</v>
      </c>
      <c r="D1033" s="57">
        <f>D1022</f>
        <v>4</v>
      </c>
      <c r="E1033" s="44"/>
      <c r="F1033" s="331"/>
      <c r="G1033" s="333">
        <f t="shared" si="146"/>
        <v>0</v>
      </c>
    </row>
    <row r="1034" spans="1:7" x14ac:dyDescent="0.2">
      <c r="A1034" s="40" t="s">
        <v>180</v>
      </c>
      <c r="B1034" s="254" t="s">
        <v>370</v>
      </c>
      <c r="C1034" s="292" t="s">
        <v>113</v>
      </c>
      <c r="D1034" s="57">
        <f>D1023</f>
        <v>6</v>
      </c>
      <c r="E1034" s="44"/>
      <c r="F1034" s="331"/>
      <c r="G1034" s="333">
        <f t="shared" si="146"/>
        <v>0</v>
      </c>
    </row>
    <row r="1035" spans="1:7" x14ac:dyDescent="0.2">
      <c r="A1035" s="40"/>
      <c r="B1035" s="254"/>
      <c r="C1035" s="292"/>
      <c r="D1035" s="57"/>
      <c r="E1035" s="44"/>
      <c r="F1035" s="331"/>
      <c r="G1035" s="333"/>
    </row>
    <row r="1036" spans="1:7" x14ac:dyDescent="0.2">
      <c r="A1036" s="324" t="s">
        <v>57</v>
      </c>
      <c r="B1036" s="325" t="s">
        <v>70</v>
      </c>
      <c r="C1036" s="326"/>
      <c r="D1036" s="327"/>
      <c r="E1036" s="328"/>
      <c r="F1036" s="329"/>
      <c r="G1036" s="330"/>
    </row>
    <row r="1037" spans="1:7" x14ac:dyDescent="0.2">
      <c r="A1037" s="383" t="s">
        <v>163</v>
      </c>
      <c r="B1037" s="384" t="s">
        <v>211</v>
      </c>
      <c r="C1037" s="371"/>
      <c r="D1037" s="372"/>
      <c r="E1037" s="209"/>
      <c r="F1037" s="181"/>
      <c r="G1037" s="218">
        <f>D1037*E1037</f>
        <v>0</v>
      </c>
    </row>
    <row r="1038" spans="1:7" ht="36.75" customHeight="1" x14ac:dyDescent="0.2">
      <c r="A1038" s="385" t="s">
        <v>184</v>
      </c>
      <c r="B1038" s="392" t="s">
        <v>509</v>
      </c>
      <c r="C1038" s="387" t="s">
        <v>8</v>
      </c>
      <c r="D1038" s="388">
        <v>2</v>
      </c>
      <c r="E1038" s="209"/>
      <c r="F1038" s="331"/>
      <c r="G1038" s="332">
        <f t="shared" ref="G1038:G1069" si="148">+D1038*E1038+D1038*F1038</f>
        <v>0</v>
      </c>
    </row>
    <row r="1039" spans="1:7" x14ac:dyDescent="0.2">
      <c r="A1039" s="383" t="s">
        <v>164</v>
      </c>
      <c r="B1039" s="384" t="s">
        <v>212</v>
      </c>
      <c r="C1039" s="390"/>
      <c r="D1039" s="391"/>
      <c r="E1039" s="209"/>
      <c r="F1039" s="331"/>
      <c r="G1039" s="333">
        <f t="shared" si="148"/>
        <v>0</v>
      </c>
    </row>
    <row r="1040" spans="1:7" x14ac:dyDescent="0.2">
      <c r="A1040" s="385"/>
      <c r="B1040" s="389" t="s">
        <v>354</v>
      </c>
      <c r="C1040" s="371" t="s">
        <v>8</v>
      </c>
      <c r="D1040" s="372">
        <v>32</v>
      </c>
      <c r="E1040" s="209"/>
      <c r="F1040" s="331"/>
      <c r="G1040" s="333">
        <f t="shared" si="148"/>
        <v>0</v>
      </c>
    </row>
    <row r="1041" spans="1:7" x14ac:dyDescent="0.2">
      <c r="A1041" s="385"/>
      <c r="B1041" s="389" t="s">
        <v>371</v>
      </c>
      <c r="C1041" s="371" t="s">
        <v>8</v>
      </c>
      <c r="D1041" s="372">
        <v>2</v>
      </c>
      <c r="E1041" s="209"/>
      <c r="F1041" s="331"/>
      <c r="G1041" s="333">
        <f t="shared" si="148"/>
        <v>0</v>
      </c>
    </row>
    <row r="1042" spans="1:7" x14ac:dyDescent="0.2">
      <c r="A1042" s="385"/>
      <c r="B1042" s="389" t="s">
        <v>355</v>
      </c>
      <c r="C1042" s="371" t="s">
        <v>8</v>
      </c>
      <c r="D1042" s="372">
        <v>10</v>
      </c>
      <c r="E1042" s="209"/>
      <c r="F1042" s="331"/>
      <c r="G1042" s="333">
        <f t="shared" si="148"/>
        <v>0</v>
      </c>
    </row>
    <row r="1043" spans="1:7" x14ac:dyDescent="0.2">
      <c r="A1043" s="385"/>
      <c r="B1043" s="389" t="s">
        <v>270</v>
      </c>
      <c r="C1043" s="371" t="s">
        <v>8</v>
      </c>
      <c r="D1043" s="372">
        <v>11</v>
      </c>
      <c r="E1043" s="209"/>
      <c r="F1043" s="331"/>
      <c r="G1043" s="333">
        <f t="shared" si="148"/>
        <v>0</v>
      </c>
    </row>
    <row r="1044" spans="1:7" x14ac:dyDescent="0.2">
      <c r="A1044" s="385"/>
      <c r="B1044" s="389" t="s">
        <v>256</v>
      </c>
      <c r="C1044" s="371" t="s">
        <v>8</v>
      </c>
      <c r="D1044" s="372">
        <v>17</v>
      </c>
      <c r="E1044" s="209"/>
      <c r="F1044" s="331"/>
      <c r="G1044" s="333">
        <f t="shared" si="148"/>
        <v>0</v>
      </c>
    </row>
    <row r="1045" spans="1:7" x14ac:dyDescent="0.2">
      <c r="A1045" s="385"/>
      <c r="B1045" s="389" t="s">
        <v>426</v>
      </c>
      <c r="C1045" s="371" t="s">
        <v>8</v>
      </c>
      <c r="D1045" s="372">
        <v>3</v>
      </c>
      <c r="E1045" s="209"/>
      <c r="F1045" s="331"/>
      <c r="G1045" s="333">
        <f t="shared" si="148"/>
        <v>0</v>
      </c>
    </row>
    <row r="1046" spans="1:7" x14ac:dyDescent="0.2">
      <c r="A1046" s="385"/>
      <c r="B1046" s="389" t="s">
        <v>356</v>
      </c>
      <c r="C1046" s="387" t="s">
        <v>8</v>
      </c>
      <c r="D1046" s="388">
        <v>6</v>
      </c>
      <c r="E1046" s="209"/>
      <c r="F1046" s="331"/>
      <c r="G1046" s="333">
        <f t="shared" si="148"/>
        <v>0</v>
      </c>
    </row>
    <row r="1047" spans="1:7" x14ac:dyDescent="0.2">
      <c r="A1047" s="385"/>
      <c r="B1047" s="389" t="s">
        <v>357</v>
      </c>
      <c r="C1047" s="387" t="s">
        <v>8</v>
      </c>
      <c r="D1047" s="388">
        <v>24</v>
      </c>
      <c r="E1047" s="209"/>
      <c r="F1047" s="331"/>
      <c r="G1047" s="333">
        <f t="shared" si="148"/>
        <v>0</v>
      </c>
    </row>
    <row r="1048" spans="1:7" x14ac:dyDescent="0.2">
      <c r="A1048" s="385"/>
      <c r="B1048" s="389" t="s">
        <v>358</v>
      </c>
      <c r="C1048" s="387" t="s">
        <v>8</v>
      </c>
      <c r="D1048" s="388">
        <v>12</v>
      </c>
      <c r="E1048" s="209"/>
      <c r="F1048" s="331"/>
      <c r="G1048" s="333">
        <f t="shared" si="148"/>
        <v>0</v>
      </c>
    </row>
    <row r="1049" spans="1:7" x14ac:dyDescent="0.2">
      <c r="A1049" s="385"/>
      <c r="B1049" s="389" t="s">
        <v>427</v>
      </c>
      <c r="C1049" s="371" t="s">
        <v>8</v>
      </c>
      <c r="D1049" s="372">
        <v>5</v>
      </c>
      <c r="E1049" s="209"/>
      <c r="F1049" s="331"/>
      <c r="G1049" s="333">
        <f t="shared" si="148"/>
        <v>0</v>
      </c>
    </row>
    <row r="1050" spans="1:7" x14ac:dyDescent="0.2">
      <c r="A1050" s="385"/>
      <c r="B1050" s="389" t="s">
        <v>359</v>
      </c>
      <c r="C1050" s="371" t="s">
        <v>8</v>
      </c>
      <c r="D1050" s="372">
        <v>3</v>
      </c>
      <c r="E1050" s="209"/>
      <c r="F1050" s="331"/>
      <c r="G1050" s="333">
        <f t="shared" si="148"/>
        <v>0</v>
      </c>
    </row>
    <row r="1051" spans="1:7" x14ac:dyDescent="0.2">
      <c r="A1051" s="385"/>
      <c r="B1051" s="389" t="s">
        <v>360</v>
      </c>
      <c r="C1051" s="371" t="s">
        <v>8</v>
      </c>
      <c r="D1051" s="372">
        <v>0</v>
      </c>
      <c r="E1051" s="209"/>
      <c r="F1051" s="331"/>
      <c r="G1051" s="333">
        <f t="shared" si="148"/>
        <v>0</v>
      </c>
    </row>
    <row r="1052" spans="1:7" x14ac:dyDescent="0.2">
      <c r="A1052" s="385"/>
      <c r="B1052" s="389" t="s">
        <v>361</v>
      </c>
      <c r="C1052" s="371" t="s">
        <v>8</v>
      </c>
      <c r="D1052" s="372">
        <v>11</v>
      </c>
      <c r="E1052" s="209"/>
      <c r="F1052" s="331"/>
      <c r="G1052" s="333">
        <f t="shared" si="148"/>
        <v>0</v>
      </c>
    </row>
    <row r="1053" spans="1:7" x14ac:dyDescent="0.2">
      <c r="A1053" s="385"/>
      <c r="B1053" s="389" t="s">
        <v>362</v>
      </c>
      <c r="C1053" s="371" t="s">
        <v>8</v>
      </c>
      <c r="D1053" s="372">
        <f>D1044</f>
        <v>17</v>
      </c>
      <c r="E1053" s="209"/>
      <c r="F1053" s="331"/>
      <c r="G1053" s="333">
        <f t="shared" si="148"/>
        <v>0</v>
      </c>
    </row>
    <row r="1054" spans="1:7" x14ac:dyDescent="0.2">
      <c r="A1054" s="385"/>
      <c r="B1054" s="389" t="s">
        <v>363</v>
      </c>
      <c r="C1054" s="371" t="s">
        <v>8</v>
      </c>
      <c r="D1054" s="372">
        <v>4</v>
      </c>
      <c r="E1054" s="209"/>
      <c r="F1054" s="331"/>
      <c r="G1054" s="333">
        <f t="shared" si="148"/>
        <v>0</v>
      </c>
    </row>
    <row r="1055" spans="1:7" ht="12.75" thickBot="1" x14ac:dyDescent="0.25">
      <c r="A1055" s="393"/>
      <c r="B1055" s="394" t="s">
        <v>364</v>
      </c>
      <c r="C1055" s="381" t="s">
        <v>8</v>
      </c>
      <c r="D1055" s="382">
        <v>4</v>
      </c>
      <c r="E1055" s="337"/>
      <c r="F1055" s="335"/>
      <c r="G1055" s="336">
        <f t="shared" si="148"/>
        <v>0</v>
      </c>
    </row>
    <row r="1056" spans="1:7" x14ac:dyDescent="0.2">
      <c r="A1056" s="385"/>
      <c r="B1056" s="389"/>
      <c r="C1056" s="371"/>
      <c r="D1056" s="372"/>
      <c r="E1056" s="209"/>
      <c r="F1056" s="331"/>
      <c r="G1056" s="333"/>
    </row>
    <row r="1057" spans="1:7" x14ac:dyDescent="0.2">
      <c r="A1057" s="385"/>
      <c r="B1057" s="389" t="s">
        <v>365</v>
      </c>
      <c r="C1057" s="371" t="s">
        <v>8</v>
      </c>
      <c r="D1057" s="372">
        <v>4</v>
      </c>
      <c r="E1057" s="209"/>
      <c r="F1057" s="331"/>
      <c r="G1057" s="333">
        <f t="shared" si="148"/>
        <v>0</v>
      </c>
    </row>
    <row r="1058" spans="1:7" x14ac:dyDescent="0.2">
      <c r="A1058" s="385"/>
      <c r="B1058" s="389" t="s">
        <v>366</v>
      </c>
      <c r="C1058" s="371" t="s">
        <v>8</v>
      </c>
      <c r="D1058" s="372">
        <v>6</v>
      </c>
      <c r="E1058" s="209"/>
      <c r="F1058" s="331"/>
      <c r="G1058" s="333">
        <f t="shared" si="148"/>
        <v>0</v>
      </c>
    </row>
    <row r="1059" spans="1:7" x14ac:dyDescent="0.2">
      <c r="A1059" s="385"/>
      <c r="B1059" s="389" t="s">
        <v>367</v>
      </c>
      <c r="C1059" s="371" t="s">
        <v>8</v>
      </c>
      <c r="D1059" s="372">
        <v>8</v>
      </c>
      <c r="E1059" s="209"/>
      <c r="F1059" s="331"/>
      <c r="G1059" s="333">
        <f t="shared" si="148"/>
        <v>0</v>
      </c>
    </row>
    <row r="1060" spans="1:7" x14ac:dyDescent="0.2">
      <c r="A1060" s="385"/>
      <c r="B1060" s="389" t="s">
        <v>368</v>
      </c>
      <c r="C1060" s="371" t="s">
        <v>8</v>
      </c>
      <c r="D1060" s="372">
        <v>4</v>
      </c>
      <c r="E1060" s="209"/>
      <c r="F1060" s="331"/>
      <c r="G1060" s="333">
        <f t="shared" si="148"/>
        <v>0</v>
      </c>
    </row>
    <row r="1061" spans="1:7" x14ac:dyDescent="0.2">
      <c r="A1061" s="383" t="s">
        <v>175</v>
      </c>
      <c r="B1061" s="384" t="s">
        <v>213</v>
      </c>
      <c r="C1061" s="390"/>
      <c r="D1061" s="391"/>
      <c r="E1061" s="209"/>
      <c r="F1061" s="331"/>
      <c r="G1061" s="333">
        <f t="shared" si="148"/>
        <v>0</v>
      </c>
    </row>
    <row r="1062" spans="1:7" ht="13.5" x14ac:dyDescent="0.2">
      <c r="A1062" s="40" t="s">
        <v>163</v>
      </c>
      <c r="B1062" s="254" t="s">
        <v>476</v>
      </c>
      <c r="C1062" s="292" t="s">
        <v>216</v>
      </c>
      <c r="D1062" s="57">
        <f>D1040+D1041+D1044+D1043+D1042</f>
        <v>72</v>
      </c>
      <c r="E1062" s="44"/>
      <c r="F1062" s="331"/>
      <c r="G1062" s="333">
        <f t="shared" si="148"/>
        <v>0</v>
      </c>
    </row>
    <row r="1063" spans="1:7" ht="13.5" x14ac:dyDescent="0.2">
      <c r="A1063" s="40" t="s">
        <v>164</v>
      </c>
      <c r="B1063" s="254" t="s">
        <v>477</v>
      </c>
      <c r="C1063" s="292" t="s">
        <v>216</v>
      </c>
      <c r="D1063" s="57">
        <f>D1046+D1047+D1048</f>
        <v>42</v>
      </c>
      <c r="E1063" s="44"/>
      <c r="F1063" s="331"/>
      <c r="G1063" s="333">
        <f t="shared" si="148"/>
        <v>0</v>
      </c>
    </row>
    <row r="1064" spans="1:7" ht="13.5" x14ac:dyDescent="0.2">
      <c r="A1064" s="40" t="s">
        <v>175</v>
      </c>
      <c r="B1064" s="254" t="s">
        <v>478</v>
      </c>
      <c r="C1064" s="292" t="s">
        <v>113</v>
      </c>
      <c r="D1064" s="57">
        <f>D1038</f>
        <v>2</v>
      </c>
      <c r="E1064" s="44"/>
      <c r="F1064" s="331"/>
      <c r="G1064" s="333">
        <f t="shared" si="148"/>
        <v>0</v>
      </c>
    </row>
    <row r="1065" spans="1:7" x14ac:dyDescent="0.2">
      <c r="A1065" s="40" t="s">
        <v>176</v>
      </c>
      <c r="B1065" s="254" t="s">
        <v>214</v>
      </c>
      <c r="C1065" s="292" t="s">
        <v>113</v>
      </c>
      <c r="D1065" s="57">
        <f>D1057</f>
        <v>4</v>
      </c>
      <c r="E1065" s="44"/>
      <c r="F1065" s="331"/>
      <c r="G1065" s="333">
        <f t="shared" si="148"/>
        <v>0</v>
      </c>
    </row>
    <row r="1066" spans="1:7" x14ac:dyDescent="0.2">
      <c r="A1066" s="40" t="s">
        <v>177</v>
      </c>
      <c r="B1066" s="254" t="s">
        <v>215</v>
      </c>
      <c r="C1066" s="292" t="s">
        <v>113</v>
      </c>
      <c r="D1066" s="57">
        <f>D1054</f>
        <v>4</v>
      </c>
      <c r="E1066" s="44"/>
      <c r="F1066" s="331"/>
      <c r="G1066" s="333">
        <f t="shared" si="148"/>
        <v>0</v>
      </c>
    </row>
    <row r="1067" spans="1:7" x14ac:dyDescent="0.2">
      <c r="A1067" s="40" t="s">
        <v>178</v>
      </c>
      <c r="B1067" s="254" t="s">
        <v>272</v>
      </c>
      <c r="C1067" s="292" t="s">
        <v>113</v>
      </c>
      <c r="D1067" s="57">
        <f>D1055</f>
        <v>4</v>
      </c>
      <c r="E1067" s="44"/>
      <c r="F1067" s="331"/>
      <c r="G1067" s="333">
        <f t="shared" si="148"/>
        <v>0</v>
      </c>
    </row>
    <row r="1068" spans="1:7" x14ac:dyDescent="0.2">
      <c r="A1068" s="40" t="s">
        <v>179</v>
      </c>
      <c r="B1068" s="254" t="s">
        <v>369</v>
      </c>
      <c r="C1068" s="292" t="s">
        <v>113</v>
      </c>
      <c r="D1068" s="57">
        <f>D1057</f>
        <v>4</v>
      </c>
      <c r="E1068" s="44"/>
      <c r="F1068" s="331"/>
      <c r="G1068" s="333">
        <f t="shared" si="148"/>
        <v>0</v>
      </c>
    </row>
    <row r="1069" spans="1:7" x14ac:dyDescent="0.2">
      <c r="A1069" s="40" t="s">
        <v>180</v>
      </c>
      <c r="B1069" s="254" t="s">
        <v>370</v>
      </c>
      <c r="C1069" s="292" t="s">
        <v>113</v>
      </c>
      <c r="D1069" s="57">
        <f>D1058</f>
        <v>6</v>
      </c>
      <c r="E1069" s="44"/>
      <c r="F1069" s="331"/>
      <c r="G1069" s="333">
        <f t="shared" si="148"/>
        <v>0</v>
      </c>
    </row>
    <row r="1070" spans="1:7" ht="12" customHeight="1" x14ac:dyDescent="0.2">
      <c r="A1070" s="385"/>
      <c r="B1070" s="389"/>
      <c r="C1070" s="387"/>
      <c r="D1070" s="388"/>
      <c r="E1070" s="209"/>
      <c r="F1070" s="331"/>
      <c r="G1070" s="333"/>
    </row>
    <row r="1071" spans="1:7" ht="12" customHeight="1" x14ac:dyDescent="0.2">
      <c r="A1071" s="385"/>
      <c r="B1071" s="389"/>
      <c r="C1071" s="387"/>
      <c r="D1071" s="388"/>
      <c r="E1071" s="209"/>
      <c r="F1071" s="331"/>
      <c r="G1071" s="333"/>
    </row>
    <row r="1072" spans="1:7" ht="12" customHeight="1" x14ac:dyDescent="0.2">
      <c r="A1072" s="385"/>
      <c r="B1072" s="389"/>
      <c r="C1072" s="387"/>
      <c r="D1072" s="388"/>
      <c r="E1072" s="209"/>
      <c r="F1072" s="331"/>
      <c r="G1072" s="333"/>
    </row>
    <row r="1073" spans="1:7" ht="12" customHeight="1" x14ac:dyDescent="0.2">
      <c r="A1073" s="385"/>
      <c r="B1073" s="389"/>
      <c r="C1073" s="387"/>
      <c r="D1073" s="388"/>
      <c r="E1073" s="209"/>
      <c r="F1073" s="331"/>
      <c r="G1073" s="333"/>
    </row>
    <row r="1074" spans="1:7" ht="12" customHeight="1" x14ac:dyDescent="0.2">
      <c r="A1074" s="385"/>
      <c r="B1074" s="389"/>
      <c r="C1074" s="387"/>
      <c r="D1074" s="388"/>
      <c r="E1074" s="209"/>
      <c r="F1074" s="331"/>
      <c r="G1074" s="333"/>
    </row>
    <row r="1075" spans="1:7" ht="12" customHeight="1" x14ac:dyDescent="0.2">
      <c r="A1075" s="385"/>
      <c r="B1075" s="389"/>
      <c r="C1075" s="387"/>
      <c r="D1075" s="388"/>
      <c r="E1075" s="209"/>
      <c r="F1075" s="331"/>
      <c r="G1075" s="333"/>
    </row>
    <row r="1076" spans="1:7" ht="12" customHeight="1" x14ac:dyDescent="0.2">
      <c r="A1076" s="385"/>
      <c r="B1076" s="389"/>
      <c r="C1076" s="387"/>
      <c r="D1076" s="388"/>
      <c r="E1076" s="209"/>
      <c r="F1076" s="331"/>
      <c r="G1076" s="333"/>
    </row>
    <row r="1077" spans="1:7" ht="12" customHeight="1" x14ac:dyDescent="0.2">
      <c r="A1077" s="385"/>
      <c r="B1077" s="389"/>
      <c r="C1077" s="387"/>
      <c r="D1077" s="388"/>
      <c r="E1077" s="209"/>
      <c r="F1077" s="331"/>
      <c r="G1077" s="333"/>
    </row>
    <row r="1078" spans="1:7" ht="12" customHeight="1" x14ac:dyDescent="0.2">
      <c r="A1078" s="385"/>
      <c r="B1078" s="389"/>
      <c r="C1078" s="387"/>
      <c r="D1078" s="388"/>
      <c r="E1078" s="209"/>
      <c r="F1078" s="331"/>
      <c r="G1078" s="333"/>
    </row>
    <row r="1079" spans="1:7" ht="12" customHeight="1" x14ac:dyDescent="0.2">
      <c r="A1079" s="385"/>
      <c r="B1079" s="389"/>
      <c r="C1079" s="387"/>
      <c r="D1079" s="388"/>
      <c r="E1079" s="209"/>
      <c r="F1079" s="331"/>
      <c r="G1079" s="333"/>
    </row>
    <row r="1080" spans="1:7" ht="12" customHeight="1" x14ac:dyDescent="0.2">
      <c r="A1080" s="385"/>
      <c r="B1080" s="389"/>
      <c r="C1080" s="387"/>
      <c r="D1080" s="388"/>
      <c r="E1080" s="209"/>
      <c r="F1080" s="331"/>
      <c r="G1080" s="333"/>
    </row>
    <row r="1081" spans="1:7" ht="12" customHeight="1" x14ac:dyDescent="0.2">
      <c r="A1081" s="385"/>
      <c r="B1081" s="389"/>
      <c r="C1081" s="387"/>
      <c r="D1081" s="388"/>
      <c r="E1081" s="209"/>
      <c r="F1081" s="331"/>
      <c r="G1081" s="333"/>
    </row>
    <row r="1082" spans="1:7" ht="12" customHeight="1" x14ac:dyDescent="0.2">
      <c r="A1082" s="385"/>
      <c r="B1082" s="389"/>
      <c r="C1082" s="387"/>
      <c r="D1082" s="388"/>
      <c r="E1082" s="209"/>
      <c r="F1082" s="331"/>
      <c r="G1082" s="333"/>
    </row>
    <row r="1083" spans="1:7" ht="12" customHeight="1" x14ac:dyDescent="0.2">
      <c r="A1083" s="385"/>
      <c r="B1083" s="389"/>
      <c r="C1083" s="387"/>
      <c r="D1083" s="388"/>
      <c r="E1083" s="209"/>
      <c r="F1083" s="331"/>
      <c r="G1083" s="333"/>
    </row>
    <row r="1084" spans="1:7" ht="12" customHeight="1" x14ac:dyDescent="0.2">
      <c r="A1084" s="385"/>
      <c r="B1084" s="389"/>
      <c r="C1084" s="387"/>
      <c r="D1084" s="388"/>
      <c r="E1084" s="209"/>
      <c r="F1084" s="331"/>
      <c r="G1084" s="333"/>
    </row>
    <row r="1085" spans="1:7" ht="12" customHeight="1" x14ac:dyDescent="0.2">
      <c r="A1085" s="385"/>
      <c r="B1085" s="389"/>
      <c r="C1085" s="387"/>
      <c r="D1085" s="388"/>
      <c r="E1085" s="209"/>
      <c r="F1085" s="331"/>
      <c r="G1085" s="333"/>
    </row>
    <row r="1086" spans="1:7" ht="12" customHeight="1" x14ac:dyDescent="0.2">
      <c r="A1086" s="385"/>
      <c r="B1086" s="389"/>
      <c r="C1086" s="387"/>
      <c r="D1086" s="388"/>
      <c r="E1086" s="209"/>
      <c r="F1086" s="331"/>
      <c r="G1086" s="333"/>
    </row>
    <row r="1087" spans="1:7" ht="12" customHeight="1" x14ac:dyDescent="0.2">
      <c r="A1087" s="385"/>
      <c r="B1087" s="389"/>
      <c r="C1087" s="387"/>
      <c r="D1087" s="388"/>
      <c r="E1087" s="209"/>
      <c r="F1087" s="331"/>
      <c r="G1087" s="333"/>
    </row>
    <row r="1088" spans="1:7" ht="12" customHeight="1" x14ac:dyDescent="0.2">
      <c r="A1088" s="385"/>
      <c r="B1088" s="389"/>
      <c r="C1088" s="387"/>
      <c r="D1088" s="388"/>
      <c r="E1088" s="209"/>
      <c r="F1088" s="331"/>
      <c r="G1088" s="333"/>
    </row>
    <row r="1089" spans="1:7" ht="12" customHeight="1" x14ac:dyDescent="0.2">
      <c r="A1089" s="385"/>
      <c r="B1089" s="389"/>
      <c r="C1089" s="387"/>
      <c r="D1089" s="388"/>
      <c r="E1089" s="209"/>
      <c r="F1089" s="331"/>
      <c r="G1089" s="333"/>
    </row>
    <row r="1090" spans="1:7" ht="12" customHeight="1" x14ac:dyDescent="0.2">
      <c r="A1090" s="385"/>
      <c r="B1090" s="389"/>
      <c r="C1090" s="387"/>
      <c r="D1090" s="388"/>
      <c r="E1090" s="209"/>
      <c r="F1090" s="331"/>
      <c r="G1090" s="333"/>
    </row>
    <row r="1091" spans="1:7" ht="12" customHeight="1" x14ac:dyDescent="0.2">
      <c r="A1091" s="385"/>
      <c r="B1091" s="389"/>
      <c r="C1091" s="387"/>
      <c r="D1091" s="388"/>
      <c r="E1091" s="209"/>
      <c r="F1091" s="331"/>
      <c r="G1091" s="333"/>
    </row>
    <row r="1092" spans="1:7" ht="12" customHeight="1" x14ac:dyDescent="0.2">
      <c r="A1092" s="385"/>
      <c r="B1092" s="389"/>
      <c r="C1092" s="387"/>
      <c r="D1092" s="388"/>
      <c r="E1092" s="209"/>
      <c r="F1092" s="331"/>
      <c r="G1092" s="333"/>
    </row>
    <row r="1093" spans="1:7" ht="12" customHeight="1" x14ac:dyDescent="0.2">
      <c r="A1093" s="385"/>
      <c r="B1093" s="389"/>
      <c r="C1093" s="387"/>
      <c r="D1093" s="388"/>
      <c r="E1093" s="209"/>
      <c r="F1093" s="331"/>
      <c r="G1093" s="333"/>
    </row>
    <row r="1094" spans="1:7" ht="12" customHeight="1" x14ac:dyDescent="0.2">
      <c r="A1094" s="385"/>
      <c r="B1094" s="389"/>
      <c r="C1094" s="387"/>
      <c r="D1094" s="388"/>
      <c r="E1094" s="209"/>
      <c r="F1094" s="331"/>
      <c r="G1094" s="333"/>
    </row>
    <row r="1095" spans="1:7" ht="12" customHeight="1" x14ac:dyDescent="0.2">
      <c r="A1095" s="385"/>
      <c r="B1095" s="389"/>
      <c r="C1095" s="387"/>
      <c r="D1095" s="388"/>
      <c r="E1095" s="209"/>
      <c r="F1095" s="331"/>
      <c r="G1095" s="333"/>
    </row>
    <row r="1096" spans="1:7" ht="12" customHeight="1" x14ac:dyDescent="0.2">
      <c r="A1096" s="385"/>
      <c r="B1096" s="389"/>
      <c r="C1096" s="387"/>
      <c r="D1096" s="388"/>
      <c r="E1096" s="209"/>
      <c r="F1096" s="331"/>
      <c r="G1096" s="333"/>
    </row>
    <row r="1097" spans="1:7" ht="12" customHeight="1" x14ac:dyDescent="0.2">
      <c r="A1097" s="385"/>
      <c r="B1097" s="389"/>
      <c r="C1097" s="387"/>
      <c r="D1097" s="388"/>
      <c r="E1097" s="209"/>
      <c r="F1097" s="331"/>
      <c r="G1097" s="333"/>
    </row>
    <row r="1098" spans="1:7" ht="12" customHeight="1" x14ac:dyDescent="0.2">
      <c r="A1098" s="385"/>
      <c r="B1098" s="389"/>
      <c r="C1098" s="387"/>
      <c r="D1098" s="388"/>
      <c r="E1098" s="209"/>
      <c r="F1098" s="331"/>
      <c r="G1098" s="333"/>
    </row>
    <row r="1099" spans="1:7" ht="12" customHeight="1" x14ac:dyDescent="0.2">
      <c r="A1099" s="385"/>
      <c r="B1099" s="389"/>
      <c r="C1099" s="387"/>
      <c r="D1099" s="388"/>
      <c r="E1099" s="209"/>
      <c r="F1099" s="331"/>
      <c r="G1099" s="333"/>
    </row>
    <row r="1100" spans="1:7" ht="12" customHeight="1" x14ac:dyDescent="0.2">
      <c r="A1100" s="385"/>
      <c r="B1100" s="389"/>
      <c r="C1100" s="387"/>
      <c r="D1100" s="388"/>
      <c r="E1100" s="209"/>
      <c r="F1100" s="331"/>
      <c r="G1100" s="333"/>
    </row>
    <row r="1101" spans="1:7" ht="12" customHeight="1" x14ac:dyDescent="0.2">
      <c r="A1101" s="385"/>
      <c r="B1101" s="389"/>
      <c r="C1101" s="387"/>
      <c r="D1101" s="388"/>
      <c r="E1101" s="209"/>
      <c r="F1101" s="331"/>
      <c r="G1101" s="333"/>
    </row>
    <row r="1102" spans="1:7" ht="12" customHeight="1" x14ac:dyDescent="0.2">
      <c r="A1102" s="385"/>
      <c r="B1102" s="389"/>
      <c r="C1102" s="387"/>
      <c r="D1102" s="388"/>
      <c r="E1102" s="209"/>
      <c r="F1102" s="331"/>
      <c r="G1102" s="333"/>
    </row>
    <row r="1103" spans="1:7" ht="12" customHeight="1" x14ac:dyDescent="0.2">
      <c r="A1103" s="385"/>
      <c r="B1103" s="389"/>
      <c r="C1103" s="387"/>
      <c r="D1103" s="388"/>
      <c r="E1103" s="209"/>
      <c r="F1103" s="331"/>
      <c r="G1103" s="333"/>
    </row>
    <row r="1104" spans="1:7" ht="12" customHeight="1" x14ac:dyDescent="0.2">
      <c r="A1104" s="385"/>
      <c r="B1104" s="389"/>
      <c r="C1104" s="387"/>
      <c r="D1104" s="388"/>
      <c r="E1104" s="209"/>
      <c r="F1104" s="331"/>
      <c r="G1104" s="333"/>
    </row>
    <row r="1105" spans="1:9" ht="12" customHeight="1" x14ac:dyDescent="0.2">
      <c r="A1105" s="385"/>
      <c r="B1105" s="389"/>
      <c r="C1105" s="387"/>
      <c r="D1105" s="388"/>
      <c r="E1105" s="209"/>
      <c r="F1105" s="331"/>
      <c r="G1105" s="333"/>
    </row>
    <row r="1106" spans="1:9" ht="12" customHeight="1" x14ac:dyDescent="0.2">
      <c r="A1106" s="385"/>
      <c r="B1106" s="389"/>
      <c r="C1106" s="387"/>
      <c r="D1106" s="388"/>
      <c r="E1106" s="209"/>
      <c r="F1106" s="331"/>
      <c r="G1106" s="333"/>
    </row>
    <row r="1107" spans="1:9" ht="12" customHeight="1" x14ac:dyDescent="0.2">
      <c r="A1107" s="385"/>
      <c r="B1107" s="389"/>
      <c r="C1107" s="387"/>
      <c r="D1107" s="388"/>
      <c r="E1107" s="209"/>
      <c r="F1107" s="331"/>
      <c r="G1107" s="333"/>
    </row>
    <row r="1108" spans="1:9" ht="12" customHeight="1" x14ac:dyDescent="0.2">
      <c r="A1108" s="385"/>
      <c r="B1108" s="389"/>
      <c r="C1108" s="387"/>
      <c r="D1108" s="388"/>
      <c r="E1108" s="209"/>
      <c r="F1108" s="331"/>
      <c r="G1108" s="333"/>
    </row>
    <row r="1109" spans="1:9" ht="12" customHeight="1" x14ac:dyDescent="0.2">
      <c r="A1109" s="385"/>
      <c r="B1109" s="389"/>
      <c r="C1109" s="387"/>
      <c r="D1109" s="388"/>
      <c r="E1109" s="209"/>
      <c r="F1109" s="331"/>
      <c r="G1109" s="333"/>
    </row>
    <row r="1110" spans="1:9" ht="12" customHeight="1" x14ac:dyDescent="0.2">
      <c r="A1110" s="385"/>
      <c r="B1110" s="389"/>
      <c r="C1110" s="387"/>
      <c r="D1110" s="388"/>
      <c r="E1110" s="209"/>
      <c r="F1110" s="331"/>
      <c r="G1110" s="333"/>
    </row>
    <row r="1111" spans="1:9" ht="12" customHeight="1" x14ac:dyDescent="0.2">
      <c r="A1111" s="385"/>
      <c r="B1111" s="389"/>
      <c r="C1111" s="387"/>
      <c r="D1111" s="388"/>
      <c r="E1111" s="209"/>
      <c r="F1111" s="331"/>
      <c r="G1111" s="333"/>
    </row>
    <row r="1112" spans="1:9" ht="12" customHeight="1" thickBot="1" x14ac:dyDescent="0.25">
      <c r="A1112" s="385"/>
      <c r="B1112" s="389"/>
      <c r="C1112" s="387"/>
      <c r="D1112" s="388"/>
      <c r="E1112" s="209"/>
      <c r="F1112" s="331"/>
      <c r="G1112" s="333"/>
    </row>
    <row r="1113" spans="1:9" ht="12" customHeight="1" x14ac:dyDescent="0.2">
      <c r="A1113" s="68"/>
      <c r="B1113" s="69" t="s">
        <v>182</v>
      </c>
      <c r="C1113" s="338"/>
      <c r="D1113" s="339"/>
      <c r="E1113" s="340"/>
      <c r="F1113" s="191"/>
      <c r="G1113" s="192"/>
    </row>
    <row r="1114" spans="1:9" ht="12" customHeight="1" thickBot="1" x14ac:dyDescent="0.25">
      <c r="A1114" s="73"/>
      <c r="B1114" s="74" t="s">
        <v>133</v>
      </c>
      <c r="C1114" s="153"/>
      <c r="D1114" s="154"/>
      <c r="E1114" s="183"/>
      <c r="F1114" s="155"/>
      <c r="G1114" s="193">
        <f>SUM(G965:G1113)</f>
        <v>0</v>
      </c>
      <c r="I1114" s="169"/>
    </row>
    <row r="1115" spans="1:9" ht="12" customHeight="1" x14ac:dyDescent="0.2">
      <c r="A1115" s="40"/>
      <c r="B1115" s="80"/>
      <c r="C1115" s="143"/>
      <c r="D1115" s="91"/>
      <c r="E1115" s="92"/>
      <c r="F1115" s="59"/>
      <c r="G1115" s="150"/>
      <c r="I1115" s="169"/>
    </row>
    <row r="1116" spans="1:9" x14ac:dyDescent="0.2">
      <c r="A1116" s="341"/>
      <c r="B1116" s="41" t="s">
        <v>379</v>
      </c>
      <c r="C1116" s="56"/>
      <c r="D1116" s="189"/>
      <c r="E1116" s="44"/>
      <c r="F1116" s="59"/>
      <c r="G1116" s="60"/>
    </row>
    <row r="1117" spans="1:9" x14ac:dyDescent="0.2">
      <c r="A1117" s="341"/>
      <c r="B1117" s="49" t="s">
        <v>378</v>
      </c>
      <c r="C1117" s="56"/>
      <c r="D1117" s="189"/>
      <c r="E1117" s="44"/>
      <c r="F1117" s="59"/>
      <c r="G1117" s="60"/>
    </row>
    <row r="1118" spans="1:9" x14ac:dyDescent="0.2">
      <c r="A1118" s="342">
        <v>12.1</v>
      </c>
      <c r="B1118" s="276" t="s">
        <v>380</v>
      </c>
      <c r="C1118" s="343"/>
      <c r="D1118" s="344"/>
      <c r="E1118" s="122"/>
      <c r="F1118" s="237"/>
      <c r="G1118" s="238"/>
    </row>
    <row r="1119" spans="1:9" ht="43.5" customHeight="1" x14ac:dyDescent="0.2">
      <c r="A1119" s="341"/>
      <c r="B1119" s="428" t="s">
        <v>381</v>
      </c>
      <c r="C1119" s="429"/>
      <c r="D1119" s="429"/>
      <c r="E1119" s="429"/>
      <c r="F1119" s="430"/>
      <c r="G1119" s="60"/>
    </row>
    <row r="1120" spans="1:9" ht="27" customHeight="1" x14ac:dyDescent="0.2">
      <c r="A1120" s="341"/>
      <c r="B1120" s="431" t="s">
        <v>382</v>
      </c>
      <c r="C1120" s="432"/>
      <c r="D1120" s="432"/>
      <c r="E1120" s="432"/>
      <c r="F1120" s="433"/>
      <c r="G1120" s="60"/>
    </row>
    <row r="1121" spans="1:7" ht="14.25" customHeight="1" x14ac:dyDescent="0.2">
      <c r="A1121" s="341"/>
      <c r="B1121" s="431" t="s">
        <v>383</v>
      </c>
      <c r="C1121" s="432"/>
      <c r="D1121" s="432"/>
      <c r="E1121" s="432"/>
      <c r="F1121" s="433"/>
      <c r="G1121" s="60"/>
    </row>
    <row r="1122" spans="1:7" ht="28.5" customHeight="1" x14ac:dyDescent="0.2">
      <c r="A1122" s="341"/>
      <c r="B1122" s="419" t="s">
        <v>384</v>
      </c>
      <c r="C1122" s="420"/>
      <c r="D1122" s="420"/>
      <c r="E1122" s="420"/>
      <c r="F1122" s="421"/>
      <c r="G1122" s="60"/>
    </row>
    <row r="1123" spans="1:7" x14ac:dyDescent="0.2">
      <c r="A1123" s="345">
        <v>12.2</v>
      </c>
      <c r="B1123" s="346" t="s">
        <v>385</v>
      </c>
      <c r="C1123" s="347"/>
      <c r="D1123" s="348"/>
      <c r="E1123" s="301"/>
      <c r="F1123" s="149"/>
      <c r="G1123" s="150"/>
    </row>
    <row r="1124" spans="1:7" ht="24" x14ac:dyDescent="0.2">
      <c r="A1124" s="341"/>
      <c r="B1124" s="254" t="s">
        <v>386</v>
      </c>
      <c r="C1124" s="292"/>
      <c r="D1124" s="189"/>
      <c r="E1124" s="44"/>
      <c r="F1124" s="59"/>
      <c r="G1124" s="60"/>
    </row>
    <row r="1125" spans="1:7" x14ac:dyDescent="0.2">
      <c r="A1125" s="349">
        <v>1</v>
      </c>
      <c r="B1125" s="350" t="s">
        <v>66</v>
      </c>
      <c r="C1125" s="351"/>
      <c r="D1125" s="352"/>
      <c r="E1125" s="353"/>
      <c r="F1125" s="354"/>
      <c r="G1125" s="355"/>
    </row>
    <row r="1126" spans="1:7" x14ac:dyDescent="0.2">
      <c r="A1126" s="356" t="s">
        <v>184</v>
      </c>
      <c r="B1126" s="357" t="s">
        <v>385</v>
      </c>
      <c r="C1126" s="347"/>
      <c r="D1126" s="348"/>
      <c r="E1126" s="301"/>
      <c r="F1126" s="204"/>
      <c r="G1126" s="333">
        <f t="shared" ref="G1126:G1134" si="149">+D1126*E1126+D1126*F1126</f>
        <v>0</v>
      </c>
    </row>
    <row r="1127" spans="1:7" x14ac:dyDescent="0.2">
      <c r="A1127" s="341" t="s">
        <v>163</v>
      </c>
      <c r="B1127" s="254" t="s">
        <v>387</v>
      </c>
      <c r="C1127" s="292" t="s">
        <v>113</v>
      </c>
      <c r="D1127" s="189">
        <v>1</v>
      </c>
      <c r="E1127" s="44"/>
      <c r="F1127" s="59"/>
      <c r="G1127" s="333">
        <f t="shared" si="149"/>
        <v>0</v>
      </c>
    </row>
    <row r="1128" spans="1:7" x14ac:dyDescent="0.2">
      <c r="A1128" s="341" t="s">
        <v>164</v>
      </c>
      <c r="B1128" s="254" t="s">
        <v>388</v>
      </c>
      <c r="C1128" s="292" t="s">
        <v>113</v>
      </c>
      <c r="D1128" s="189">
        <v>1</v>
      </c>
      <c r="E1128" s="44"/>
      <c r="F1128" s="59"/>
      <c r="G1128" s="333">
        <f t="shared" si="149"/>
        <v>0</v>
      </c>
    </row>
    <row r="1129" spans="1:7" x14ac:dyDescent="0.2">
      <c r="A1129" s="341" t="s">
        <v>175</v>
      </c>
      <c r="B1129" s="254" t="s">
        <v>389</v>
      </c>
      <c r="C1129" s="292" t="s">
        <v>113</v>
      </c>
      <c r="D1129" s="189">
        <v>9</v>
      </c>
      <c r="E1129" s="44"/>
      <c r="F1129" s="59"/>
      <c r="G1129" s="333">
        <f t="shared" si="149"/>
        <v>0</v>
      </c>
    </row>
    <row r="1130" spans="1:7" ht="24" x14ac:dyDescent="0.2">
      <c r="A1130" s="341" t="s">
        <v>176</v>
      </c>
      <c r="B1130" s="254" t="s">
        <v>390</v>
      </c>
      <c r="C1130" s="292" t="s">
        <v>113</v>
      </c>
      <c r="D1130" s="189">
        <v>1</v>
      </c>
      <c r="E1130" s="44"/>
      <c r="F1130" s="59"/>
      <c r="G1130" s="333">
        <f t="shared" si="149"/>
        <v>0</v>
      </c>
    </row>
    <row r="1131" spans="1:7" x14ac:dyDescent="0.2">
      <c r="A1131" s="341" t="s">
        <v>177</v>
      </c>
      <c r="B1131" s="254" t="s">
        <v>391</v>
      </c>
      <c r="C1131" s="292" t="s">
        <v>113</v>
      </c>
      <c r="D1131" s="189">
        <v>1</v>
      </c>
      <c r="E1131" s="44"/>
      <c r="F1131" s="59"/>
      <c r="G1131" s="333">
        <f t="shared" si="149"/>
        <v>0</v>
      </c>
    </row>
    <row r="1132" spans="1:7" x14ac:dyDescent="0.2">
      <c r="A1132" s="341" t="s">
        <v>178</v>
      </c>
      <c r="B1132" s="254" t="s">
        <v>392</v>
      </c>
      <c r="C1132" s="292" t="s">
        <v>113</v>
      </c>
      <c r="D1132" s="189">
        <v>10</v>
      </c>
      <c r="E1132" s="44"/>
      <c r="F1132" s="59"/>
      <c r="G1132" s="333">
        <f t="shared" si="149"/>
        <v>0</v>
      </c>
    </row>
    <row r="1133" spans="1:7" x14ac:dyDescent="0.2">
      <c r="A1133" s="341" t="s">
        <v>179</v>
      </c>
      <c r="B1133" s="254" t="s">
        <v>393</v>
      </c>
      <c r="C1133" s="292" t="s">
        <v>113</v>
      </c>
      <c r="D1133" s="189">
        <v>1</v>
      </c>
      <c r="E1133" s="44"/>
      <c r="F1133" s="59"/>
      <c r="G1133" s="333">
        <f t="shared" si="149"/>
        <v>0</v>
      </c>
    </row>
    <row r="1134" spans="1:7" x14ac:dyDescent="0.2">
      <c r="A1134" s="341" t="s">
        <v>180</v>
      </c>
      <c r="B1134" s="254" t="s">
        <v>394</v>
      </c>
      <c r="C1134" s="292" t="s">
        <v>113</v>
      </c>
      <c r="D1134" s="189">
        <v>1</v>
      </c>
      <c r="E1134" s="44"/>
      <c r="F1134" s="59"/>
      <c r="G1134" s="333">
        <f t="shared" si="149"/>
        <v>0</v>
      </c>
    </row>
    <row r="1135" spans="1:7" x14ac:dyDescent="0.2">
      <c r="A1135" s="358"/>
      <c r="B1135" s="359"/>
      <c r="C1135" s="360"/>
      <c r="D1135" s="348"/>
      <c r="E1135" s="361"/>
      <c r="F1135" s="362"/>
      <c r="G1135" s="333"/>
    </row>
    <row r="1136" spans="1:7" x14ac:dyDescent="0.2">
      <c r="A1136" s="349">
        <v>2</v>
      </c>
      <c r="B1136" s="350" t="s">
        <v>68</v>
      </c>
      <c r="C1136" s="351"/>
      <c r="D1136" s="352"/>
      <c r="E1136" s="353"/>
      <c r="F1136" s="354"/>
      <c r="G1136" s="355"/>
    </row>
    <row r="1137" spans="1:7" x14ac:dyDescent="0.2">
      <c r="A1137" s="356" t="s">
        <v>184</v>
      </c>
      <c r="B1137" s="357" t="s">
        <v>385</v>
      </c>
      <c r="C1137" s="347"/>
      <c r="D1137" s="348"/>
      <c r="E1137" s="301"/>
      <c r="F1137" s="204"/>
      <c r="G1137" s="333">
        <f t="shared" ref="G1137:G1144" si="150">+D1137*E1137+D1137*F1137</f>
        <v>0</v>
      </c>
    </row>
    <row r="1138" spans="1:7" x14ac:dyDescent="0.2">
      <c r="A1138" s="341" t="s">
        <v>163</v>
      </c>
      <c r="B1138" s="254" t="s">
        <v>388</v>
      </c>
      <c r="C1138" s="292" t="s">
        <v>113</v>
      </c>
      <c r="D1138" s="189">
        <v>1</v>
      </c>
      <c r="E1138" s="44"/>
      <c r="F1138" s="59"/>
      <c r="G1138" s="333">
        <f t="shared" si="150"/>
        <v>0</v>
      </c>
    </row>
    <row r="1139" spans="1:7" x14ac:dyDescent="0.2">
      <c r="A1139" s="341" t="s">
        <v>164</v>
      </c>
      <c r="B1139" s="254" t="s">
        <v>389</v>
      </c>
      <c r="C1139" s="292" t="s">
        <v>113</v>
      </c>
      <c r="D1139" s="189">
        <v>8</v>
      </c>
      <c r="E1139" s="44"/>
      <c r="F1139" s="59"/>
      <c r="G1139" s="333">
        <f t="shared" si="150"/>
        <v>0</v>
      </c>
    </row>
    <row r="1140" spans="1:7" ht="24" x14ac:dyDescent="0.2">
      <c r="A1140" s="341" t="s">
        <v>175</v>
      </c>
      <c r="B1140" s="254" t="s">
        <v>390</v>
      </c>
      <c r="C1140" s="292" t="s">
        <v>113</v>
      </c>
      <c r="D1140" s="189">
        <v>1</v>
      </c>
      <c r="E1140" s="44"/>
      <c r="F1140" s="59"/>
      <c r="G1140" s="333">
        <f t="shared" si="150"/>
        <v>0</v>
      </c>
    </row>
    <row r="1141" spans="1:7" x14ac:dyDescent="0.2">
      <c r="A1141" s="341" t="s">
        <v>176</v>
      </c>
      <c r="B1141" s="254" t="s">
        <v>391</v>
      </c>
      <c r="C1141" s="292" t="s">
        <v>113</v>
      </c>
      <c r="D1141" s="189">
        <v>1</v>
      </c>
      <c r="E1141" s="44"/>
      <c r="F1141" s="59"/>
      <c r="G1141" s="333">
        <f t="shared" si="150"/>
        <v>0</v>
      </c>
    </row>
    <row r="1142" spans="1:7" x14ac:dyDescent="0.2">
      <c r="A1142" s="341" t="s">
        <v>177</v>
      </c>
      <c r="B1142" s="254" t="s">
        <v>392</v>
      </c>
      <c r="C1142" s="292" t="s">
        <v>113</v>
      </c>
      <c r="D1142" s="189">
        <v>10</v>
      </c>
      <c r="E1142" s="44"/>
      <c r="F1142" s="59"/>
      <c r="G1142" s="333">
        <f t="shared" si="150"/>
        <v>0</v>
      </c>
    </row>
    <row r="1143" spans="1:7" x14ac:dyDescent="0.2">
      <c r="A1143" s="341" t="s">
        <v>178</v>
      </c>
      <c r="B1143" s="254" t="s">
        <v>393</v>
      </c>
      <c r="C1143" s="292" t="s">
        <v>113</v>
      </c>
      <c r="D1143" s="189">
        <v>1</v>
      </c>
      <c r="E1143" s="44"/>
      <c r="F1143" s="59"/>
      <c r="G1143" s="333">
        <f t="shared" si="150"/>
        <v>0</v>
      </c>
    </row>
    <row r="1144" spans="1:7" x14ac:dyDescent="0.2">
      <c r="A1144" s="341" t="s">
        <v>179</v>
      </c>
      <c r="B1144" s="254" t="s">
        <v>394</v>
      </c>
      <c r="C1144" s="292" t="s">
        <v>113</v>
      </c>
      <c r="D1144" s="189">
        <v>1</v>
      </c>
      <c r="E1144" s="44"/>
      <c r="F1144" s="59"/>
      <c r="G1144" s="333">
        <f t="shared" si="150"/>
        <v>0</v>
      </c>
    </row>
    <row r="1145" spans="1:7" x14ac:dyDescent="0.2">
      <c r="A1145" s="358"/>
      <c r="B1145" s="359"/>
      <c r="C1145" s="360"/>
      <c r="D1145" s="348"/>
      <c r="E1145" s="361"/>
      <c r="F1145" s="362"/>
      <c r="G1145" s="333"/>
    </row>
    <row r="1146" spans="1:7" x14ac:dyDescent="0.2">
      <c r="A1146" s="349">
        <v>3</v>
      </c>
      <c r="B1146" s="350" t="s">
        <v>70</v>
      </c>
      <c r="C1146" s="351"/>
      <c r="D1146" s="352"/>
      <c r="E1146" s="353"/>
      <c r="F1146" s="354"/>
      <c r="G1146" s="355"/>
    </row>
    <row r="1147" spans="1:7" x14ac:dyDescent="0.2">
      <c r="A1147" s="356" t="s">
        <v>184</v>
      </c>
      <c r="B1147" s="357" t="s">
        <v>385</v>
      </c>
      <c r="C1147" s="347"/>
      <c r="D1147" s="348"/>
      <c r="E1147" s="301"/>
      <c r="F1147" s="204"/>
      <c r="G1147" s="333">
        <f t="shared" ref="G1147:G1154" si="151">+D1147*E1147+D1147*F1147</f>
        <v>0</v>
      </c>
    </row>
    <row r="1148" spans="1:7" x14ac:dyDescent="0.2">
      <c r="A1148" s="341" t="s">
        <v>163</v>
      </c>
      <c r="B1148" s="254" t="s">
        <v>388</v>
      </c>
      <c r="C1148" s="292" t="s">
        <v>113</v>
      </c>
      <c r="D1148" s="189">
        <v>1</v>
      </c>
      <c r="E1148" s="44"/>
      <c r="F1148" s="59"/>
      <c r="G1148" s="333">
        <f t="shared" si="151"/>
        <v>0</v>
      </c>
    </row>
    <row r="1149" spans="1:7" x14ac:dyDescent="0.2">
      <c r="A1149" s="341" t="s">
        <v>164</v>
      </c>
      <c r="B1149" s="254" t="s">
        <v>389</v>
      </c>
      <c r="C1149" s="292" t="s">
        <v>113</v>
      </c>
      <c r="D1149" s="189">
        <v>8</v>
      </c>
      <c r="E1149" s="44"/>
      <c r="F1149" s="59"/>
      <c r="G1149" s="333">
        <f t="shared" si="151"/>
        <v>0</v>
      </c>
    </row>
    <row r="1150" spans="1:7" ht="24" x14ac:dyDescent="0.2">
      <c r="A1150" s="341" t="s">
        <v>175</v>
      </c>
      <c r="B1150" s="254" t="s">
        <v>390</v>
      </c>
      <c r="C1150" s="292" t="s">
        <v>113</v>
      </c>
      <c r="D1150" s="189">
        <v>1</v>
      </c>
      <c r="E1150" s="44"/>
      <c r="F1150" s="59"/>
      <c r="G1150" s="333">
        <f t="shared" si="151"/>
        <v>0</v>
      </c>
    </row>
    <row r="1151" spans="1:7" x14ac:dyDescent="0.2">
      <c r="A1151" s="341" t="s">
        <v>176</v>
      </c>
      <c r="B1151" s="254" t="s">
        <v>391</v>
      </c>
      <c r="C1151" s="292" t="s">
        <v>113</v>
      </c>
      <c r="D1151" s="189">
        <v>1</v>
      </c>
      <c r="E1151" s="44"/>
      <c r="F1151" s="59"/>
      <c r="G1151" s="333">
        <f t="shared" si="151"/>
        <v>0</v>
      </c>
    </row>
    <row r="1152" spans="1:7" x14ac:dyDescent="0.2">
      <c r="A1152" s="341" t="s">
        <v>177</v>
      </c>
      <c r="B1152" s="254" t="s">
        <v>392</v>
      </c>
      <c r="C1152" s="292" t="s">
        <v>113</v>
      </c>
      <c r="D1152" s="189">
        <v>10</v>
      </c>
      <c r="E1152" s="44"/>
      <c r="F1152" s="59"/>
      <c r="G1152" s="333">
        <f t="shared" si="151"/>
        <v>0</v>
      </c>
    </row>
    <row r="1153" spans="1:7" x14ac:dyDescent="0.2">
      <c r="A1153" s="341" t="s">
        <v>178</v>
      </c>
      <c r="B1153" s="254" t="s">
        <v>393</v>
      </c>
      <c r="C1153" s="292" t="s">
        <v>113</v>
      </c>
      <c r="D1153" s="189">
        <v>1</v>
      </c>
      <c r="E1153" s="44"/>
      <c r="F1153" s="59"/>
      <c r="G1153" s="333">
        <f t="shared" si="151"/>
        <v>0</v>
      </c>
    </row>
    <row r="1154" spans="1:7" x14ac:dyDescent="0.2">
      <c r="A1154" s="341" t="s">
        <v>179</v>
      </c>
      <c r="B1154" s="254" t="s">
        <v>394</v>
      </c>
      <c r="C1154" s="292" t="s">
        <v>113</v>
      </c>
      <c r="D1154" s="189">
        <v>1</v>
      </c>
      <c r="E1154" s="44"/>
      <c r="F1154" s="59"/>
      <c r="G1154" s="333">
        <f t="shared" si="151"/>
        <v>0</v>
      </c>
    </row>
    <row r="1155" spans="1:7" x14ac:dyDescent="0.2">
      <c r="A1155" s="341"/>
      <c r="B1155" s="254"/>
      <c r="C1155" s="292"/>
      <c r="D1155" s="189"/>
      <c r="E1155" s="44"/>
      <c r="F1155" s="59"/>
      <c r="G1155" s="333"/>
    </row>
    <row r="1156" spans="1:7" x14ac:dyDescent="0.2">
      <c r="A1156" s="358"/>
      <c r="B1156" s="359"/>
      <c r="C1156" s="360"/>
      <c r="D1156" s="348"/>
      <c r="E1156" s="361"/>
      <c r="F1156" s="362"/>
      <c r="G1156" s="333"/>
    </row>
    <row r="1157" spans="1:7" x14ac:dyDescent="0.2">
      <c r="A1157" s="358"/>
      <c r="B1157" s="359"/>
      <c r="C1157" s="360"/>
      <c r="D1157" s="348"/>
      <c r="E1157" s="361"/>
      <c r="F1157" s="362"/>
      <c r="G1157" s="333"/>
    </row>
    <row r="1158" spans="1:7" x14ac:dyDescent="0.2">
      <c r="A1158" s="358"/>
      <c r="B1158" s="359"/>
      <c r="C1158" s="360"/>
      <c r="D1158" s="348"/>
      <c r="E1158" s="361"/>
      <c r="F1158" s="362"/>
      <c r="G1158" s="333"/>
    </row>
    <row r="1159" spans="1:7" x14ac:dyDescent="0.2">
      <c r="A1159" s="358"/>
      <c r="B1159" s="359"/>
      <c r="C1159" s="360"/>
      <c r="D1159" s="348"/>
      <c r="E1159" s="361"/>
      <c r="F1159" s="362"/>
      <c r="G1159" s="333"/>
    </row>
    <row r="1160" spans="1:7" x14ac:dyDescent="0.2">
      <c r="A1160" s="358"/>
      <c r="B1160" s="359"/>
      <c r="C1160" s="360"/>
      <c r="D1160" s="348"/>
      <c r="E1160" s="361"/>
      <c r="F1160" s="362"/>
      <c r="G1160" s="333"/>
    </row>
    <row r="1161" spans="1:7" x14ac:dyDescent="0.2">
      <c r="A1161" s="358"/>
      <c r="B1161" s="359"/>
      <c r="C1161" s="360"/>
      <c r="D1161" s="348"/>
      <c r="E1161" s="361"/>
      <c r="F1161" s="362"/>
      <c r="G1161" s="333"/>
    </row>
    <row r="1162" spans="1:7" ht="12.75" thickBot="1" x14ac:dyDescent="0.25">
      <c r="A1162" s="358"/>
      <c r="B1162" s="359"/>
      <c r="C1162" s="360"/>
      <c r="D1162" s="348"/>
      <c r="E1162" s="361"/>
      <c r="F1162" s="362"/>
      <c r="G1162" s="333"/>
    </row>
    <row r="1163" spans="1:7" x14ac:dyDescent="0.2">
      <c r="A1163" s="363"/>
      <c r="B1163" s="69" t="s">
        <v>395</v>
      </c>
      <c r="C1163" s="338"/>
      <c r="D1163" s="191"/>
      <c r="E1163" s="340"/>
      <c r="F1163" s="191"/>
      <c r="G1163" s="192"/>
    </row>
    <row r="1164" spans="1:7" ht="12.75" thickBot="1" x14ac:dyDescent="0.25">
      <c r="A1164" s="364"/>
      <c r="B1164" s="74" t="s">
        <v>396</v>
      </c>
      <c r="C1164" s="153"/>
      <c r="D1164" s="155"/>
      <c r="E1164" s="183"/>
      <c r="F1164" s="155"/>
      <c r="G1164" s="193">
        <f>SUM(G1119:G1163)</f>
        <v>0</v>
      </c>
    </row>
    <row r="1165" spans="1:7" x14ac:dyDescent="0.2">
      <c r="A1165" s="341"/>
      <c r="B1165" s="80"/>
      <c r="C1165" s="143"/>
      <c r="D1165" s="59"/>
      <c r="E1165" s="92"/>
      <c r="F1165" s="59"/>
      <c r="G1165" s="150"/>
    </row>
    <row r="1166" spans="1:7" x14ac:dyDescent="0.2">
      <c r="A1166" s="341"/>
      <c r="B1166" s="41" t="s">
        <v>414</v>
      </c>
      <c r="C1166" s="143"/>
      <c r="D1166" s="59"/>
      <c r="E1166" s="92"/>
      <c r="F1166" s="59"/>
      <c r="G1166" s="150"/>
    </row>
    <row r="1167" spans="1:7" x14ac:dyDescent="0.2">
      <c r="A1167" s="341"/>
      <c r="B1167" s="49" t="s">
        <v>517</v>
      </c>
      <c r="C1167" s="143"/>
      <c r="D1167" s="59"/>
      <c r="E1167" s="92"/>
      <c r="F1167" s="59"/>
      <c r="G1167" s="150"/>
    </row>
    <row r="1168" spans="1:7" x14ac:dyDescent="0.2">
      <c r="A1168" s="341"/>
      <c r="B1168" s="80"/>
      <c r="C1168" s="143"/>
      <c r="D1168" s="59"/>
      <c r="E1168" s="92"/>
      <c r="F1168" s="59"/>
      <c r="G1168" s="150"/>
    </row>
    <row r="1169" spans="1:12" x14ac:dyDescent="0.2">
      <c r="A1169" s="341">
        <v>13.1</v>
      </c>
      <c r="B1169" s="409" t="s">
        <v>81</v>
      </c>
      <c r="C1169" s="143"/>
      <c r="D1169" s="59"/>
      <c r="E1169" s="92"/>
      <c r="F1169" s="59"/>
      <c r="G1169" s="333">
        <f t="shared" ref="G1169:G1179" si="152">+D1169*E1169+D1169*F1169</f>
        <v>0</v>
      </c>
    </row>
    <row r="1170" spans="1:12" ht="13.5" x14ac:dyDescent="0.2">
      <c r="A1170" s="341" t="s">
        <v>163</v>
      </c>
      <c r="B1170" s="410" t="s">
        <v>518</v>
      </c>
      <c r="C1170" s="143" t="s">
        <v>455</v>
      </c>
      <c r="D1170" s="59">
        <v>14.7</v>
      </c>
      <c r="E1170" s="92"/>
      <c r="F1170" s="59"/>
      <c r="G1170" s="333">
        <f t="shared" si="152"/>
        <v>0</v>
      </c>
      <c r="I1170" s="28">
        <f>1.2*1.2*0.95*6</f>
        <v>8.2079999999999984</v>
      </c>
      <c r="J1170" s="28">
        <f>2.5*4+1.15*4+1.1*3</f>
        <v>17.899999999999999</v>
      </c>
      <c r="K1170" s="28">
        <f>J1170*0.55*0.65</f>
        <v>6.3992500000000003</v>
      </c>
      <c r="L1170" s="28">
        <f>I1170+K1170</f>
        <v>14.607249999999999</v>
      </c>
    </row>
    <row r="1171" spans="1:12" ht="13.5" x14ac:dyDescent="0.2">
      <c r="A1171" s="341" t="s">
        <v>519</v>
      </c>
      <c r="B1171" s="410" t="s">
        <v>520</v>
      </c>
      <c r="C1171" s="143" t="s">
        <v>459</v>
      </c>
      <c r="D1171" s="59">
        <v>28.5</v>
      </c>
      <c r="E1171" s="92"/>
      <c r="F1171" s="59"/>
      <c r="G1171" s="333">
        <f t="shared" si="152"/>
        <v>0</v>
      </c>
      <c r="I1171" s="28">
        <f>10*2.85</f>
        <v>28.5</v>
      </c>
    </row>
    <row r="1172" spans="1:12" x14ac:dyDescent="0.2">
      <c r="A1172" s="341"/>
      <c r="B1172" s="410"/>
      <c r="C1172" s="143"/>
      <c r="D1172" s="59"/>
      <c r="E1172" s="92"/>
      <c r="F1172" s="59"/>
      <c r="G1172" s="333">
        <f t="shared" si="152"/>
        <v>0</v>
      </c>
    </row>
    <row r="1173" spans="1:12" x14ac:dyDescent="0.2">
      <c r="A1173" s="341">
        <v>13.2</v>
      </c>
      <c r="B1173" s="409" t="s">
        <v>83</v>
      </c>
      <c r="C1173" s="143"/>
      <c r="D1173" s="59"/>
      <c r="E1173" s="92"/>
      <c r="F1173" s="59"/>
      <c r="G1173" s="333">
        <f t="shared" si="152"/>
        <v>0</v>
      </c>
    </row>
    <row r="1174" spans="1:12" ht="12" customHeight="1" x14ac:dyDescent="0.2">
      <c r="A1174" s="341" t="s">
        <v>522</v>
      </c>
      <c r="B1174" s="409" t="s">
        <v>63</v>
      </c>
      <c r="C1174" s="143"/>
      <c r="D1174" s="59"/>
      <c r="E1174" s="92"/>
      <c r="F1174" s="59"/>
      <c r="G1174" s="333"/>
    </row>
    <row r="1175" spans="1:12" ht="13.5" x14ac:dyDescent="0.2">
      <c r="A1175" s="341" t="s">
        <v>163</v>
      </c>
      <c r="B1175" s="410" t="s">
        <v>521</v>
      </c>
      <c r="C1175" s="143" t="s">
        <v>459</v>
      </c>
      <c r="D1175" s="59">
        <v>18.5</v>
      </c>
      <c r="E1175" s="92"/>
      <c r="F1175" s="59"/>
      <c r="G1175" s="333">
        <f t="shared" si="152"/>
        <v>0</v>
      </c>
      <c r="I1175" s="28">
        <f>1.2*1.2*6</f>
        <v>8.64</v>
      </c>
      <c r="J1175" s="28">
        <f>J1170*0.55</f>
        <v>9.8450000000000006</v>
      </c>
      <c r="K1175" s="28">
        <f>SUM(I1175:J1175)</f>
        <v>18.484999999999999</v>
      </c>
    </row>
    <row r="1176" spans="1:12" x14ac:dyDescent="0.2">
      <c r="A1176" s="341" t="s">
        <v>164</v>
      </c>
      <c r="B1176" s="411" t="s">
        <v>13</v>
      </c>
      <c r="C1176" s="143"/>
      <c r="D1176" s="59"/>
      <c r="E1176" s="92"/>
      <c r="F1176" s="59"/>
      <c r="G1176" s="333">
        <f t="shared" si="152"/>
        <v>0</v>
      </c>
    </row>
    <row r="1177" spans="1:12" ht="13.5" x14ac:dyDescent="0.2">
      <c r="A1177" s="341"/>
      <c r="B1177" s="410" t="s">
        <v>524</v>
      </c>
      <c r="C1177" s="143" t="s">
        <v>455</v>
      </c>
      <c r="D1177" s="59">
        <v>1.46</v>
      </c>
      <c r="E1177" s="92"/>
      <c r="F1177" s="59"/>
      <c r="G1177" s="333">
        <f t="shared" si="152"/>
        <v>0</v>
      </c>
      <c r="I1177" s="28">
        <f>0.9*0.9*0.3*6</f>
        <v>1.458</v>
      </c>
    </row>
    <row r="1178" spans="1:12" ht="13.5" x14ac:dyDescent="0.2">
      <c r="A1178" s="341"/>
      <c r="B1178" s="410" t="s">
        <v>523</v>
      </c>
      <c r="C1178" s="143" t="s">
        <v>455</v>
      </c>
      <c r="D1178" s="59">
        <v>2.8410000000000002</v>
      </c>
      <c r="E1178" s="92"/>
      <c r="F1178" s="59"/>
      <c r="G1178" s="333">
        <f t="shared" si="152"/>
        <v>0</v>
      </c>
      <c r="I1178" s="28">
        <f>10*2+1.75*3</f>
        <v>25.25</v>
      </c>
      <c r="J1178" s="28">
        <f>I1178*0.25*0.45</f>
        <v>2.8406250000000002</v>
      </c>
    </row>
    <row r="1179" spans="1:12" x14ac:dyDescent="0.2">
      <c r="A1179" s="341" t="s">
        <v>175</v>
      </c>
      <c r="B1179" s="411" t="s">
        <v>12</v>
      </c>
      <c r="C1179" s="143"/>
      <c r="D1179" s="59"/>
      <c r="E1179" s="92"/>
      <c r="F1179" s="59"/>
      <c r="G1179" s="333">
        <f t="shared" si="152"/>
        <v>0</v>
      </c>
    </row>
    <row r="1180" spans="1:12" ht="13.5" x14ac:dyDescent="0.2">
      <c r="A1180" s="341"/>
      <c r="B1180" s="410" t="s">
        <v>524</v>
      </c>
      <c r="C1180" s="143" t="s">
        <v>459</v>
      </c>
      <c r="D1180" s="59">
        <v>6.48</v>
      </c>
      <c r="E1180" s="92"/>
      <c r="F1180" s="59"/>
      <c r="G1180" s="333">
        <f t="shared" ref="G1180:G1182" si="153">+D1180*E1180+D1180*F1180</f>
        <v>0</v>
      </c>
      <c r="I1180" s="28">
        <f>0.9*4*0.3*6</f>
        <v>6.48</v>
      </c>
    </row>
    <row r="1181" spans="1:12" ht="13.5" x14ac:dyDescent="0.2">
      <c r="A1181" s="341"/>
      <c r="B1181" s="410" t="s">
        <v>523</v>
      </c>
      <c r="C1181" s="143" t="s">
        <v>459</v>
      </c>
      <c r="D1181" s="59">
        <v>22.73</v>
      </c>
      <c r="E1181" s="92"/>
      <c r="F1181" s="59"/>
      <c r="G1181" s="333">
        <f t="shared" si="153"/>
        <v>0</v>
      </c>
      <c r="I1181" s="28">
        <f>10*2+1.75*3</f>
        <v>25.25</v>
      </c>
      <c r="J1181" s="28">
        <f>I1181*2*0.45</f>
        <v>22.725000000000001</v>
      </c>
    </row>
    <row r="1182" spans="1:12" x14ac:dyDescent="0.2">
      <c r="A1182" s="341" t="s">
        <v>176</v>
      </c>
      <c r="B1182" s="411" t="s">
        <v>528</v>
      </c>
      <c r="C1182" s="143"/>
      <c r="D1182" s="59"/>
      <c r="E1182" s="92"/>
      <c r="F1182" s="59"/>
      <c r="G1182" s="333">
        <f t="shared" si="153"/>
        <v>0</v>
      </c>
    </row>
    <row r="1183" spans="1:12" x14ac:dyDescent="0.2">
      <c r="A1183" s="341"/>
      <c r="B1183" s="411" t="s">
        <v>529</v>
      </c>
      <c r="C1183" s="143" t="s">
        <v>135</v>
      </c>
      <c r="D1183" s="59">
        <f>I1187/1000</f>
        <v>0.33643200000000001</v>
      </c>
      <c r="E1183" s="92"/>
      <c r="F1183" s="59"/>
      <c r="G1183" s="333"/>
    </row>
    <row r="1184" spans="1:12" x14ac:dyDescent="0.2">
      <c r="A1184" s="341"/>
      <c r="B1184" s="142" t="s">
        <v>222</v>
      </c>
      <c r="C1184" s="143" t="s">
        <v>8</v>
      </c>
      <c r="D1184" s="91">
        <v>22</v>
      </c>
      <c r="E1184" s="92"/>
      <c r="F1184" s="59"/>
      <c r="G1184" s="60">
        <f t="shared" ref="G1184:G1187" si="154">(D1184*E1184)+(D1184*F1184)</f>
        <v>0</v>
      </c>
      <c r="I1184" s="139">
        <f>D1184*1.58*6</f>
        <v>208.56000000000003</v>
      </c>
    </row>
    <row r="1185" spans="1:11" x14ac:dyDescent="0.2">
      <c r="A1185" s="341"/>
      <c r="B1185" s="142" t="s">
        <v>223</v>
      </c>
      <c r="C1185" s="143" t="s">
        <v>8</v>
      </c>
      <c r="D1185" s="91">
        <v>15</v>
      </c>
      <c r="E1185" s="92"/>
      <c r="F1185" s="59"/>
      <c r="G1185" s="60">
        <f t="shared" si="154"/>
        <v>0</v>
      </c>
      <c r="I1185" s="139">
        <f>D1185*0.888*6</f>
        <v>79.92</v>
      </c>
      <c r="J1185" s="28">
        <f>15+16+40+14+22+4</f>
        <v>111</v>
      </c>
    </row>
    <row r="1186" spans="1:11" x14ac:dyDescent="0.2">
      <c r="A1186" s="341"/>
      <c r="B1186" s="142" t="s">
        <v>530</v>
      </c>
      <c r="C1186" s="143" t="s">
        <v>8</v>
      </c>
      <c r="D1186" s="91">
        <v>36</v>
      </c>
      <c r="E1186" s="92"/>
      <c r="F1186" s="59"/>
      <c r="G1186" s="60">
        <f t="shared" ref="G1186" si="155">(D1186*E1186)+(D1186*F1186)</f>
        <v>0</v>
      </c>
      <c r="I1186" s="139">
        <f>D1186*0.222*6</f>
        <v>47.951999999999998</v>
      </c>
    </row>
    <row r="1187" spans="1:11" x14ac:dyDescent="0.2">
      <c r="A1187" s="341"/>
      <c r="B1187" s="142" t="s">
        <v>14</v>
      </c>
      <c r="C1187" s="143" t="s">
        <v>9</v>
      </c>
      <c r="D1187" s="91">
        <f>D1183*20</f>
        <v>6.7286400000000004</v>
      </c>
      <c r="E1187" s="92"/>
      <c r="F1187" s="59"/>
      <c r="G1187" s="60">
        <f t="shared" si="154"/>
        <v>0</v>
      </c>
      <c r="I1187" s="139">
        <f>SUM(I1183:I1186)</f>
        <v>336.43200000000002</v>
      </c>
      <c r="J1187" s="139"/>
    </row>
    <row r="1188" spans="1:11" x14ac:dyDescent="0.2">
      <c r="A1188" s="341"/>
      <c r="B1188" s="410"/>
      <c r="C1188" s="143"/>
      <c r="D1188" s="59"/>
      <c r="E1188" s="92"/>
      <c r="F1188" s="59"/>
      <c r="G1188" s="333"/>
    </row>
    <row r="1189" spans="1:11" x14ac:dyDescent="0.2">
      <c r="A1189" s="341" t="s">
        <v>525</v>
      </c>
      <c r="B1189" s="409" t="s">
        <v>66</v>
      </c>
      <c r="C1189" s="143"/>
      <c r="D1189" s="59"/>
      <c r="E1189" s="92"/>
      <c r="F1189" s="59"/>
      <c r="G1189" s="333"/>
    </row>
    <row r="1190" spans="1:11" x14ac:dyDescent="0.2">
      <c r="A1190" s="341" t="s">
        <v>163</v>
      </c>
      <c r="B1190" s="411" t="s">
        <v>13</v>
      </c>
      <c r="C1190" s="143"/>
      <c r="D1190" s="59"/>
      <c r="E1190" s="92"/>
      <c r="F1190" s="59"/>
      <c r="G1190" s="333">
        <f t="shared" ref="G1190:G1196" si="156">+D1190*E1190+D1190*F1190</f>
        <v>0</v>
      </c>
    </row>
    <row r="1191" spans="1:11" ht="13.5" x14ac:dyDescent="0.2">
      <c r="A1191" s="341"/>
      <c r="B1191" s="410" t="s">
        <v>526</v>
      </c>
      <c r="C1191" s="143" t="s">
        <v>455</v>
      </c>
      <c r="D1191" s="59">
        <v>1.47</v>
      </c>
      <c r="E1191" s="92"/>
      <c r="F1191" s="59"/>
      <c r="G1191" s="333">
        <f t="shared" si="156"/>
        <v>0</v>
      </c>
      <c r="I1191" s="28">
        <f>0.25*0.25*3.915*6</f>
        <v>1.4681250000000001</v>
      </c>
    </row>
    <row r="1192" spans="1:11" ht="13.5" x14ac:dyDescent="0.2">
      <c r="A1192" s="341"/>
      <c r="B1192" s="410" t="s">
        <v>527</v>
      </c>
      <c r="C1192" s="143" t="s">
        <v>455</v>
      </c>
      <c r="D1192" s="59">
        <v>3.45</v>
      </c>
      <c r="E1192" s="92"/>
      <c r="F1192" s="59"/>
      <c r="G1192" s="333">
        <f t="shared" si="156"/>
        <v>0</v>
      </c>
      <c r="I1192" s="28">
        <f>10*2.85*0.1</f>
        <v>2.85</v>
      </c>
      <c r="J1192" s="28">
        <f>10*0.15*4*0.1</f>
        <v>0.60000000000000009</v>
      </c>
      <c r="K1192" s="28">
        <f>SUM(I1192:J1192)</f>
        <v>3.45</v>
      </c>
    </row>
    <row r="1193" spans="1:11" x14ac:dyDescent="0.2">
      <c r="A1193" s="341" t="s">
        <v>164</v>
      </c>
      <c r="B1193" s="411" t="s">
        <v>12</v>
      </c>
      <c r="C1193" s="143"/>
      <c r="D1193" s="59"/>
      <c r="E1193" s="92"/>
      <c r="F1193" s="59"/>
      <c r="G1193" s="333">
        <f t="shared" si="156"/>
        <v>0</v>
      </c>
    </row>
    <row r="1194" spans="1:11" ht="13.5" x14ac:dyDescent="0.2">
      <c r="A1194" s="341"/>
      <c r="B1194" s="410" t="s">
        <v>526</v>
      </c>
      <c r="C1194" s="143" t="s">
        <v>459</v>
      </c>
      <c r="D1194" s="59">
        <v>23.5</v>
      </c>
      <c r="E1194" s="92"/>
      <c r="F1194" s="59"/>
      <c r="G1194" s="333">
        <f t="shared" si="156"/>
        <v>0</v>
      </c>
      <c r="I1194" s="28">
        <f>0.25*4*3.915*6</f>
        <v>23.490000000000002</v>
      </c>
    </row>
    <row r="1195" spans="1:11" ht="13.5" x14ac:dyDescent="0.2">
      <c r="A1195" s="341"/>
      <c r="B1195" s="410" t="s">
        <v>531</v>
      </c>
      <c r="C1195" s="143" t="s">
        <v>459</v>
      </c>
      <c r="D1195" s="59">
        <v>8.6</v>
      </c>
      <c r="E1195" s="92"/>
      <c r="F1195" s="59"/>
      <c r="G1195" s="333">
        <f t="shared" si="156"/>
        <v>0</v>
      </c>
      <c r="I1195" s="28">
        <f>(10+2.85)*0.1*2</f>
        <v>2.5700000000000003</v>
      </c>
      <c r="J1195" s="28">
        <f>10*0.15*4</f>
        <v>6</v>
      </c>
      <c r="K1195" s="28">
        <f>SUM(I1195:J1195)</f>
        <v>8.57</v>
      </c>
    </row>
    <row r="1196" spans="1:11" x14ac:dyDescent="0.2">
      <c r="A1196" s="341" t="s">
        <v>175</v>
      </c>
      <c r="B1196" s="411" t="s">
        <v>528</v>
      </c>
      <c r="C1196" s="143"/>
      <c r="D1196" s="59"/>
      <c r="E1196" s="92"/>
      <c r="F1196" s="59"/>
      <c r="G1196" s="333">
        <f t="shared" si="156"/>
        <v>0</v>
      </c>
    </row>
    <row r="1197" spans="1:11" x14ac:dyDescent="0.2">
      <c r="A1197" s="341" t="s">
        <v>184</v>
      </c>
      <c r="B1197" s="411" t="s">
        <v>526</v>
      </c>
      <c r="C1197" s="143" t="s">
        <v>135</v>
      </c>
      <c r="D1197" s="59">
        <f>I1200/1000</f>
        <v>0.251496</v>
      </c>
      <c r="E1197" s="92"/>
      <c r="F1197" s="59"/>
      <c r="G1197" s="333"/>
    </row>
    <row r="1198" spans="1:11" x14ac:dyDescent="0.2">
      <c r="A1198" s="341"/>
      <c r="B1198" s="142" t="s">
        <v>222</v>
      </c>
      <c r="C1198" s="143" t="s">
        <v>8</v>
      </c>
      <c r="D1198" s="91">
        <v>24</v>
      </c>
      <c r="E1198" s="92"/>
      <c r="F1198" s="59"/>
      <c r="G1198" s="60">
        <f t="shared" ref="G1198:G1200" si="157">(D1198*E1198)+(D1198*F1198)</f>
        <v>0</v>
      </c>
      <c r="I1198" s="139">
        <f>D1198*1.58*6</f>
        <v>227.52</v>
      </c>
    </row>
    <row r="1199" spans="1:11" x14ac:dyDescent="0.2">
      <c r="A1199" s="341"/>
      <c r="B1199" s="142" t="s">
        <v>530</v>
      </c>
      <c r="C1199" s="143" t="s">
        <v>8</v>
      </c>
      <c r="D1199" s="91">
        <v>18</v>
      </c>
      <c r="E1199" s="92"/>
      <c r="F1199" s="59"/>
      <c r="G1199" s="60">
        <f t="shared" si="157"/>
        <v>0</v>
      </c>
      <c r="I1199" s="139">
        <f>D1199*0.222*6</f>
        <v>23.975999999999999</v>
      </c>
    </row>
    <row r="1200" spans="1:11" x14ac:dyDescent="0.2">
      <c r="A1200" s="341"/>
      <c r="B1200" s="142" t="s">
        <v>14</v>
      </c>
      <c r="C1200" s="143" t="s">
        <v>9</v>
      </c>
      <c r="D1200" s="91">
        <f>D1197*20</f>
        <v>5.0299199999999997</v>
      </c>
      <c r="E1200" s="92"/>
      <c r="F1200" s="59"/>
      <c r="G1200" s="60">
        <f t="shared" si="157"/>
        <v>0</v>
      </c>
      <c r="I1200" s="139">
        <f>SUM(I1197:I1199)</f>
        <v>251.49600000000001</v>
      </c>
      <c r="J1200" s="139"/>
    </row>
    <row r="1201" spans="1:13" x14ac:dyDescent="0.2">
      <c r="A1201" s="341"/>
      <c r="B1201" s="142"/>
      <c r="C1201" s="143"/>
      <c r="D1201" s="91"/>
      <c r="E1201" s="92"/>
      <c r="F1201" s="59"/>
      <c r="G1201" s="60"/>
      <c r="I1201" s="139"/>
      <c r="J1201" s="139"/>
    </row>
    <row r="1202" spans="1:13" x14ac:dyDescent="0.2">
      <c r="A1202" s="341" t="s">
        <v>185</v>
      </c>
      <c r="B1202" s="410" t="s">
        <v>531</v>
      </c>
      <c r="C1202" s="143" t="s">
        <v>135</v>
      </c>
      <c r="D1202" s="59">
        <f>I1203/1000</f>
        <v>0.15918599999999997</v>
      </c>
      <c r="E1202" s="92"/>
      <c r="F1202" s="59"/>
      <c r="G1202" s="150"/>
    </row>
    <row r="1203" spans="1:13" x14ac:dyDescent="0.2">
      <c r="A1203" s="341"/>
      <c r="B1203" s="410" t="s">
        <v>536</v>
      </c>
      <c r="C1203" s="143" t="s">
        <v>8</v>
      </c>
      <c r="D1203" s="59">
        <v>43</v>
      </c>
      <c r="E1203" s="92"/>
      <c r="F1203" s="59"/>
      <c r="G1203" s="60"/>
      <c r="I1203" s="139">
        <f>D1203*0.617*6</f>
        <v>159.18599999999998</v>
      </c>
      <c r="K1203" s="28">
        <f>10*2.85</f>
        <v>28.5</v>
      </c>
      <c r="L1203" s="28">
        <f>K1203*9</f>
        <v>256.5</v>
      </c>
      <c r="M1203" s="28">
        <f>L1203/6</f>
        <v>42.75</v>
      </c>
    </row>
    <row r="1204" spans="1:13" x14ac:dyDescent="0.2">
      <c r="A1204" s="341"/>
      <c r="B1204" s="142" t="s">
        <v>14</v>
      </c>
      <c r="C1204" s="143" t="s">
        <v>9</v>
      </c>
      <c r="D1204" s="91">
        <f>D1202*20</f>
        <v>3.1837199999999992</v>
      </c>
      <c r="E1204" s="92"/>
      <c r="F1204" s="59"/>
      <c r="G1204" s="60">
        <f t="shared" ref="G1204" si="158">(D1204*E1204)+(D1204*F1204)</f>
        <v>0</v>
      </c>
    </row>
    <row r="1205" spans="1:13" x14ac:dyDescent="0.2">
      <c r="A1205" s="341"/>
      <c r="B1205" s="80"/>
      <c r="C1205" s="143"/>
      <c r="D1205" s="59"/>
      <c r="E1205" s="92"/>
      <c r="F1205" s="59"/>
      <c r="G1205" s="150"/>
    </row>
    <row r="1206" spans="1:13" x14ac:dyDescent="0.2">
      <c r="A1206" s="341" t="s">
        <v>532</v>
      </c>
      <c r="B1206" s="409" t="s">
        <v>68</v>
      </c>
      <c r="C1206" s="143"/>
      <c r="D1206" s="59"/>
      <c r="E1206" s="92"/>
      <c r="F1206" s="59"/>
      <c r="G1206" s="333"/>
    </row>
    <row r="1207" spans="1:13" x14ac:dyDescent="0.2">
      <c r="A1207" s="341" t="s">
        <v>163</v>
      </c>
      <c r="B1207" s="411" t="s">
        <v>13</v>
      </c>
      <c r="C1207" s="143"/>
      <c r="D1207" s="59"/>
      <c r="E1207" s="92"/>
      <c r="F1207" s="59"/>
      <c r="G1207" s="333">
        <f t="shared" ref="G1207:G1222" si="159">+D1207*E1207+D1207*F1207</f>
        <v>0</v>
      </c>
    </row>
    <row r="1208" spans="1:13" ht="13.5" x14ac:dyDescent="0.2">
      <c r="A1208" s="341"/>
      <c r="B1208" s="410" t="s">
        <v>533</v>
      </c>
      <c r="C1208" s="143" t="s">
        <v>455</v>
      </c>
      <c r="D1208" s="59">
        <v>0.9</v>
      </c>
      <c r="E1208" s="92"/>
      <c r="F1208" s="59"/>
      <c r="G1208" s="333">
        <f t="shared" si="159"/>
        <v>0</v>
      </c>
      <c r="I1208" s="28">
        <f>3.15*4+1.75*3</f>
        <v>17.850000000000001</v>
      </c>
      <c r="J1208" s="28">
        <f>I1208*0.2*0.25</f>
        <v>0.89250000000000007</v>
      </c>
    </row>
    <row r="1209" spans="1:13" ht="13.5" x14ac:dyDescent="0.2">
      <c r="A1209" s="341"/>
      <c r="B1209" s="410" t="s">
        <v>535</v>
      </c>
      <c r="C1209" s="143" t="s">
        <v>455</v>
      </c>
      <c r="D1209" s="59">
        <v>0.3</v>
      </c>
      <c r="E1209" s="92"/>
      <c r="F1209" s="59"/>
      <c r="G1209" s="333">
        <f t="shared" ref="G1209" si="160">+D1209*E1209+D1209*F1209</f>
        <v>0</v>
      </c>
      <c r="I1209" s="28">
        <f>1.475*4</f>
        <v>5.9</v>
      </c>
      <c r="J1209" s="28">
        <f>I1209*0.2*0.25</f>
        <v>0.29500000000000004</v>
      </c>
    </row>
    <row r="1210" spans="1:13" ht="13.5" x14ac:dyDescent="0.2">
      <c r="A1210" s="341"/>
      <c r="B1210" s="410" t="s">
        <v>534</v>
      </c>
      <c r="C1210" s="143" t="s">
        <v>455</v>
      </c>
      <c r="D1210" s="59">
        <v>3.3</v>
      </c>
      <c r="E1210" s="92"/>
      <c r="F1210" s="59"/>
      <c r="G1210" s="333">
        <f t="shared" si="159"/>
        <v>0</v>
      </c>
      <c r="I1210" s="28">
        <f>10*2.2</f>
        <v>22</v>
      </c>
      <c r="J1210" s="28">
        <f>I1210*0.15</f>
        <v>3.3</v>
      </c>
    </row>
    <row r="1211" spans="1:13" ht="13.5" x14ac:dyDescent="0.2">
      <c r="A1211" s="341"/>
      <c r="B1211" s="410" t="s">
        <v>526</v>
      </c>
      <c r="C1211" s="143" t="s">
        <v>455</v>
      </c>
      <c r="D1211" s="59">
        <v>1.32</v>
      </c>
      <c r="E1211" s="92"/>
      <c r="F1211" s="59"/>
      <c r="G1211" s="333">
        <f t="shared" si="159"/>
        <v>0</v>
      </c>
      <c r="I1211" s="28">
        <f>0.25*0.25*3.5*6</f>
        <v>1.3125</v>
      </c>
    </row>
    <row r="1212" spans="1:13" ht="13.5" x14ac:dyDescent="0.2">
      <c r="A1212" s="341"/>
      <c r="B1212" s="410" t="s">
        <v>548</v>
      </c>
      <c r="C1212" s="143" t="s">
        <v>455</v>
      </c>
      <c r="D1212" s="59">
        <v>2.0499999999999998</v>
      </c>
      <c r="E1212" s="92"/>
      <c r="F1212" s="59"/>
      <c r="G1212" s="333">
        <f t="shared" si="159"/>
        <v>0</v>
      </c>
      <c r="I1212" s="28">
        <f>9.35*0.1*1.25*2</f>
        <v>2.3375000000000004</v>
      </c>
      <c r="J1212" s="28">
        <f>1.2*0.6*0.1*4</f>
        <v>0.28799999999999998</v>
      </c>
      <c r="K1212" s="28">
        <f>I1212-J1212</f>
        <v>2.0495000000000005</v>
      </c>
    </row>
    <row r="1213" spans="1:13" x14ac:dyDescent="0.2">
      <c r="A1213" s="341" t="s">
        <v>164</v>
      </c>
      <c r="B1213" s="411" t="s">
        <v>12</v>
      </c>
      <c r="C1213" s="143"/>
      <c r="D1213" s="59"/>
      <c r="E1213" s="92"/>
      <c r="F1213" s="59"/>
      <c r="G1213" s="333">
        <f t="shared" si="159"/>
        <v>0</v>
      </c>
    </row>
    <row r="1214" spans="1:13" ht="13.5" x14ac:dyDescent="0.2">
      <c r="A1214" s="341"/>
      <c r="B1214" s="410" t="s">
        <v>533</v>
      </c>
      <c r="C1214" s="143" t="s">
        <v>459</v>
      </c>
      <c r="D1214" s="59">
        <v>18.75</v>
      </c>
      <c r="E1214" s="92"/>
      <c r="F1214" s="59"/>
      <c r="G1214" s="333">
        <f t="shared" si="159"/>
        <v>0</v>
      </c>
      <c r="I1214" s="28">
        <f>3.15*4+1.75*3</f>
        <v>17.850000000000001</v>
      </c>
      <c r="J1214" s="28">
        <f>I1214*1.05</f>
        <v>18.742500000000003</v>
      </c>
    </row>
    <row r="1215" spans="1:13" ht="13.5" x14ac:dyDescent="0.2">
      <c r="A1215" s="341"/>
      <c r="B1215" s="410" t="s">
        <v>535</v>
      </c>
      <c r="C1215" s="143" t="s">
        <v>459</v>
      </c>
      <c r="D1215" s="59">
        <v>6.2</v>
      </c>
      <c r="E1215" s="92"/>
      <c r="F1215" s="59"/>
      <c r="G1215" s="333">
        <f t="shared" si="159"/>
        <v>0</v>
      </c>
      <c r="I1215" s="28">
        <f>1.475*4</f>
        <v>5.9</v>
      </c>
      <c r="J1215" s="28">
        <f>I1215*1.05</f>
        <v>6.1950000000000003</v>
      </c>
      <c r="K1215" s="28">
        <f>SUM(I1215:J1215)</f>
        <v>12.095000000000001</v>
      </c>
    </row>
    <row r="1216" spans="1:13" ht="13.5" x14ac:dyDescent="0.2">
      <c r="A1216" s="341"/>
      <c r="B1216" s="410" t="s">
        <v>534</v>
      </c>
      <c r="C1216" s="143" t="s">
        <v>459</v>
      </c>
      <c r="D1216" s="59">
        <v>22</v>
      </c>
      <c r="E1216" s="92"/>
      <c r="F1216" s="59"/>
      <c r="G1216" s="333">
        <f t="shared" si="159"/>
        <v>0</v>
      </c>
      <c r="I1216" s="28">
        <f>10*2.2</f>
        <v>22</v>
      </c>
      <c r="J1216" s="28">
        <f>I1216*0.15</f>
        <v>3.3</v>
      </c>
    </row>
    <row r="1217" spans="1:11" ht="13.5" x14ac:dyDescent="0.2">
      <c r="A1217" s="341"/>
      <c r="B1217" s="410" t="s">
        <v>526</v>
      </c>
      <c r="C1217" s="143" t="s">
        <v>459</v>
      </c>
      <c r="D1217" s="59">
        <v>21</v>
      </c>
      <c r="E1217" s="92"/>
      <c r="F1217" s="59"/>
      <c r="G1217" s="333">
        <f t="shared" si="159"/>
        <v>0</v>
      </c>
      <c r="I1217" s="28">
        <f>0.25*4*3.5*6</f>
        <v>21</v>
      </c>
    </row>
    <row r="1218" spans="1:11" ht="13.5" x14ac:dyDescent="0.2">
      <c r="A1218" s="341"/>
      <c r="B1218" s="410" t="s">
        <v>548</v>
      </c>
      <c r="C1218" s="143" t="s">
        <v>459</v>
      </c>
      <c r="D1218" s="59">
        <v>44.75</v>
      </c>
      <c r="E1218" s="92"/>
      <c r="F1218" s="59"/>
      <c r="G1218" s="333">
        <f t="shared" si="159"/>
        <v>0</v>
      </c>
      <c r="I1218" s="28">
        <f>9.35*2*1.25*2</f>
        <v>46.75</v>
      </c>
      <c r="J1218" s="28">
        <f>1.2*0.6*2*4</f>
        <v>5.76</v>
      </c>
      <c r="K1218" s="28">
        <f>I1218-J1218</f>
        <v>40.99</v>
      </c>
    </row>
    <row r="1219" spans="1:11" x14ac:dyDescent="0.2">
      <c r="A1219" s="341"/>
      <c r="B1219" s="410"/>
      <c r="C1219" s="143"/>
      <c r="D1219" s="59"/>
      <c r="E1219" s="92"/>
      <c r="F1219" s="59"/>
      <c r="G1219" s="333"/>
    </row>
    <row r="1220" spans="1:11" ht="12.75" thickBot="1" x14ac:dyDescent="0.25">
      <c r="A1220" s="364"/>
      <c r="B1220" s="412"/>
      <c r="C1220" s="153"/>
      <c r="D1220" s="155"/>
      <c r="E1220" s="183"/>
      <c r="F1220" s="155"/>
      <c r="G1220" s="336"/>
    </row>
    <row r="1221" spans="1:11" x14ac:dyDescent="0.2">
      <c r="A1221" s="341"/>
      <c r="B1221" s="410"/>
      <c r="C1221" s="143"/>
      <c r="D1221" s="59"/>
      <c r="E1221" s="92"/>
      <c r="F1221" s="59"/>
      <c r="G1221" s="333"/>
    </row>
    <row r="1222" spans="1:11" x14ac:dyDescent="0.2">
      <c r="A1222" s="341" t="s">
        <v>175</v>
      </c>
      <c r="B1222" s="411" t="s">
        <v>528</v>
      </c>
      <c r="C1222" s="143"/>
      <c r="D1222" s="59"/>
      <c r="E1222" s="92"/>
      <c r="F1222" s="59"/>
      <c r="G1222" s="333">
        <f t="shared" si="159"/>
        <v>0</v>
      </c>
    </row>
    <row r="1223" spans="1:11" x14ac:dyDescent="0.2">
      <c r="A1223" s="341"/>
      <c r="B1223" s="411" t="s">
        <v>537</v>
      </c>
      <c r="C1223" s="143" t="s">
        <v>135</v>
      </c>
      <c r="D1223" s="59">
        <f>I1227/1000</f>
        <v>0.11047200000000001</v>
      </c>
      <c r="E1223" s="92"/>
      <c r="F1223" s="59"/>
      <c r="G1223" s="333"/>
    </row>
    <row r="1224" spans="1:11" x14ac:dyDescent="0.2">
      <c r="A1224" s="341"/>
      <c r="B1224" s="142" t="s">
        <v>222</v>
      </c>
      <c r="C1224" s="143" t="s">
        <v>8</v>
      </c>
      <c r="D1224" s="91">
        <v>8</v>
      </c>
      <c r="E1224" s="92"/>
      <c r="F1224" s="59"/>
      <c r="G1224" s="60">
        <f t="shared" ref="G1224:G1227" si="161">(D1224*E1224)+(D1224*F1224)</f>
        <v>0</v>
      </c>
      <c r="I1224" s="139">
        <f>D1224*1.58*6</f>
        <v>75.84</v>
      </c>
    </row>
    <row r="1225" spans="1:11" x14ac:dyDescent="0.2">
      <c r="A1225" s="341"/>
      <c r="B1225" s="142" t="s">
        <v>223</v>
      </c>
      <c r="C1225" s="143" t="s">
        <v>8</v>
      </c>
      <c r="D1225" s="91">
        <v>4</v>
      </c>
      <c r="E1225" s="92"/>
      <c r="F1225" s="59"/>
      <c r="G1225" s="60">
        <f t="shared" si="161"/>
        <v>0</v>
      </c>
      <c r="I1225" s="139">
        <f>D1225*0.888*6</f>
        <v>21.312000000000001</v>
      </c>
    </row>
    <row r="1226" spans="1:11" x14ac:dyDescent="0.2">
      <c r="A1226" s="341"/>
      <c r="B1226" s="142" t="s">
        <v>530</v>
      </c>
      <c r="C1226" s="143" t="s">
        <v>8</v>
      </c>
      <c r="D1226" s="91">
        <v>10</v>
      </c>
      <c r="E1226" s="92"/>
      <c r="F1226" s="59"/>
      <c r="G1226" s="60">
        <f t="shared" si="161"/>
        <v>0</v>
      </c>
      <c r="I1226" s="139">
        <f>D1226*0.222*6</f>
        <v>13.32</v>
      </c>
    </row>
    <row r="1227" spans="1:11" x14ac:dyDescent="0.2">
      <c r="A1227" s="341"/>
      <c r="B1227" s="142" t="s">
        <v>14</v>
      </c>
      <c r="C1227" s="143" t="s">
        <v>9</v>
      </c>
      <c r="D1227" s="91">
        <f>D1223*20</f>
        <v>2.2094400000000003</v>
      </c>
      <c r="E1227" s="92"/>
      <c r="F1227" s="59"/>
      <c r="G1227" s="60">
        <f t="shared" si="161"/>
        <v>0</v>
      </c>
      <c r="I1227" s="139">
        <f>SUM(I1223:I1226)</f>
        <v>110.47200000000001</v>
      </c>
      <c r="J1227" s="139"/>
    </row>
    <row r="1228" spans="1:11" x14ac:dyDescent="0.2">
      <c r="A1228" s="341"/>
      <c r="B1228" s="142"/>
      <c r="C1228" s="143"/>
      <c r="D1228" s="91"/>
      <c r="E1228" s="92"/>
      <c r="F1228" s="59"/>
      <c r="G1228" s="60"/>
      <c r="I1228" s="139"/>
      <c r="J1228" s="139"/>
    </row>
    <row r="1229" spans="1:11" x14ac:dyDescent="0.2">
      <c r="A1229" s="341"/>
      <c r="B1229" s="411" t="s">
        <v>538</v>
      </c>
      <c r="C1229" s="143" t="s">
        <v>135</v>
      </c>
      <c r="D1229" s="59">
        <f>I1233/1000</f>
        <v>0.14841599999999999</v>
      </c>
      <c r="E1229" s="92"/>
      <c r="F1229" s="59"/>
      <c r="G1229" s="333"/>
    </row>
    <row r="1230" spans="1:11" x14ac:dyDescent="0.2">
      <c r="A1230" s="341"/>
      <c r="B1230" s="142" t="s">
        <v>222</v>
      </c>
      <c r="C1230" s="143" t="s">
        <v>8</v>
      </c>
      <c r="D1230" s="91">
        <v>8</v>
      </c>
      <c r="E1230" s="92"/>
      <c r="F1230" s="59"/>
      <c r="G1230" s="60">
        <f t="shared" ref="G1230:G1233" si="162">(D1230*E1230)+(D1230*F1230)</f>
        <v>0</v>
      </c>
      <c r="I1230" s="139">
        <f>D1230*1.58*6</f>
        <v>75.84</v>
      </c>
    </row>
    <row r="1231" spans="1:11" x14ac:dyDescent="0.2">
      <c r="A1231" s="341"/>
      <c r="B1231" s="142" t="s">
        <v>306</v>
      </c>
      <c r="C1231" s="143" t="s">
        <v>8</v>
      </c>
      <c r="D1231" s="91">
        <v>4</v>
      </c>
      <c r="E1231" s="92"/>
      <c r="F1231" s="59"/>
      <c r="G1231" s="60">
        <f t="shared" ref="G1231" si="163">(D1231*E1231)+(D1231*F1231)</f>
        <v>0</v>
      </c>
      <c r="I1231" s="139">
        <f>D1231*2.469*6</f>
        <v>59.256</v>
      </c>
    </row>
    <row r="1232" spans="1:11" x14ac:dyDescent="0.2">
      <c r="A1232" s="341"/>
      <c r="B1232" s="142" t="s">
        <v>530</v>
      </c>
      <c r="C1232" s="143" t="s">
        <v>8</v>
      </c>
      <c r="D1232" s="91">
        <v>10</v>
      </c>
      <c r="E1232" s="92"/>
      <c r="F1232" s="59"/>
      <c r="G1232" s="60">
        <f t="shared" si="162"/>
        <v>0</v>
      </c>
      <c r="I1232" s="139">
        <f>D1232*0.222*6</f>
        <v>13.32</v>
      </c>
    </row>
    <row r="1233" spans="1:15" x14ac:dyDescent="0.2">
      <c r="A1233" s="341"/>
      <c r="B1233" s="142" t="s">
        <v>14</v>
      </c>
      <c r="C1233" s="143" t="s">
        <v>9</v>
      </c>
      <c r="D1233" s="91">
        <f>D1229*20</f>
        <v>2.9683199999999998</v>
      </c>
      <c r="E1233" s="92"/>
      <c r="F1233" s="59"/>
      <c r="G1233" s="60">
        <f t="shared" si="162"/>
        <v>0</v>
      </c>
      <c r="I1233" s="139">
        <f>SUM(I1229:I1232)</f>
        <v>148.416</v>
      </c>
    </row>
    <row r="1234" spans="1:15" x14ac:dyDescent="0.2">
      <c r="A1234" s="341"/>
      <c r="B1234" s="80"/>
      <c r="C1234" s="143"/>
      <c r="D1234" s="59"/>
      <c r="E1234" s="92"/>
      <c r="F1234" s="59"/>
      <c r="G1234" s="150"/>
    </row>
    <row r="1235" spans="1:15" x14ac:dyDescent="0.2">
      <c r="A1235" s="341"/>
      <c r="B1235" s="411" t="s">
        <v>539</v>
      </c>
      <c r="C1235" s="143" t="s">
        <v>135</v>
      </c>
      <c r="D1235" s="59">
        <f>I1236/1000</f>
        <v>0.36649799999999999</v>
      </c>
      <c r="E1235" s="92"/>
      <c r="F1235" s="59"/>
      <c r="G1235" s="150"/>
    </row>
    <row r="1236" spans="1:15" x14ac:dyDescent="0.2">
      <c r="A1236" s="341"/>
      <c r="B1236" s="410" t="s">
        <v>536</v>
      </c>
      <c r="C1236" s="143" t="s">
        <v>8</v>
      </c>
      <c r="D1236" s="59">
        <v>99</v>
      </c>
      <c r="E1236" s="92"/>
      <c r="F1236" s="59"/>
      <c r="G1236" s="60"/>
      <c r="I1236" s="139">
        <f>D1236*0.617*6</f>
        <v>366.49799999999999</v>
      </c>
      <c r="K1236" s="28">
        <f>10*2.2</f>
        <v>22</v>
      </c>
      <c r="L1236" s="28">
        <f>K1236*15.3</f>
        <v>336.6</v>
      </c>
      <c r="M1236" s="28">
        <f>L1236*75%</f>
        <v>252.45000000000002</v>
      </c>
      <c r="N1236" s="28">
        <f>SUM(L1236:M1236)</f>
        <v>589.05000000000007</v>
      </c>
      <c r="O1236" s="28">
        <f>N1236/6</f>
        <v>98.175000000000011</v>
      </c>
    </row>
    <row r="1237" spans="1:15" x14ac:dyDescent="0.2">
      <c r="A1237" s="341"/>
      <c r="B1237" s="142" t="s">
        <v>14</v>
      </c>
      <c r="C1237" s="143" t="s">
        <v>9</v>
      </c>
      <c r="D1237" s="91">
        <f>D1235*20</f>
        <v>7.3299599999999998</v>
      </c>
      <c r="E1237" s="92"/>
      <c r="F1237" s="59"/>
      <c r="G1237" s="60">
        <f t="shared" ref="G1237" si="164">(D1237*E1237)+(D1237*F1237)</f>
        <v>0</v>
      </c>
    </row>
    <row r="1238" spans="1:15" x14ac:dyDescent="0.2">
      <c r="A1238" s="341"/>
      <c r="B1238" s="80"/>
      <c r="C1238" s="143"/>
      <c r="D1238" s="59"/>
      <c r="E1238" s="92"/>
      <c r="F1238" s="59"/>
      <c r="G1238" s="150"/>
    </row>
    <row r="1239" spans="1:15" x14ac:dyDescent="0.2">
      <c r="A1239" s="341"/>
      <c r="B1239" s="411" t="s">
        <v>526</v>
      </c>
      <c r="C1239" s="143" t="s">
        <v>135</v>
      </c>
      <c r="D1239" s="59">
        <f>I1242/1000</f>
        <v>0.18795600000000001</v>
      </c>
      <c r="E1239" s="92"/>
      <c r="F1239" s="59"/>
      <c r="G1239" s="333"/>
    </row>
    <row r="1240" spans="1:15" x14ac:dyDescent="0.2">
      <c r="A1240" s="341"/>
      <c r="B1240" s="142" t="s">
        <v>222</v>
      </c>
      <c r="C1240" s="143" t="s">
        <v>8</v>
      </c>
      <c r="D1240" s="91">
        <v>18</v>
      </c>
      <c r="E1240" s="92"/>
      <c r="F1240" s="59"/>
      <c r="G1240" s="60">
        <f t="shared" ref="G1240:G1242" si="165">(D1240*E1240)+(D1240*F1240)</f>
        <v>0</v>
      </c>
      <c r="I1240" s="139">
        <f>D1240*1.58*6</f>
        <v>170.64000000000001</v>
      </c>
    </row>
    <row r="1241" spans="1:15" x14ac:dyDescent="0.2">
      <c r="A1241" s="341"/>
      <c r="B1241" s="142" t="s">
        <v>530</v>
      </c>
      <c r="C1241" s="143" t="s">
        <v>8</v>
      </c>
      <c r="D1241" s="91">
        <v>13</v>
      </c>
      <c r="E1241" s="92"/>
      <c r="F1241" s="59"/>
      <c r="G1241" s="60">
        <f t="shared" si="165"/>
        <v>0</v>
      </c>
      <c r="I1241" s="139">
        <f>D1241*0.222*6</f>
        <v>17.316000000000003</v>
      </c>
    </row>
    <row r="1242" spans="1:15" x14ac:dyDescent="0.2">
      <c r="A1242" s="341"/>
      <c r="B1242" s="142" t="s">
        <v>14</v>
      </c>
      <c r="C1242" s="143" t="s">
        <v>9</v>
      </c>
      <c r="D1242" s="91">
        <f>D1239*20</f>
        <v>3.7591200000000002</v>
      </c>
      <c r="E1242" s="92"/>
      <c r="F1242" s="59"/>
      <c r="G1242" s="60">
        <f t="shared" si="165"/>
        <v>0</v>
      </c>
      <c r="I1242" s="139">
        <f>SUM(I1239:I1241)</f>
        <v>187.95600000000002</v>
      </c>
    </row>
    <row r="1243" spans="1:15" x14ac:dyDescent="0.2">
      <c r="A1243" s="341"/>
      <c r="B1243" s="80"/>
      <c r="C1243" s="143"/>
      <c r="D1243" s="59"/>
      <c r="E1243" s="92"/>
      <c r="F1243" s="59"/>
      <c r="G1243" s="150"/>
    </row>
    <row r="1244" spans="1:15" x14ac:dyDescent="0.2">
      <c r="A1244" s="341" t="s">
        <v>532</v>
      </c>
      <c r="B1244" s="409" t="s">
        <v>70</v>
      </c>
      <c r="C1244" s="143"/>
      <c r="D1244" s="59"/>
      <c r="E1244" s="92"/>
      <c r="F1244" s="59"/>
      <c r="G1244" s="333"/>
    </row>
    <row r="1245" spans="1:15" x14ac:dyDescent="0.2">
      <c r="A1245" s="341" t="s">
        <v>163</v>
      </c>
      <c r="B1245" s="411" t="s">
        <v>13</v>
      </c>
      <c r="C1245" s="143"/>
      <c r="D1245" s="59"/>
      <c r="E1245" s="92"/>
      <c r="F1245" s="59"/>
      <c r="G1245" s="333">
        <f t="shared" ref="G1245:G1249" si="166">+D1245*E1245+D1245*F1245</f>
        <v>0</v>
      </c>
    </row>
    <row r="1246" spans="1:15" ht="13.5" x14ac:dyDescent="0.2">
      <c r="A1246" s="341"/>
      <c r="B1246" s="410" t="s">
        <v>533</v>
      </c>
      <c r="C1246" s="143" t="s">
        <v>455</v>
      </c>
      <c r="D1246" s="59">
        <v>0.9</v>
      </c>
      <c r="E1246" s="92"/>
      <c r="F1246" s="59"/>
      <c r="G1246" s="333">
        <f t="shared" si="166"/>
        <v>0</v>
      </c>
      <c r="I1246" s="28">
        <f>3.15*4+1.75*3</f>
        <v>17.850000000000001</v>
      </c>
      <c r="J1246" s="28">
        <f>I1246*0.2*0.25</f>
        <v>0.89250000000000007</v>
      </c>
    </row>
    <row r="1247" spans="1:15" ht="13.5" x14ac:dyDescent="0.2">
      <c r="A1247" s="341"/>
      <c r="B1247" s="410" t="s">
        <v>535</v>
      </c>
      <c r="C1247" s="143" t="s">
        <v>455</v>
      </c>
      <c r="D1247" s="59">
        <v>0.3</v>
      </c>
      <c r="E1247" s="92"/>
      <c r="F1247" s="59"/>
      <c r="G1247" s="333">
        <f t="shared" si="166"/>
        <v>0</v>
      </c>
      <c r="I1247" s="28">
        <f>1.475*4</f>
        <v>5.9</v>
      </c>
      <c r="J1247" s="28">
        <f>I1247*0.2*0.25</f>
        <v>0.29500000000000004</v>
      </c>
    </row>
    <row r="1248" spans="1:15" ht="13.5" x14ac:dyDescent="0.2">
      <c r="A1248" s="341"/>
      <c r="B1248" s="410" t="s">
        <v>534</v>
      </c>
      <c r="C1248" s="143" t="s">
        <v>455</v>
      </c>
      <c r="D1248" s="59">
        <v>3.3</v>
      </c>
      <c r="E1248" s="92"/>
      <c r="F1248" s="59"/>
      <c r="G1248" s="333">
        <f t="shared" si="166"/>
        <v>0</v>
      </c>
      <c r="I1248" s="28">
        <f>10*2.2</f>
        <v>22</v>
      </c>
      <c r="J1248" s="28">
        <f>I1248*0.15</f>
        <v>3.3</v>
      </c>
    </row>
    <row r="1249" spans="1:11" ht="13.5" x14ac:dyDescent="0.2">
      <c r="A1249" s="341"/>
      <c r="B1249" s="410" t="s">
        <v>526</v>
      </c>
      <c r="C1249" s="143" t="s">
        <v>455</v>
      </c>
      <c r="D1249" s="59">
        <v>1.32</v>
      </c>
      <c r="E1249" s="92"/>
      <c r="F1249" s="59"/>
      <c r="G1249" s="333">
        <f t="shared" si="166"/>
        <v>0</v>
      </c>
      <c r="I1249" s="28">
        <f>0.25*0.25*3.5*6</f>
        <v>1.3125</v>
      </c>
    </row>
    <row r="1250" spans="1:11" ht="13.5" x14ac:dyDescent="0.2">
      <c r="A1250" s="341"/>
      <c r="B1250" s="410" t="s">
        <v>548</v>
      </c>
      <c r="C1250" s="143" t="s">
        <v>455</v>
      </c>
      <c r="D1250" s="59">
        <v>2.2400000000000002</v>
      </c>
      <c r="E1250" s="92"/>
      <c r="F1250" s="59"/>
      <c r="G1250" s="333">
        <f t="shared" ref="G1250" si="167">+D1250*E1250+D1250*F1250</f>
        <v>0</v>
      </c>
      <c r="I1250" s="28">
        <f>10.1*0.1*1.25*2</f>
        <v>2.5249999999999999</v>
      </c>
      <c r="J1250" s="28">
        <f>1.2*0.6*0.1*4</f>
        <v>0.28799999999999998</v>
      </c>
      <c r="K1250" s="28">
        <f>I1250-J1250</f>
        <v>2.2370000000000001</v>
      </c>
    </row>
    <row r="1251" spans="1:11" x14ac:dyDescent="0.2">
      <c r="A1251" s="341" t="s">
        <v>164</v>
      </c>
      <c r="B1251" s="411" t="s">
        <v>12</v>
      </c>
      <c r="C1251" s="143"/>
      <c r="D1251" s="59"/>
      <c r="E1251" s="92"/>
      <c r="F1251" s="59"/>
      <c r="G1251" s="333">
        <f t="shared" ref="G1251:G1256" si="168">+D1251*E1251+D1251*F1251</f>
        <v>0</v>
      </c>
    </row>
    <row r="1252" spans="1:11" ht="13.5" x14ac:dyDescent="0.2">
      <c r="A1252" s="341"/>
      <c r="B1252" s="410" t="s">
        <v>533</v>
      </c>
      <c r="C1252" s="143" t="s">
        <v>459</v>
      </c>
      <c r="D1252" s="59">
        <v>18.75</v>
      </c>
      <c r="E1252" s="92"/>
      <c r="F1252" s="59"/>
      <c r="G1252" s="333">
        <f t="shared" si="168"/>
        <v>0</v>
      </c>
      <c r="I1252" s="28">
        <f>3.15*4+1.75*3</f>
        <v>17.850000000000001</v>
      </c>
      <c r="J1252" s="28">
        <f>I1252*1.05</f>
        <v>18.742500000000003</v>
      </c>
    </row>
    <row r="1253" spans="1:11" ht="13.5" x14ac:dyDescent="0.2">
      <c r="A1253" s="341"/>
      <c r="B1253" s="410" t="s">
        <v>535</v>
      </c>
      <c r="C1253" s="143" t="s">
        <v>459</v>
      </c>
      <c r="D1253" s="59">
        <v>6.2</v>
      </c>
      <c r="E1253" s="92"/>
      <c r="F1253" s="59"/>
      <c r="G1253" s="333">
        <f t="shared" si="168"/>
        <v>0</v>
      </c>
      <c r="I1253" s="28">
        <f>1.475*4</f>
        <v>5.9</v>
      </c>
      <c r="J1253" s="28">
        <f>I1253*1.05</f>
        <v>6.1950000000000003</v>
      </c>
      <c r="K1253" s="28">
        <f>SUM(I1253:J1253)</f>
        <v>12.095000000000001</v>
      </c>
    </row>
    <row r="1254" spans="1:11" ht="13.5" x14ac:dyDescent="0.2">
      <c r="A1254" s="341"/>
      <c r="B1254" s="410" t="s">
        <v>534</v>
      </c>
      <c r="C1254" s="143" t="s">
        <v>459</v>
      </c>
      <c r="D1254" s="59">
        <v>22</v>
      </c>
      <c r="E1254" s="92"/>
      <c r="F1254" s="59"/>
      <c r="G1254" s="333">
        <f t="shared" si="168"/>
        <v>0</v>
      </c>
      <c r="I1254" s="28">
        <f>10*2.2</f>
        <v>22</v>
      </c>
      <c r="J1254" s="28">
        <f>I1254*0.15</f>
        <v>3.3</v>
      </c>
    </row>
    <row r="1255" spans="1:11" ht="13.5" x14ac:dyDescent="0.2">
      <c r="A1255" s="341"/>
      <c r="B1255" s="410" t="s">
        <v>526</v>
      </c>
      <c r="C1255" s="143" t="s">
        <v>459</v>
      </c>
      <c r="D1255" s="59">
        <v>21</v>
      </c>
      <c r="E1255" s="92"/>
      <c r="F1255" s="59"/>
      <c r="G1255" s="333">
        <f t="shared" si="168"/>
        <v>0</v>
      </c>
      <c r="I1255" s="28">
        <f>0.25*4*3.5*6</f>
        <v>21</v>
      </c>
    </row>
    <row r="1256" spans="1:11" ht="13.5" x14ac:dyDescent="0.2">
      <c r="A1256" s="341"/>
      <c r="B1256" s="410" t="s">
        <v>548</v>
      </c>
      <c r="C1256" s="143" t="s">
        <v>459</v>
      </c>
      <c r="D1256" s="59">
        <v>2.0499999999999998</v>
      </c>
      <c r="E1256" s="92"/>
      <c r="F1256" s="59"/>
      <c r="G1256" s="333">
        <f t="shared" si="168"/>
        <v>0</v>
      </c>
      <c r="I1256" s="28">
        <f>9.35*0.1*1.25*2</f>
        <v>2.3375000000000004</v>
      </c>
      <c r="J1256" s="28">
        <f>1.2*0.6*0.1*4</f>
        <v>0.28799999999999998</v>
      </c>
      <c r="K1256" s="28">
        <f>I1256-J1256</f>
        <v>2.0495000000000005</v>
      </c>
    </row>
    <row r="1257" spans="1:11" x14ac:dyDescent="0.2">
      <c r="A1257" s="341" t="s">
        <v>175</v>
      </c>
      <c r="B1257" s="411" t="s">
        <v>528</v>
      </c>
      <c r="C1257" s="143"/>
      <c r="D1257" s="59"/>
      <c r="E1257" s="92"/>
      <c r="F1257" s="59"/>
      <c r="G1257" s="333">
        <f t="shared" ref="G1257" si="169">+D1257*E1257+D1257*F1257</f>
        <v>0</v>
      </c>
    </row>
    <row r="1258" spans="1:11" x14ac:dyDescent="0.2">
      <c r="A1258" s="341"/>
      <c r="B1258" s="411" t="s">
        <v>537</v>
      </c>
      <c r="C1258" s="143" t="s">
        <v>135</v>
      </c>
      <c r="D1258" s="59">
        <f>I1262/1000</f>
        <v>0.11047200000000001</v>
      </c>
      <c r="E1258" s="92"/>
      <c r="F1258" s="59"/>
      <c r="G1258" s="333"/>
    </row>
    <row r="1259" spans="1:11" x14ac:dyDescent="0.2">
      <c r="A1259" s="341"/>
      <c r="B1259" s="142" t="s">
        <v>222</v>
      </c>
      <c r="C1259" s="143" t="s">
        <v>8</v>
      </c>
      <c r="D1259" s="91">
        <v>8</v>
      </c>
      <c r="E1259" s="92"/>
      <c r="F1259" s="59"/>
      <c r="G1259" s="60">
        <f t="shared" ref="G1259:G1262" si="170">(D1259*E1259)+(D1259*F1259)</f>
        <v>0</v>
      </c>
      <c r="I1259" s="139">
        <f>D1259*1.58*6</f>
        <v>75.84</v>
      </c>
    </row>
    <row r="1260" spans="1:11" x14ac:dyDescent="0.2">
      <c r="A1260" s="341"/>
      <c r="B1260" s="142" t="s">
        <v>223</v>
      </c>
      <c r="C1260" s="143" t="s">
        <v>8</v>
      </c>
      <c r="D1260" s="91">
        <v>4</v>
      </c>
      <c r="E1260" s="92"/>
      <c r="F1260" s="59"/>
      <c r="G1260" s="60">
        <f t="shared" si="170"/>
        <v>0</v>
      </c>
      <c r="I1260" s="139">
        <f>D1260*0.888*6</f>
        <v>21.312000000000001</v>
      </c>
    </row>
    <row r="1261" spans="1:11" x14ac:dyDescent="0.2">
      <c r="A1261" s="341"/>
      <c r="B1261" s="142" t="s">
        <v>530</v>
      </c>
      <c r="C1261" s="143" t="s">
        <v>8</v>
      </c>
      <c r="D1261" s="91">
        <v>10</v>
      </c>
      <c r="E1261" s="92"/>
      <c r="F1261" s="59"/>
      <c r="G1261" s="60">
        <f t="shared" si="170"/>
        <v>0</v>
      </c>
      <c r="I1261" s="139">
        <f>D1261*0.222*6</f>
        <v>13.32</v>
      </c>
    </row>
    <row r="1262" spans="1:11" x14ac:dyDescent="0.2">
      <c r="A1262" s="341"/>
      <c r="B1262" s="142" t="s">
        <v>14</v>
      </c>
      <c r="C1262" s="143" t="s">
        <v>9</v>
      </c>
      <c r="D1262" s="91">
        <f>D1258*20</f>
        <v>2.2094400000000003</v>
      </c>
      <c r="E1262" s="92"/>
      <c r="F1262" s="59"/>
      <c r="G1262" s="60">
        <f t="shared" si="170"/>
        <v>0</v>
      </c>
      <c r="I1262" s="139">
        <f>SUM(I1258:I1261)</f>
        <v>110.47200000000001</v>
      </c>
      <c r="J1262" s="139"/>
    </row>
    <row r="1263" spans="1:11" x14ac:dyDescent="0.2">
      <c r="A1263" s="341"/>
      <c r="B1263" s="142"/>
      <c r="C1263" s="143"/>
      <c r="D1263" s="91"/>
      <c r="E1263" s="92"/>
      <c r="F1263" s="59"/>
      <c r="G1263" s="60"/>
      <c r="I1263" s="139"/>
      <c r="J1263" s="139"/>
    </row>
    <row r="1264" spans="1:11" x14ac:dyDescent="0.2">
      <c r="A1264" s="341"/>
      <c r="B1264" s="411" t="s">
        <v>538</v>
      </c>
      <c r="C1264" s="143" t="s">
        <v>135</v>
      </c>
      <c r="D1264" s="59">
        <f>I1268/1000</f>
        <v>0.14841599999999999</v>
      </c>
      <c r="E1264" s="92"/>
      <c r="F1264" s="59"/>
      <c r="G1264" s="333"/>
    </row>
    <row r="1265" spans="1:15" x14ac:dyDescent="0.2">
      <c r="A1265" s="341"/>
      <c r="B1265" s="142" t="s">
        <v>222</v>
      </c>
      <c r="C1265" s="143" t="s">
        <v>8</v>
      </c>
      <c r="D1265" s="91">
        <v>8</v>
      </c>
      <c r="E1265" s="92"/>
      <c r="F1265" s="59"/>
      <c r="G1265" s="60">
        <f t="shared" ref="G1265:G1268" si="171">(D1265*E1265)+(D1265*F1265)</f>
        <v>0</v>
      </c>
      <c r="I1265" s="139">
        <f>D1265*1.58*6</f>
        <v>75.84</v>
      </c>
    </row>
    <row r="1266" spans="1:15" x14ac:dyDescent="0.2">
      <c r="A1266" s="341"/>
      <c r="B1266" s="142" t="s">
        <v>306</v>
      </c>
      <c r="C1266" s="143" t="s">
        <v>8</v>
      </c>
      <c r="D1266" s="91">
        <v>4</v>
      </c>
      <c r="E1266" s="92"/>
      <c r="F1266" s="59"/>
      <c r="G1266" s="60">
        <f t="shared" si="171"/>
        <v>0</v>
      </c>
      <c r="I1266" s="139">
        <f>D1266*2.469*6</f>
        <v>59.256</v>
      </c>
    </row>
    <row r="1267" spans="1:15" x14ac:dyDescent="0.2">
      <c r="A1267" s="341"/>
      <c r="B1267" s="142" t="s">
        <v>530</v>
      </c>
      <c r="C1267" s="143" t="s">
        <v>8</v>
      </c>
      <c r="D1267" s="91">
        <v>10</v>
      </c>
      <c r="E1267" s="92"/>
      <c r="F1267" s="59"/>
      <c r="G1267" s="60">
        <f t="shared" si="171"/>
        <v>0</v>
      </c>
      <c r="I1267" s="139">
        <f>D1267*0.222*6</f>
        <v>13.32</v>
      </c>
    </row>
    <row r="1268" spans="1:15" x14ac:dyDescent="0.2">
      <c r="A1268" s="341"/>
      <c r="B1268" s="142" t="s">
        <v>14</v>
      </c>
      <c r="C1268" s="143" t="s">
        <v>9</v>
      </c>
      <c r="D1268" s="91">
        <f>D1264*20</f>
        <v>2.9683199999999998</v>
      </c>
      <c r="E1268" s="92"/>
      <c r="F1268" s="59"/>
      <c r="G1268" s="60">
        <f t="shared" si="171"/>
        <v>0</v>
      </c>
      <c r="I1268" s="139">
        <f>SUM(I1264:I1267)</f>
        <v>148.416</v>
      </c>
    </row>
    <row r="1269" spans="1:15" x14ac:dyDescent="0.2">
      <c r="A1269" s="341"/>
      <c r="B1269" s="80"/>
      <c r="C1269" s="143"/>
      <c r="D1269" s="59"/>
      <c r="E1269" s="92"/>
      <c r="F1269" s="59"/>
      <c r="G1269" s="150"/>
    </row>
    <row r="1270" spans="1:15" x14ac:dyDescent="0.2">
      <c r="A1270" s="341"/>
      <c r="B1270" s="411" t="s">
        <v>539</v>
      </c>
      <c r="C1270" s="143" t="s">
        <v>135</v>
      </c>
      <c r="D1270" s="59">
        <f>I1271/1000</f>
        <v>0.36649799999999999</v>
      </c>
      <c r="E1270" s="92"/>
      <c r="F1270" s="59"/>
      <c r="G1270" s="150"/>
    </row>
    <row r="1271" spans="1:15" x14ac:dyDescent="0.2">
      <c r="A1271" s="341"/>
      <c r="B1271" s="410" t="s">
        <v>536</v>
      </c>
      <c r="C1271" s="143" t="s">
        <v>8</v>
      </c>
      <c r="D1271" s="59">
        <v>99</v>
      </c>
      <c r="E1271" s="92"/>
      <c r="F1271" s="59"/>
      <c r="G1271" s="60"/>
      <c r="I1271" s="139">
        <f>D1271*0.617*6</f>
        <v>366.49799999999999</v>
      </c>
      <c r="K1271" s="28">
        <f>10*2.2</f>
        <v>22</v>
      </c>
      <c r="L1271" s="28">
        <f>K1271*15.3</f>
        <v>336.6</v>
      </c>
      <c r="M1271" s="28">
        <f>L1271*75%</f>
        <v>252.45000000000002</v>
      </c>
      <c r="N1271" s="28">
        <f>SUM(L1271:M1271)</f>
        <v>589.05000000000007</v>
      </c>
      <c r="O1271" s="28">
        <f>N1271/6</f>
        <v>98.175000000000011</v>
      </c>
    </row>
    <row r="1272" spans="1:15" x14ac:dyDescent="0.2">
      <c r="A1272" s="341"/>
      <c r="B1272" s="142" t="s">
        <v>14</v>
      </c>
      <c r="C1272" s="143" t="s">
        <v>9</v>
      </c>
      <c r="D1272" s="91">
        <f>D1270*20</f>
        <v>7.3299599999999998</v>
      </c>
      <c r="E1272" s="92"/>
      <c r="F1272" s="59"/>
      <c r="G1272" s="60">
        <f t="shared" ref="G1272" si="172">(D1272*E1272)+(D1272*F1272)</f>
        <v>0</v>
      </c>
    </row>
    <row r="1273" spans="1:15" x14ac:dyDescent="0.2">
      <c r="A1273" s="341"/>
      <c r="B1273" s="80"/>
      <c r="C1273" s="143"/>
      <c r="D1273" s="59"/>
      <c r="E1273" s="92"/>
      <c r="F1273" s="59"/>
      <c r="G1273" s="150"/>
    </row>
    <row r="1274" spans="1:15" x14ac:dyDescent="0.2">
      <c r="A1274" s="341"/>
      <c r="B1274" s="411" t="s">
        <v>526</v>
      </c>
      <c r="C1274" s="143" t="s">
        <v>135</v>
      </c>
      <c r="D1274" s="59">
        <f>I1277/1000</f>
        <v>0.18795600000000001</v>
      </c>
      <c r="E1274" s="92"/>
      <c r="F1274" s="59"/>
      <c r="G1274" s="333"/>
    </row>
    <row r="1275" spans="1:15" x14ac:dyDescent="0.2">
      <c r="A1275" s="341"/>
      <c r="B1275" s="142" t="s">
        <v>222</v>
      </c>
      <c r="C1275" s="143" t="s">
        <v>8</v>
      </c>
      <c r="D1275" s="91">
        <v>18</v>
      </c>
      <c r="E1275" s="92"/>
      <c r="F1275" s="59"/>
      <c r="G1275" s="60">
        <f t="shared" ref="G1275:G1277" si="173">(D1275*E1275)+(D1275*F1275)</f>
        <v>0</v>
      </c>
      <c r="I1275" s="139">
        <f>D1275*1.58*6</f>
        <v>170.64000000000001</v>
      </c>
    </row>
    <row r="1276" spans="1:15" x14ac:dyDescent="0.2">
      <c r="A1276" s="341"/>
      <c r="B1276" s="142" t="s">
        <v>530</v>
      </c>
      <c r="C1276" s="143" t="s">
        <v>8</v>
      </c>
      <c r="D1276" s="91">
        <v>13</v>
      </c>
      <c r="E1276" s="92"/>
      <c r="F1276" s="59"/>
      <c r="G1276" s="60">
        <f t="shared" si="173"/>
        <v>0</v>
      </c>
      <c r="I1276" s="139">
        <f>D1276*0.222*6</f>
        <v>17.316000000000003</v>
      </c>
    </row>
    <row r="1277" spans="1:15" x14ac:dyDescent="0.2">
      <c r="A1277" s="341"/>
      <c r="B1277" s="142" t="s">
        <v>14</v>
      </c>
      <c r="C1277" s="143" t="s">
        <v>9</v>
      </c>
      <c r="D1277" s="91">
        <f>D1274*20</f>
        <v>3.7591200000000002</v>
      </c>
      <c r="E1277" s="92"/>
      <c r="F1277" s="59"/>
      <c r="G1277" s="60">
        <f t="shared" si="173"/>
        <v>0</v>
      </c>
      <c r="I1277" s="139">
        <f>SUM(I1274:I1276)</f>
        <v>187.95600000000002</v>
      </c>
    </row>
    <row r="1278" spans="1:15" ht="12.75" thickBot="1" x14ac:dyDescent="0.25">
      <c r="A1278" s="364"/>
      <c r="B1278" s="74"/>
      <c r="C1278" s="153"/>
      <c r="D1278" s="155"/>
      <c r="E1278" s="183"/>
      <c r="F1278" s="155"/>
      <c r="G1278" s="193"/>
    </row>
    <row r="1279" spans="1:15" x14ac:dyDescent="0.2">
      <c r="A1279" s="341"/>
      <c r="B1279" s="80"/>
      <c r="C1279" s="143"/>
      <c r="D1279" s="59"/>
      <c r="E1279" s="92"/>
      <c r="F1279" s="59"/>
      <c r="G1279" s="150"/>
    </row>
    <row r="1280" spans="1:15" x14ac:dyDescent="0.2">
      <c r="A1280" s="341">
        <v>13.3</v>
      </c>
      <c r="B1280" s="409" t="s">
        <v>105</v>
      </c>
      <c r="C1280" s="143"/>
      <c r="D1280" s="59"/>
      <c r="E1280" s="92"/>
      <c r="F1280" s="59"/>
      <c r="G1280" s="333">
        <f t="shared" ref="G1280" si="174">+D1280*E1280+D1280*F1280</f>
        <v>0</v>
      </c>
    </row>
    <row r="1281" spans="1:15" x14ac:dyDescent="0.2">
      <c r="A1281" s="341" t="s">
        <v>540</v>
      </c>
      <c r="B1281" s="409" t="s">
        <v>541</v>
      </c>
      <c r="C1281" s="143"/>
      <c r="D1281" s="59"/>
      <c r="E1281" s="92"/>
      <c r="F1281" s="59"/>
      <c r="G1281" s="150"/>
    </row>
    <row r="1282" spans="1:15" x14ac:dyDescent="0.2">
      <c r="A1282" s="341" t="s">
        <v>542</v>
      </c>
      <c r="B1282" s="411" t="s">
        <v>543</v>
      </c>
      <c r="C1282" s="143"/>
      <c r="D1282" s="59"/>
      <c r="E1282" s="92"/>
      <c r="F1282" s="59"/>
      <c r="G1282" s="150"/>
    </row>
    <row r="1283" spans="1:15" ht="13.5" x14ac:dyDescent="0.2">
      <c r="A1283" s="341"/>
      <c r="B1283" s="410" t="s">
        <v>544</v>
      </c>
      <c r="C1283" s="143" t="s">
        <v>459</v>
      </c>
      <c r="D1283" s="59">
        <v>7.72</v>
      </c>
      <c r="E1283" s="92"/>
      <c r="F1283" s="59"/>
      <c r="G1283" s="333">
        <f t="shared" ref="G1283:G1290" si="175">+D1283*E1283+D1283*F1283</f>
        <v>0</v>
      </c>
      <c r="I1283" s="28">
        <f>23.75*0.325</f>
        <v>7.71875</v>
      </c>
    </row>
    <row r="1284" spans="1:15" x14ac:dyDescent="0.2">
      <c r="A1284" s="341" t="s">
        <v>540</v>
      </c>
      <c r="B1284" s="409" t="s">
        <v>106</v>
      </c>
      <c r="C1284" s="143"/>
      <c r="D1284" s="59"/>
      <c r="E1284" s="92"/>
      <c r="F1284" s="59"/>
      <c r="G1284" s="333">
        <f t="shared" si="175"/>
        <v>0</v>
      </c>
    </row>
    <row r="1285" spans="1:15" ht="13.5" x14ac:dyDescent="0.2">
      <c r="A1285" s="341"/>
      <c r="B1285" s="410" t="s">
        <v>544</v>
      </c>
      <c r="C1285" s="143" t="s">
        <v>459</v>
      </c>
      <c r="D1285" s="59">
        <v>16.55</v>
      </c>
      <c r="E1285" s="92"/>
      <c r="F1285" s="59"/>
      <c r="G1285" s="333">
        <f t="shared" ref="G1285" si="176">+D1285*E1285+D1285*F1285</f>
        <v>0</v>
      </c>
      <c r="I1285" s="28">
        <f>10.1*4+1.75*6</f>
        <v>50.9</v>
      </c>
      <c r="J1285" s="28">
        <f>I1285*0.325</f>
        <v>16.5425</v>
      </c>
    </row>
    <row r="1286" spans="1:15" ht="13.5" x14ac:dyDescent="0.2">
      <c r="A1286" s="341"/>
      <c r="B1286" s="410" t="s">
        <v>545</v>
      </c>
      <c r="C1286" s="143" t="s">
        <v>459</v>
      </c>
      <c r="D1286" s="59">
        <v>49.2</v>
      </c>
      <c r="E1286" s="92"/>
      <c r="F1286" s="59"/>
      <c r="G1286" s="333">
        <f t="shared" si="175"/>
        <v>0</v>
      </c>
      <c r="I1286" s="28">
        <f>0.25*3.1*4*6</f>
        <v>18.600000000000001</v>
      </c>
      <c r="J1286" s="28">
        <f>10*0.6*2</f>
        <v>12</v>
      </c>
      <c r="K1286" s="28">
        <f>SUM(I1286:J1286)</f>
        <v>30.6</v>
      </c>
      <c r="L1286" s="28">
        <f>9.35*2.15*2</f>
        <v>40.204999999999998</v>
      </c>
      <c r="M1286" s="28">
        <f>1.2*1.3*4</f>
        <v>6.24</v>
      </c>
      <c r="N1286" s="28">
        <f>I1286+K1286+L1286</f>
        <v>89.405000000000001</v>
      </c>
      <c r="O1286" s="28">
        <f>N1286-M1286</f>
        <v>83.165000000000006</v>
      </c>
    </row>
    <row r="1287" spans="1:15" ht="13.5" x14ac:dyDescent="0.2">
      <c r="A1287" s="341"/>
      <c r="B1287" s="410" t="s">
        <v>546</v>
      </c>
      <c r="C1287" s="143" t="s">
        <v>459</v>
      </c>
      <c r="D1287" s="59">
        <v>83.2</v>
      </c>
      <c r="E1287" s="92"/>
      <c r="F1287" s="59"/>
      <c r="G1287" s="333">
        <f t="shared" si="175"/>
        <v>0</v>
      </c>
    </row>
    <row r="1288" spans="1:15" ht="13.5" x14ac:dyDescent="0.2">
      <c r="A1288" s="341"/>
      <c r="B1288" s="410" t="s">
        <v>547</v>
      </c>
      <c r="C1288" s="143" t="s">
        <v>459</v>
      </c>
      <c r="D1288" s="59">
        <v>83.2</v>
      </c>
      <c r="E1288" s="92"/>
      <c r="F1288" s="59"/>
      <c r="G1288" s="333">
        <f t="shared" si="175"/>
        <v>0</v>
      </c>
    </row>
    <row r="1289" spans="1:15" x14ac:dyDescent="0.2">
      <c r="A1289" s="341"/>
      <c r="B1289" s="410"/>
      <c r="C1289" s="143"/>
      <c r="D1289" s="59"/>
      <c r="E1289" s="92"/>
      <c r="F1289" s="59"/>
      <c r="G1289" s="333">
        <f t="shared" si="175"/>
        <v>0</v>
      </c>
    </row>
    <row r="1290" spans="1:15" x14ac:dyDescent="0.2">
      <c r="A1290" s="341">
        <v>13.4</v>
      </c>
      <c r="B1290" s="409" t="s">
        <v>549</v>
      </c>
      <c r="C1290" s="143"/>
      <c r="D1290" s="59"/>
      <c r="E1290" s="92"/>
      <c r="F1290" s="59"/>
      <c r="G1290" s="333">
        <f t="shared" si="175"/>
        <v>0</v>
      </c>
    </row>
    <row r="1291" spans="1:15" x14ac:dyDescent="0.2">
      <c r="A1291" s="247"/>
      <c r="B1291" s="248" t="s">
        <v>399</v>
      </c>
      <c r="C1291" s="249"/>
      <c r="D1291" s="250"/>
      <c r="E1291" s="251"/>
      <c r="F1291" s="252"/>
      <c r="G1291" s="253"/>
    </row>
    <row r="1292" spans="1:15" ht="24" x14ac:dyDescent="0.2">
      <c r="A1292" s="63" t="s">
        <v>184</v>
      </c>
      <c r="B1292" s="254" t="s">
        <v>550</v>
      </c>
      <c r="C1292" s="255" t="s">
        <v>113</v>
      </c>
      <c r="D1292" s="57">
        <v>4</v>
      </c>
      <c r="E1292" s="44"/>
      <c r="F1292" s="103"/>
      <c r="G1292" s="104">
        <f t="shared" ref="G1292:G1293" si="177">(D1292*E1292)+(D1292*F1292)</f>
        <v>0</v>
      </c>
    </row>
    <row r="1293" spans="1:15" ht="24" x14ac:dyDescent="0.2">
      <c r="A1293" s="63" t="s">
        <v>164</v>
      </c>
      <c r="B1293" s="254" t="s">
        <v>551</v>
      </c>
      <c r="C1293" s="255" t="s">
        <v>113</v>
      </c>
      <c r="D1293" s="57">
        <v>4</v>
      </c>
      <c r="E1293" s="44"/>
      <c r="F1293" s="103"/>
      <c r="G1293" s="104">
        <f t="shared" si="177"/>
        <v>0</v>
      </c>
    </row>
    <row r="1294" spans="1:15" x14ac:dyDescent="0.2">
      <c r="A1294" s="341"/>
      <c r="B1294" s="410"/>
      <c r="C1294" s="143"/>
      <c r="D1294" s="59"/>
      <c r="E1294" s="92"/>
      <c r="F1294" s="59"/>
      <c r="G1294" s="60"/>
    </row>
    <row r="1295" spans="1:15" x14ac:dyDescent="0.2">
      <c r="A1295" s="341">
        <v>13.5</v>
      </c>
      <c r="B1295" s="409" t="s">
        <v>94</v>
      </c>
      <c r="C1295" s="143"/>
      <c r="D1295" s="59"/>
      <c r="E1295" s="92"/>
      <c r="F1295" s="59"/>
      <c r="G1295" s="333">
        <f t="shared" ref="G1295" si="178">+D1295*E1295+D1295*F1295</f>
        <v>0</v>
      </c>
    </row>
    <row r="1296" spans="1:15" ht="13.5" x14ac:dyDescent="0.2">
      <c r="A1296" s="63"/>
      <c r="B1296" s="410" t="s">
        <v>552</v>
      </c>
      <c r="C1296" s="143" t="s">
        <v>459</v>
      </c>
      <c r="D1296" s="59">
        <v>16.55</v>
      </c>
      <c r="E1296" s="92"/>
      <c r="F1296" s="59"/>
      <c r="G1296" s="333">
        <f t="shared" ref="G1296:G1299" si="179">+D1296*E1296+D1296*F1296</f>
        <v>0</v>
      </c>
    </row>
    <row r="1297" spans="1:7" ht="13.5" x14ac:dyDescent="0.2">
      <c r="A1297" s="63"/>
      <c r="B1297" s="410" t="s">
        <v>553</v>
      </c>
      <c r="C1297" s="143" t="s">
        <v>459</v>
      </c>
      <c r="D1297" s="59">
        <v>49.2</v>
      </c>
      <c r="E1297" s="92"/>
      <c r="F1297" s="59"/>
      <c r="G1297" s="333">
        <f t="shared" si="179"/>
        <v>0</v>
      </c>
    </row>
    <row r="1298" spans="1:7" ht="13.5" x14ac:dyDescent="0.2">
      <c r="A1298" s="341"/>
      <c r="B1298" s="410" t="s">
        <v>554</v>
      </c>
      <c r="C1298" s="143" t="s">
        <v>459</v>
      </c>
      <c r="D1298" s="59">
        <v>83.2</v>
      </c>
      <c r="E1298" s="92"/>
      <c r="F1298" s="59"/>
      <c r="G1298" s="333">
        <f t="shared" si="179"/>
        <v>0</v>
      </c>
    </row>
    <row r="1299" spans="1:7" ht="13.5" x14ac:dyDescent="0.2">
      <c r="A1299" s="341"/>
      <c r="B1299" s="410" t="s">
        <v>555</v>
      </c>
      <c r="C1299" s="143" t="s">
        <v>459</v>
      </c>
      <c r="D1299" s="59">
        <v>83.2</v>
      </c>
      <c r="E1299" s="92"/>
      <c r="F1299" s="59"/>
      <c r="G1299" s="333">
        <f t="shared" si="179"/>
        <v>0</v>
      </c>
    </row>
    <row r="1300" spans="1:7" x14ac:dyDescent="0.2">
      <c r="A1300" s="341"/>
      <c r="B1300" s="410"/>
      <c r="C1300" s="143"/>
      <c r="D1300" s="59"/>
      <c r="E1300" s="92"/>
      <c r="F1300" s="59"/>
      <c r="G1300" s="60"/>
    </row>
    <row r="1301" spans="1:7" x14ac:dyDescent="0.2">
      <c r="A1301" s="341">
        <v>13.6</v>
      </c>
      <c r="B1301" s="409" t="s">
        <v>556</v>
      </c>
      <c r="C1301" s="143"/>
      <c r="D1301" s="59"/>
      <c r="E1301" s="92"/>
      <c r="F1301" s="59"/>
      <c r="G1301" s="333">
        <f t="shared" ref="G1301:G1302" si="180">+D1301*E1301+D1301*F1301</f>
        <v>0</v>
      </c>
    </row>
    <row r="1302" spans="1:7" x14ac:dyDescent="0.2">
      <c r="A1302" s="383" t="s">
        <v>557</v>
      </c>
      <c r="B1302" s="384" t="s">
        <v>66</v>
      </c>
      <c r="C1302" s="390"/>
      <c r="D1302" s="391"/>
      <c r="E1302" s="209"/>
      <c r="F1302" s="331"/>
      <c r="G1302" s="333">
        <f t="shared" si="180"/>
        <v>0</v>
      </c>
    </row>
    <row r="1303" spans="1:7" x14ac:dyDescent="0.2">
      <c r="A1303" s="383" t="s">
        <v>163</v>
      </c>
      <c r="B1303" s="384" t="s">
        <v>212</v>
      </c>
      <c r="C1303" s="390"/>
      <c r="D1303" s="391"/>
      <c r="E1303" s="209"/>
      <c r="F1303" s="331"/>
      <c r="G1303" s="333">
        <f t="shared" ref="G1303:G1307" si="181">+D1303*E1303+D1303*F1303</f>
        <v>0</v>
      </c>
    </row>
    <row r="1304" spans="1:7" x14ac:dyDescent="0.2">
      <c r="A1304" s="385"/>
      <c r="B1304" s="389" t="s">
        <v>354</v>
      </c>
      <c r="C1304" s="371" t="s">
        <v>8</v>
      </c>
      <c r="D1304" s="372">
        <v>4</v>
      </c>
      <c r="E1304" s="209"/>
      <c r="F1304" s="331"/>
      <c r="G1304" s="333">
        <f t="shared" si="181"/>
        <v>0</v>
      </c>
    </row>
    <row r="1305" spans="1:7" x14ac:dyDescent="0.2">
      <c r="A1305" s="385"/>
      <c r="B1305" s="389" t="s">
        <v>558</v>
      </c>
      <c r="C1305" s="371" t="s">
        <v>8</v>
      </c>
      <c r="D1305" s="372">
        <v>1</v>
      </c>
      <c r="E1305" s="209"/>
      <c r="F1305" s="331"/>
      <c r="G1305" s="333">
        <f t="shared" si="181"/>
        <v>0</v>
      </c>
    </row>
    <row r="1306" spans="1:7" x14ac:dyDescent="0.2">
      <c r="A1306" s="385"/>
      <c r="B1306" s="389" t="s">
        <v>559</v>
      </c>
      <c r="C1306" s="371" t="s">
        <v>8</v>
      </c>
      <c r="D1306" s="372">
        <v>1</v>
      </c>
      <c r="E1306" s="209"/>
      <c r="F1306" s="331"/>
      <c r="G1306" s="333">
        <f t="shared" si="181"/>
        <v>0</v>
      </c>
    </row>
    <row r="1307" spans="1:7" x14ac:dyDescent="0.2">
      <c r="A1307" s="385"/>
      <c r="B1307" s="389" t="s">
        <v>560</v>
      </c>
      <c r="C1307" s="371" t="s">
        <v>8</v>
      </c>
      <c r="D1307" s="372">
        <v>4</v>
      </c>
      <c r="E1307" s="209"/>
      <c r="F1307" s="331"/>
      <c r="G1307" s="333">
        <f t="shared" si="181"/>
        <v>0</v>
      </c>
    </row>
    <row r="1308" spans="1:7" x14ac:dyDescent="0.2">
      <c r="A1308" s="341"/>
      <c r="B1308" s="410"/>
      <c r="C1308" s="143"/>
      <c r="D1308" s="59"/>
      <c r="E1308" s="92"/>
      <c r="F1308" s="59"/>
      <c r="G1308" s="60"/>
    </row>
    <row r="1309" spans="1:7" x14ac:dyDescent="0.2">
      <c r="A1309" s="383" t="s">
        <v>561</v>
      </c>
      <c r="B1309" s="384" t="s">
        <v>68</v>
      </c>
      <c r="C1309" s="390"/>
      <c r="D1309" s="391"/>
      <c r="E1309" s="209"/>
      <c r="F1309" s="331"/>
      <c r="G1309" s="333">
        <f t="shared" ref="G1309:G1314" si="182">+D1309*E1309+D1309*F1309</f>
        <v>0</v>
      </c>
    </row>
    <row r="1310" spans="1:7" x14ac:dyDescent="0.2">
      <c r="A1310" s="383" t="s">
        <v>163</v>
      </c>
      <c r="B1310" s="384" t="s">
        <v>212</v>
      </c>
      <c r="C1310" s="390"/>
      <c r="D1310" s="391"/>
      <c r="E1310" s="209"/>
      <c r="F1310" s="331"/>
      <c r="G1310" s="333">
        <f t="shared" si="182"/>
        <v>0</v>
      </c>
    </row>
    <row r="1311" spans="1:7" x14ac:dyDescent="0.2">
      <c r="A1311" s="385"/>
      <c r="B1311" s="389" t="s">
        <v>354</v>
      </c>
      <c r="C1311" s="371" t="s">
        <v>8</v>
      </c>
      <c r="D1311" s="372">
        <v>4</v>
      </c>
      <c r="E1311" s="209"/>
      <c r="F1311" s="331"/>
      <c r="G1311" s="333">
        <f t="shared" si="182"/>
        <v>0</v>
      </c>
    </row>
    <row r="1312" spans="1:7" x14ac:dyDescent="0.2">
      <c r="A1312" s="385"/>
      <c r="B1312" s="389" t="s">
        <v>558</v>
      </c>
      <c r="C1312" s="371" t="s">
        <v>8</v>
      </c>
      <c r="D1312" s="372">
        <v>1</v>
      </c>
      <c r="E1312" s="209"/>
      <c r="F1312" s="331"/>
      <c r="G1312" s="333">
        <f t="shared" si="182"/>
        <v>0</v>
      </c>
    </row>
    <row r="1313" spans="1:7" x14ac:dyDescent="0.2">
      <c r="A1313" s="385"/>
      <c r="B1313" s="389" t="s">
        <v>559</v>
      </c>
      <c r="C1313" s="371" t="s">
        <v>8</v>
      </c>
      <c r="D1313" s="372">
        <v>1</v>
      </c>
      <c r="E1313" s="209"/>
      <c r="F1313" s="331"/>
      <c r="G1313" s="333">
        <f t="shared" si="182"/>
        <v>0</v>
      </c>
    </row>
    <row r="1314" spans="1:7" x14ac:dyDescent="0.2">
      <c r="A1314" s="385"/>
      <c r="B1314" s="389" t="s">
        <v>560</v>
      </c>
      <c r="C1314" s="371" t="s">
        <v>8</v>
      </c>
      <c r="D1314" s="372">
        <v>4</v>
      </c>
      <c r="E1314" s="209"/>
      <c r="F1314" s="331"/>
      <c r="G1314" s="333">
        <f t="shared" si="182"/>
        <v>0</v>
      </c>
    </row>
    <row r="1315" spans="1:7" x14ac:dyDescent="0.2">
      <c r="A1315" s="341"/>
      <c r="B1315" s="410"/>
      <c r="C1315" s="143"/>
      <c r="D1315" s="59"/>
      <c r="E1315" s="92"/>
      <c r="F1315" s="59"/>
      <c r="G1315" s="60"/>
    </row>
    <row r="1316" spans="1:7" x14ac:dyDescent="0.2">
      <c r="A1316" s="383" t="s">
        <v>562</v>
      </c>
      <c r="B1316" s="384" t="s">
        <v>70</v>
      </c>
      <c r="C1316" s="390"/>
      <c r="D1316" s="391"/>
      <c r="E1316" s="209"/>
      <c r="F1316" s="331"/>
      <c r="G1316" s="333">
        <f t="shared" ref="G1316:G1321" si="183">+D1316*E1316+D1316*F1316</f>
        <v>0</v>
      </c>
    </row>
    <row r="1317" spans="1:7" x14ac:dyDescent="0.2">
      <c r="A1317" s="383" t="s">
        <v>163</v>
      </c>
      <c r="B1317" s="384" t="s">
        <v>212</v>
      </c>
      <c r="C1317" s="390"/>
      <c r="D1317" s="391"/>
      <c r="E1317" s="209"/>
      <c r="F1317" s="331"/>
      <c r="G1317" s="333">
        <f t="shared" si="183"/>
        <v>0</v>
      </c>
    </row>
    <row r="1318" spans="1:7" x14ac:dyDescent="0.2">
      <c r="A1318" s="385"/>
      <c r="B1318" s="389" t="s">
        <v>354</v>
      </c>
      <c r="C1318" s="371" t="s">
        <v>8</v>
      </c>
      <c r="D1318" s="372">
        <v>4</v>
      </c>
      <c r="E1318" s="209"/>
      <c r="F1318" s="331"/>
      <c r="G1318" s="333">
        <f t="shared" si="183"/>
        <v>0</v>
      </c>
    </row>
    <row r="1319" spans="1:7" x14ac:dyDescent="0.2">
      <c r="A1319" s="385"/>
      <c r="B1319" s="389" t="s">
        <v>558</v>
      </c>
      <c r="C1319" s="371" t="s">
        <v>8</v>
      </c>
      <c r="D1319" s="372">
        <v>1</v>
      </c>
      <c r="E1319" s="209"/>
      <c r="F1319" s="331"/>
      <c r="G1319" s="333">
        <f t="shared" si="183"/>
        <v>0</v>
      </c>
    </row>
    <row r="1320" spans="1:7" x14ac:dyDescent="0.2">
      <c r="A1320" s="385"/>
      <c r="B1320" s="389" t="s">
        <v>559</v>
      </c>
      <c r="C1320" s="371" t="s">
        <v>8</v>
      </c>
      <c r="D1320" s="372">
        <v>1</v>
      </c>
      <c r="E1320" s="209"/>
      <c r="F1320" s="331"/>
      <c r="G1320" s="333">
        <f t="shared" si="183"/>
        <v>0</v>
      </c>
    </row>
    <row r="1321" spans="1:7" x14ac:dyDescent="0.2">
      <c r="A1321" s="385"/>
      <c r="B1321" s="389" t="s">
        <v>560</v>
      </c>
      <c r="C1321" s="371" t="s">
        <v>8</v>
      </c>
      <c r="D1321" s="372">
        <v>4</v>
      </c>
      <c r="E1321" s="209"/>
      <c r="F1321" s="331"/>
      <c r="G1321" s="333">
        <f t="shared" si="183"/>
        <v>0</v>
      </c>
    </row>
    <row r="1322" spans="1:7" x14ac:dyDescent="0.2">
      <c r="A1322" s="341"/>
      <c r="B1322" s="410"/>
      <c r="C1322" s="143"/>
      <c r="D1322" s="59"/>
      <c r="E1322" s="92"/>
      <c r="F1322" s="59"/>
      <c r="G1322" s="60"/>
    </row>
    <row r="1323" spans="1:7" x14ac:dyDescent="0.2">
      <c r="A1323" s="341"/>
      <c r="B1323" s="410"/>
      <c r="C1323" s="143"/>
      <c r="D1323" s="59"/>
      <c r="E1323" s="92"/>
      <c r="F1323" s="59"/>
      <c r="G1323" s="60"/>
    </row>
    <row r="1324" spans="1:7" x14ac:dyDescent="0.2">
      <c r="A1324" s="341"/>
      <c r="B1324" s="410"/>
      <c r="C1324" s="143"/>
      <c r="D1324" s="59"/>
      <c r="E1324" s="92"/>
      <c r="F1324" s="59"/>
      <c r="G1324" s="60"/>
    </row>
    <row r="1325" spans="1:7" x14ac:dyDescent="0.2">
      <c r="A1325" s="341"/>
      <c r="B1325" s="410"/>
      <c r="C1325" s="143"/>
      <c r="D1325" s="59"/>
      <c r="E1325" s="92"/>
      <c r="F1325" s="59"/>
      <c r="G1325" s="60"/>
    </row>
    <row r="1326" spans="1:7" x14ac:dyDescent="0.2">
      <c r="A1326" s="341"/>
      <c r="B1326" s="410"/>
      <c r="C1326" s="143"/>
      <c r="D1326" s="59"/>
      <c r="E1326" s="92"/>
      <c r="F1326" s="59"/>
      <c r="G1326" s="60"/>
    </row>
    <row r="1327" spans="1:7" x14ac:dyDescent="0.2">
      <c r="A1327" s="341"/>
      <c r="B1327" s="410"/>
      <c r="C1327" s="143"/>
      <c r="D1327" s="59"/>
      <c r="E1327" s="92"/>
      <c r="F1327" s="59"/>
      <c r="G1327" s="60"/>
    </row>
    <row r="1328" spans="1:7" x14ac:dyDescent="0.2">
      <c r="A1328" s="341"/>
      <c r="B1328" s="410"/>
      <c r="C1328" s="143"/>
      <c r="D1328" s="59"/>
      <c r="E1328" s="92"/>
      <c r="F1328" s="59"/>
      <c r="G1328" s="60"/>
    </row>
    <row r="1329" spans="1:7" x14ac:dyDescent="0.2">
      <c r="A1329" s="341"/>
      <c r="B1329" s="410"/>
      <c r="C1329" s="143"/>
      <c r="D1329" s="59"/>
      <c r="E1329" s="92"/>
      <c r="F1329" s="59"/>
      <c r="G1329" s="60"/>
    </row>
    <row r="1330" spans="1:7" x14ac:dyDescent="0.2">
      <c r="A1330" s="341"/>
      <c r="B1330" s="410"/>
      <c r="C1330" s="143"/>
      <c r="D1330" s="59"/>
      <c r="E1330" s="92"/>
      <c r="F1330" s="59"/>
      <c r="G1330" s="60"/>
    </row>
    <row r="1331" spans="1:7" x14ac:dyDescent="0.2">
      <c r="A1331" s="341"/>
      <c r="B1331" s="410"/>
      <c r="C1331" s="143"/>
      <c r="D1331" s="59"/>
      <c r="E1331" s="92"/>
      <c r="F1331" s="59"/>
      <c r="G1331" s="60"/>
    </row>
    <row r="1332" spans="1:7" ht="12.75" thickBot="1" x14ac:dyDescent="0.25">
      <c r="A1332" s="341"/>
      <c r="B1332" s="410"/>
      <c r="C1332" s="143"/>
      <c r="D1332" s="59"/>
      <c r="E1332" s="92"/>
      <c r="F1332" s="59"/>
      <c r="G1332" s="60"/>
    </row>
    <row r="1333" spans="1:7" x14ac:dyDescent="0.2">
      <c r="A1333" s="363"/>
      <c r="B1333" s="69" t="s">
        <v>563</v>
      </c>
      <c r="C1333" s="338"/>
      <c r="D1333" s="191"/>
      <c r="E1333" s="340"/>
      <c r="F1333" s="191"/>
      <c r="G1333" s="192"/>
    </row>
    <row r="1334" spans="1:7" ht="12.75" thickBot="1" x14ac:dyDescent="0.25">
      <c r="A1334" s="364"/>
      <c r="B1334" s="74" t="s">
        <v>416</v>
      </c>
      <c r="C1334" s="153"/>
      <c r="D1334" s="155"/>
      <c r="E1334" s="183"/>
      <c r="F1334" s="155"/>
      <c r="G1334" s="193">
        <f>SUM(G1168:G1333)</f>
        <v>0</v>
      </c>
    </row>
    <row r="1335" spans="1:7" x14ac:dyDescent="0.2">
      <c r="A1335" s="341"/>
      <c r="B1335" s="410"/>
      <c r="C1335" s="143"/>
      <c r="D1335" s="59"/>
      <c r="E1335" s="92"/>
      <c r="F1335" s="59"/>
      <c r="G1335" s="60"/>
    </row>
    <row r="1336" spans="1:7" x14ac:dyDescent="0.2">
      <c r="A1336" s="341"/>
      <c r="B1336" s="41" t="s">
        <v>414</v>
      </c>
      <c r="C1336" s="56"/>
      <c r="D1336" s="189"/>
      <c r="E1336" s="44"/>
      <c r="F1336" s="59"/>
      <c r="G1336" s="60"/>
    </row>
    <row r="1337" spans="1:7" x14ac:dyDescent="0.2">
      <c r="A1337" s="341"/>
      <c r="B1337" s="49" t="s">
        <v>411</v>
      </c>
      <c r="C1337" s="56"/>
      <c r="D1337" s="189"/>
      <c r="E1337" s="44"/>
      <c r="F1337" s="59"/>
      <c r="G1337" s="60"/>
    </row>
    <row r="1338" spans="1:7" x14ac:dyDescent="0.2">
      <c r="A1338" s="342">
        <v>13.1</v>
      </c>
      <c r="B1338" s="276" t="s">
        <v>41</v>
      </c>
      <c r="C1338" s="343"/>
      <c r="D1338" s="344"/>
      <c r="E1338" s="122"/>
      <c r="F1338" s="237"/>
      <c r="G1338" s="238"/>
    </row>
    <row r="1339" spans="1:7" x14ac:dyDescent="0.2">
      <c r="A1339" s="365"/>
      <c r="B1339" s="276" t="s">
        <v>413</v>
      </c>
      <c r="C1339" s="343"/>
      <c r="D1339" s="344"/>
      <c r="E1339" s="122"/>
      <c r="F1339" s="237"/>
      <c r="G1339" s="238"/>
    </row>
    <row r="1340" spans="1:7" x14ac:dyDescent="0.2">
      <c r="A1340" s="341"/>
      <c r="B1340" s="254"/>
      <c r="C1340" s="292"/>
      <c r="D1340" s="189"/>
      <c r="E1340" s="44"/>
      <c r="F1340" s="59"/>
      <c r="G1340" s="60"/>
    </row>
    <row r="1341" spans="1:7" x14ac:dyDescent="0.2">
      <c r="A1341" s="341"/>
      <c r="B1341" s="254"/>
      <c r="C1341" s="292"/>
      <c r="D1341" s="189"/>
      <c r="E1341" s="44"/>
      <c r="F1341" s="59"/>
      <c r="G1341" s="60"/>
    </row>
    <row r="1342" spans="1:7" x14ac:dyDescent="0.2">
      <c r="A1342" s="341"/>
      <c r="B1342" s="254"/>
      <c r="C1342" s="292"/>
      <c r="D1342" s="189"/>
      <c r="E1342" s="44"/>
      <c r="F1342" s="59"/>
      <c r="G1342" s="60"/>
    </row>
    <row r="1343" spans="1:7" x14ac:dyDescent="0.2">
      <c r="A1343" s="341"/>
      <c r="B1343" s="254"/>
      <c r="C1343" s="292"/>
      <c r="D1343" s="189"/>
      <c r="E1343" s="44"/>
      <c r="F1343" s="59"/>
      <c r="G1343" s="60"/>
    </row>
    <row r="1344" spans="1:7" x14ac:dyDescent="0.2">
      <c r="A1344" s="341"/>
      <c r="B1344" s="254"/>
      <c r="C1344" s="292"/>
      <c r="D1344" s="189"/>
      <c r="E1344" s="44"/>
      <c r="F1344" s="59"/>
      <c r="G1344" s="60"/>
    </row>
    <row r="1345" spans="1:7" x14ac:dyDescent="0.2">
      <c r="A1345" s="341"/>
      <c r="B1345" s="254"/>
      <c r="C1345" s="292"/>
      <c r="D1345" s="189"/>
      <c r="E1345" s="44"/>
      <c r="F1345" s="59"/>
      <c r="G1345" s="60"/>
    </row>
    <row r="1346" spans="1:7" x14ac:dyDescent="0.2">
      <c r="A1346" s="341"/>
      <c r="B1346" s="254"/>
      <c r="C1346" s="292"/>
      <c r="D1346" s="189"/>
      <c r="E1346" s="44"/>
      <c r="F1346" s="59"/>
      <c r="G1346" s="60"/>
    </row>
    <row r="1347" spans="1:7" x14ac:dyDescent="0.2">
      <c r="A1347" s="341"/>
      <c r="B1347" s="254"/>
      <c r="C1347" s="292"/>
      <c r="D1347" s="189"/>
      <c r="E1347" s="44"/>
      <c r="F1347" s="59"/>
      <c r="G1347" s="60"/>
    </row>
    <row r="1348" spans="1:7" x14ac:dyDescent="0.2">
      <c r="A1348" s="341"/>
      <c r="B1348" s="254"/>
      <c r="C1348" s="292"/>
      <c r="D1348" s="189"/>
      <c r="E1348" s="44"/>
      <c r="F1348" s="59"/>
      <c r="G1348" s="60"/>
    </row>
    <row r="1349" spans="1:7" x14ac:dyDescent="0.2">
      <c r="A1349" s="341"/>
      <c r="B1349" s="254"/>
      <c r="C1349" s="292"/>
      <c r="D1349" s="189"/>
      <c r="E1349" s="44"/>
      <c r="F1349" s="59"/>
      <c r="G1349" s="60"/>
    </row>
    <row r="1350" spans="1:7" x14ac:dyDescent="0.2">
      <c r="A1350" s="341"/>
      <c r="B1350" s="254"/>
      <c r="C1350" s="292"/>
      <c r="D1350" s="189"/>
      <c r="E1350" s="44"/>
      <c r="F1350" s="59"/>
      <c r="G1350" s="60"/>
    </row>
    <row r="1351" spans="1:7" x14ac:dyDescent="0.2">
      <c r="A1351" s="341"/>
      <c r="B1351" s="254"/>
      <c r="C1351" s="292"/>
      <c r="D1351" s="189"/>
      <c r="E1351" s="44"/>
      <c r="F1351" s="59"/>
      <c r="G1351" s="60"/>
    </row>
    <row r="1352" spans="1:7" x14ac:dyDescent="0.2">
      <c r="A1352" s="341"/>
      <c r="B1352" s="254"/>
      <c r="C1352" s="292"/>
      <c r="D1352" s="189"/>
      <c r="E1352" s="44"/>
      <c r="F1352" s="59"/>
      <c r="G1352" s="60"/>
    </row>
    <row r="1353" spans="1:7" x14ac:dyDescent="0.2">
      <c r="A1353" s="341"/>
      <c r="B1353" s="254"/>
      <c r="C1353" s="292"/>
      <c r="D1353" s="189"/>
      <c r="E1353" s="44"/>
      <c r="F1353" s="59"/>
      <c r="G1353" s="60"/>
    </row>
    <row r="1354" spans="1:7" x14ac:dyDescent="0.2">
      <c r="A1354" s="341"/>
      <c r="B1354" s="254"/>
      <c r="C1354" s="292"/>
      <c r="D1354" s="189"/>
      <c r="E1354" s="44"/>
      <c r="F1354" s="59"/>
      <c r="G1354" s="60"/>
    </row>
    <row r="1355" spans="1:7" x14ac:dyDescent="0.2">
      <c r="A1355" s="341"/>
      <c r="B1355" s="254"/>
      <c r="C1355" s="292"/>
      <c r="D1355" s="189"/>
      <c r="E1355" s="44"/>
      <c r="F1355" s="59"/>
      <c r="G1355" s="60"/>
    </row>
    <row r="1356" spans="1:7" x14ac:dyDescent="0.2">
      <c r="A1356" s="341"/>
      <c r="B1356" s="254"/>
      <c r="C1356" s="292"/>
      <c r="D1356" s="189"/>
      <c r="E1356" s="44"/>
      <c r="F1356" s="59"/>
      <c r="G1356" s="60"/>
    </row>
    <row r="1357" spans="1:7" x14ac:dyDescent="0.2">
      <c r="A1357" s="341"/>
      <c r="B1357" s="254"/>
      <c r="C1357" s="292"/>
      <c r="D1357" s="189"/>
      <c r="E1357" s="44"/>
      <c r="F1357" s="59"/>
      <c r="G1357" s="60"/>
    </row>
    <row r="1358" spans="1:7" x14ac:dyDescent="0.2">
      <c r="A1358" s="341"/>
      <c r="B1358" s="254"/>
      <c r="C1358" s="292"/>
      <c r="D1358" s="189"/>
      <c r="E1358" s="44"/>
      <c r="F1358" s="59"/>
      <c r="G1358" s="60"/>
    </row>
    <row r="1359" spans="1:7" x14ac:dyDescent="0.2">
      <c r="A1359" s="341"/>
      <c r="B1359" s="254"/>
      <c r="C1359" s="292"/>
      <c r="D1359" s="189"/>
      <c r="E1359" s="44"/>
      <c r="F1359" s="59"/>
      <c r="G1359" s="60"/>
    </row>
    <row r="1360" spans="1:7" x14ac:dyDescent="0.2">
      <c r="A1360" s="341"/>
      <c r="B1360" s="254"/>
      <c r="C1360" s="292"/>
      <c r="D1360" s="189"/>
      <c r="E1360" s="44"/>
      <c r="F1360" s="59"/>
      <c r="G1360" s="60"/>
    </row>
    <row r="1361" spans="1:7" x14ac:dyDescent="0.2">
      <c r="A1361" s="341"/>
      <c r="B1361" s="254"/>
      <c r="C1361" s="292"/>
      <c r="D1361" s="189"/>
      <c r="E1361" s="44"/>
      <c r="F1361" s="59"/>
      <c r="G1361" s="60"/>
    </row>
    <row r="1362" spans="1:7" x14ac:dyDescent="0.2">
      <c r="A1362" s="341"/>
      <c r="B1362" s="254"/>
      <c r="C1362" s="292"/>
      <c r="D1362" s="189"/>
      <c r="E1362" s="44"/>
      <c r="F1362" s="59"/>
      <c r="G1362" s="60"/>
    </row>
    <row r="1363" spans="1:7" x14ac:dyDescent="0.2">
      <c r="A1363" s="341"/>
      <c r="B1363" s="254"/>
      <c r="C1363" s="292"/>
      <c r="D1363" s="189"/>
      <c r="E1363" s="44"/>
      <c r="F1363" s="59"/>
      <c r="G1363" s="60"/>
    </row>
    <row r="1364" spans="1:7" x14ac:dyDescent="0.2">
      <c r="A1364" s="341"/>
      <c r="B1364" s="254"/>
      <c r="C1364" s="292"/>
      <c r="D1364" s="189"/>
      <c r="E1364" s="44"/>
      <c r="F1364" s="59"/>
      <c r="G1364" s="60"/>
    </row>
    <row r="1365" spans="1:7" x14ac:dyDescent="0.2">
      <c r="A1365" s="341"/>
      <c r="B1365" s="254"/>
      <c r="C1365" s="292"/>
      <c r="D1365" s="189"/>
      <c r="E1365" s="44"/>
      <c r="F1365" s="59"/>
      <c r="G1365" s="60"/>
    </row>
    <row r="1366" spans="1:7" x14ac:dyDescent="0.2">
      <c r="A1366" s="341"/>
      <c r="B1366" s="254"/>
      <c r="C1366" s="292"/>
      <c r="D1366" s="189"/>
      <c r="E1366" s="44"/>
      <c r="F1366" s="59"/>
      <c r="G1366" s="60"/>
    </row>
    <row r="1367" spans="1:7" x14ac:dyDescent="0.2">
      <c r="A1367" s="341"/>
      <c r="B1367" s="254"/>
      <c r="C1367" s="292"/>
      <c r="D1367" s="189"/>
      <c r="E1367" s="44"/>
      <c r="F1367" s="59"/>
      <c r="G1367" s="60"/>
    </row>
    <row r="1368" spans="1:7" x14ac:dyDescent="0.2">
      <c r="A1368" s="341"/>
      <c r="B1368" s="254"/>
      <c r="C1368" s="292"/>
      <c r="D1368" s="189"/>
      <c r="E1368" s="44"/>
      <c r="F1368" s="59"/>
      <c r="G1368" s="60"/>
    </row>
    <row r="1369" spans="1:7" x14ac:dyDescent="0.2">
      <c r="A1369" s="341"/>
      <c r="B1369" s="254"/>
      <c r="C1369" s="292"/>
      <c r="D1369" s="189"/>
      <c r="E1369" s="44"/>
      <c r="F1369" s="59"/>
      <c r="G1369" s="60"/>
    </row>
    <row r="1370" spans="1:7" x14ac:dyDescent="0.2">
      <c r="A1370" s="341"/>
      <c r="B1370" s="254"/>
      <c r="C1370" s="292"/>
      <c r="D1370" s="189"/>
      <c r="E1370" s="44"/>
      <c r="F1370" s="59"/>
      <c r="G1370" s="60"/>
    </row>
    <row r="1371" spans="1:7" x14ac:dyDescent="0.2">
      <c r="A1371" s="341"/>
      <c r="B1371" s="254"/>
      <c r="C1371" s="292"/>
      <c r="D1371" s="189"/>
      <c r="E1371" s="44"/>
      <c r="F1371" s="59"/>
      <c r="G1371" s="60"/>
    </row>
    <row r="1372" spans="1:7" x14ac:dyDescent="0.2">
      <c r="A1372" s="341"/>
      <c r="B1372" s="254"/>
      <c r="C1372" s="292"/>
      <c r="D1372" s="189"/>
      <c r="E1372" s="44"/>
      <c r="F1372" s="59"/>
      <c r="G1372" s="60"/>
    </row>
    <row r="1373" spans="1:7" x14ac:dyDescent="0.2">
      <c r="A1373" s="341"/>
      <c r="B1373" s="254"/>
      <c r="C1373" s="292"/>
      <c r="D1373" s="189"/>
      <c r="E1373" s="44"/>
      <c r="F1373" s="59"/>
      <c r="G1373" s="60"/>
    </row>
    <row r="1374" spans="1:7" x14ac:dyDescent="0.2">
      <c r="A1374" s="341"/>
      <c r="B1374" s="254"/>
      <c r="C1374" s="292"/>
      <c r="D1374" s="189"/>
      <c r="E1374" s="44"/>
      <c r="F1374" s="59"/>
      <c r="G1374" s="60"/>
    </row>
    <row r="1375" spans="1:7" x14ac:dyDescent="0.2">
      <c r="A1375" s="341"/>
      <c r="B1375" s="254"/>
      <c r="C1375" s="292"/>
      <c r="D1375" s="189"/>
      <c r="E1375" s="44"/>
      <c r="F1375" s="59"/>
      <c r="G1375" s="60"/>
    </row>
    <row r="1376" spans="1:7" x14ac:dyDescent="0.2">
      <c r="A1376" s="341"/>
      <c r="B1376" s="254"/>
      <c r="C1376" s="292"/>
      <c r="D1376" s="189"/>
      <c r="E1376" s="44"/>
      <c r="F1376" s="59"/>
      <c r="G1376" s="60"/>
    </row>
    <row r="1377" spans="1:7" x14ac:dyDescent="0.2">
      <c r="A1377" s="341"/>
      <c r="B1377" s="254"/>
      <c r="C1377" s="292"/>
      <c r="D1377" s="189"/>
      <c r="E1377" s="44"/>
      <c r="F1377" s="59"/>
      <c r="G1377" s="60"/>
    </row>
    <row r="1378" spans="1:7" x14ac:dyDescent="0.2">
      <c r="A1378" s="341"/>
      <c r="B1378" s="254"/>
      <c r="C1378" s="292"/>
      <c r="D1378" s="189"/>
      <c r="E1378" s="44"/>
      <c r="F1378" s="59"/>
      <c r="G1378" s="60"/>
    </row>
    <row r="1379" spans="1:7" x14ac:dyDescent="0.2">
      <c r="A1379" s="341"/>
      <c r="B1379" s="254"/>
      <c r="C1379" s="292"/>
      <c r="D1379" s="189"/>
      <c r="E1379" s="44"/>
      <c r="F1379" s="59"/>
      <c r="G1379" s="60"/>
    </row>
    <row r="1380" spans="1:7" x14ac:dyDescent="0.2">
      <c r="A1380" s="341"/>
      <c r="B1380" s="254"/>
      <c r="C1380" s="292"/>
      <c r="D1380" s="189"/>
      <c r="E1380" s="44"/>
      <c r="F1380" s="59"/>
      <c r="G1380" s="60"/>
    </row>
    <row r="1381" spans="1:7" x14ac:dyDescent="0.2">
      <c r="A1381" s="341"/>
      <c r="B1381" s="254"/>
      <c r="C1381" s="292"/>
      <c r="D1381" s="189"/>
      <c r="E1381" s="44"/>
      <c r="F1381" s="59"/>
      <c r="G1381" s="60"/>
    </row>
    <row r="1382" spans="1:7" x14ac:dyDescent="0.2">
      <c r="A1382" s="341"/>
      <c r="B1382" s="254"/>
      <c r="C1382" s="292"/>
      <c r="D1382" s="189"/>
      <c r="E1382" s="44"/>
      <c r="F1382" s="59"/>
      <c r="G1382" s="60"/>
    </row>
    <row r="1383" spans="1:7" x14ac:dyDescent="0.2">
      <c r="A1383" s="341"/>
      <c r="B1383" s="254"/>
      <c r="C1383" s="292"/>
      <c r="D1383" s="189"/>
      <c r="E1383" s="44"/>
      <c r="F1383" s="59"/>
      <c r="G1383" s="60"/>
    </row>
    <row r="1384" spans="1:7" x14ac:dyDescent="0.2">
      <c r="A1384" s="341"/>
      <c r="B1384" s="254"/>
      <c r="C1384" s="292"/>
      <c r="D1384" s="189"/>
      <c r="E1384" s="44"/>
      <c r="F1384" s="59"/>
      <c r="G1384" s="60"/>
    </row>
    <row r="1385" spans="1:7" x14ac:dyDescent="0.2">
      <c r="A1385" s="341"/>
      <c r="B1385" s="254"/>
      <c r="C1385" s="292"/>
      <c r="D1385" s="189"/>
      <c r="E1385" s="44"/>
      <c r="F1385" s="59"/>
      <c r="G1385" s="60"/>
    </row>
    <row r="1386" spans="1:7" x14ac:dyDescent="0.2">
      <c r="A1386" s="341"/>
      <c r="B1386" s="254"/>
      <c r="C1386" s="292"/>
      <c r="D1386" s="189"/>
      <c r="E1386" s="44"/>
      <c r="F1386" s="59"/>
      <c r="G1386" s="60"/>
    </row>
    <row r="1387" spans="1:7" x14ac:dyDescent="0.2">
      <c r="A1387" s="341"/>
      <c r="B1387" s="254"/>
      <c r="C1387" s="292"/>
      <c r="D1387" s="189"/>
      <c r="E1387" s="44"/>
      <c r="F1387" s="59"/>
      <c r="G1387" s="60"/>
    </row>
    <row r="1388" spans="1:7" x14ac:dyDescent="0.2">
      <c r="A1388" s="341"/>
      <c r="B1388" s="254"/>
      <c r="C1388" s="292"/>
      <c r="D1388" s="189"/>
      <c r="E1388" s="44"/>
      <c r="F1388" s="59"/>
      <c r="G1388" s="60"/>
    </row>
    <row r="1389" spans="1:7" x14ac:dyDescent="0.2">
      <c r="A1389" s="341"/>
      <c r="B1389" s="254"/>
      <c r="C1389" s="292"/>
      <c r="D1389" s="189"/>
      <c r="E1389" s="44"/>
      <c r="F1389" s="59"/>
      <c r="G1389" s="60"/>
    </row>
    <row r="1390" spans="1:7" x14ac:dyDescent="0.2">
      <c r="A1390" s="341"/>
      <c r="B1390" s="254"/>
      <c r="C1390" s="292"/>
      <c r="D1390" s="189"/>
      <c r="E1390" s="44"/>
      <c r="F1390" s="59"/>
      <c r="G1390" s="60"/>
    </row>
    <row r="1391" spans="1:7" ht="12.75" thickBot="1" x14ac:dyDescent="0.25">
      <c r="A1391" s="341"/>
      <c r="B1391" s="254"/>
      <c r="C1391" s="292"/>
      <c r="D1391" s="189"/>
      <c r="E1391" s="44"/>
      <c r="F1391" s="59"/>
      <c r="G1391" s="60"/>
    </row>
    <row r="1392" spans="1:7" x14ac:dyDescent="0.2">
      <c r="A1392" s="363"/>
      <c r="B1392" s="69" t="s">
        <v>417</v>
      </c>
      <c r="C1392" s="338"/>
      <c r="D1392" s="191"/>
      <c r="E1392" s="340"/>
      <c r="F1392" s="191"/>
      <c r="G1392" s="192"/>
    </row>
    <row r="1393" spans="1:7" ht="12.75" thickBot="1" x14ac:dyDescent="0.25">
      <c r="A1393" s="364"/>
      <c r="B1393" s="74" t="s">
        <v>416</v>
      </c>
      <c r="C1393" s="153"/>
      <c r="D1393" s="155"/>
      <c r="E1393" s="183"/>
      <c r="F1393" s="155"/>
      <c r="G1393" s="193">
        <f>SUM(G1338:G1392)</f>
        <v>0</v>
      </c>
    </row>
    <row r="1394" spans="1:7" x14ac:dyDescent="0.2">
      <c r="A1394" s="341"/>
      <c r="B1394" s="80"/>
      <c r="C1394" s="143"/>
      <c r="D1394" s="59"/>
      <c r="E1394" s="92"/>
      <c r="F1394" s="59"/>
      <c r="G1394" s="150"/>
    </row>
    <row r="1395" spans="1:7" x14ac:dyDescent="0.2">
      <c r="A1395" s="341"/>
      <c r="B1395" s="41" t="s">
        <v>418</v>
      </c>
      <c r="C1395" s="56"/>
      <c r="D1395" s="189"/>
      <c r="E1395" s="44"/>
      <c r="F1395" s="59"/>
      <c r="G1395" s="60"/>
    </row>
    <row r="1396" spans="1:7" x14ac:dyDescent="0.2">
      <c r="A1396" s="341"/>
      <c r="B1396" s="49" t="s">
        <v>412</v>
      </c>
      <c r="C1396" s="56"/>
      <c r="D1396" s="189"/>
      <c r="E1396" s="44"/>
      <c r="F1396" s="59"/>
      <c r="G1396" s="60"/>
    </row>
    <row r="1397" spans="1:7" x14ac:dyDescent="0.2">
      <c r="A1397" s="342">
        <v>14.1</v>
      </c>
      <c r="B1397" s="276" t="s">
        <v>41</v>
      </c>
      <c r="C1397" s="343"/>
      <c r="D1397" s="344"/>
      <c r="E1397" s="122"/>
      <c r="F1397" s="237"/>
      <c r="G1397" s="238"/>
    </row>
    <row r="1398" spans="1:7" x14ac:dyDescent="0.2">
      <c r="A1398" s="366"/>
      <c r="B1398" s="367" t="s">
        <v>415</v>
      </c>
      <c r="C1398" s="81"/>
      <c r="D1398" s="189"/>
      <c r="E1398" s="209"/>
      <c r="F1398" s="181"/>
      <c r="G1398" s="218"/>
    </row>
    <row r="1399" spans="1:7" x14ac:dyDescent="0.2">
      <c r="A1399" s="341"/>
      <c r="B1399" s="254"/>
      <c r="C1399" s="292"/>
      <c r="D1399" s="189"/>
      <c r="E1399" s="44"/>
      <c r="F1399" s="59"/>
      <c r="G1399" s="60"/>
    </row>
    <row r="1400" spans="1:7" x14ac:dyDescent="0.2">
      <c r="A1400" s="341"/>
      <c r="B1400" s="254"/>
      <c r="C1400" s="292"/>
      <c r="D1400" s="189"/>
      <c r="E1400" s="44"/>
      <c r="F1400" s="59"/>
      <c r="G1400" s="60"/>
    </row>
    <row r="1401" spans="1:7" x14ac:dyDescent="0.2">
      <c r="A1401" s="341"/>
      <c r="B1401" s="254"/>
      <c r="C1401" s="292"/>
      <c r="D1401" s="189"/>
      <c r="E1401" s="44"/>
      <c r="F1401" s="59"/>
      <c r="G1401" s="60"/>
    </row>
    <row r="1402" spans="1:7" x14ac:dyDescent="0.2">
      <c r="A1402" s="341"/>
      <c r="B1402" s="254"/>
      <c r="C1402" s="292"/>
      <c r="D1402" s="189"/>
      <c r="E1402" s="44"/>
      <c r="F1402" s="59"/>
      <c r="G1402" s="60"/>
    </row>
    <row r="1403" spans="1:7" x14ac:dyDescent="0.2">
      <c r="A1403" s="341"/>
      <c r="B1403" s="254"/>
      <c r="C1403" s="292"/>
      <c r="D1403" s="189"/>
      <c r="E1403" s="44"/>
      <c r="F1403" s="59"/>
      <c r="G1403" s="60"/>
    </row>
    <row r="1404" spans="1:7" x14ac:dyDescent="0.2">
      <c r="A1404" s="341"/>
      <c r="B1404" s="254"/>
      <c r="C1404" s="292"/>
      <c r="D1404" s="189"/>
      <c r="E1404" s="44"/>
      <c r="F1404" s="59"/>
      <c r="G1404" s="60"/>
    </row>
    <row r="1405" spans="1:7" x14ac:dyDescent="0.2">
      <c r="A1405" s="341"/>
      <c r="B1405" s="254"/>
      <c r="C1405" s="292"/>
      <c r="D1405" s="189"/>
      <c r="E1405" s="44"/>
      <c r="F1405" s="59"/>
      <c r="G1405" s="60"/>
    </row>
    <row r="1406" spans="1:7" x14ac:dyDescent="0.2">
      <c r="A1406" s="341"/>
      <c r="B1406" s="254"/>
      <c r="C1406" s="292"/>
      <c r="D1406" s="189"/>
      <c r="E1406" s="44"/>
      <c r="F1406" s="59"/>
      <c r="G1406" s="60"/>
    </row>
    <row r="1407" spans="1:7" x14ac:dyDescent="0.2">
      <c r="A1407" s="341"/>
      <c r="B1407" s="254"/>
      <c r="C1407" s="292"/>
      <c r="D1407" s="189"/>
      <c r="E1407" s="44"/>
      <c r="F1407" s="59"/>
      <c r="G1407" s="60"/>
    </row>
    <row r="1408" spans="1:7" x14ac:dyDescent="0.2">
      <c r="A1408" s="341"/>
      <c r="B1408" s="254"/>
      <c r="C1408" s="292"/>
      <c r="D1408" s="189"/>
      <c r="E1408" s="44"/>
      <c r="F1408" s="59"/>
      <c r="G1408" s="60"/>
    </row>
    <row r="1409" spans="1:7" x14ac:dyDescent="0.2">
      <c r="A1409" s="341"/>
      <c r="B1409" s="254"/>
      <c r="C1409" s="292"/>
      <c r="D1409" s="189"/>
      <c r="E1409" s="44"/>
      <c r="F1409" s="59"/>
      <c r="G1409" s="60"/>
    </row>
    <row r="1410" spans="1:7" x14ac:dyDescent="0.2">
      <c r="A1410" s="341"/>
      <c r="B1410" s="254"/>
      <c r="C1410" s="292"/>
      <c r="D1410" s="189"/>
      <c r="E1410" s="44"/>
      <c r="F1410" s="59"/>
      <c r="G1410" s="60"/>
    </row>
    <row r="1411" spans="1:7" x14ac:dyDescent="0.2">
      <c r="A1411" s="341"/>
      <c r="B1411" s="254"/>
      <c r="C1411" s="292"/>
      <c r="D1411" s="189"/>
      <c r="E1411" s="44"/>
      <c r="F1411" s="59"/>
      <c r="G1411" s="60"/>
    </row>
    <row r="1412" spans="1:7" x14ac:dyDescent="0.2">
      <c r="A1412" s="341"/>
      <c r="B1412" s="254"/>
      <c r="C1412" s="292"/>
      <c r="D1412" s="189"/>
      <c r="E1412" s="44"/>
      <c r="F1412" s="59"/>
      <c r="G1412" s="60"/>
    </row>
    <row r="1413" spans="1:7" x14ac:dyDescent="0.2">
      <c r="A1413" s="341"/>
      <c r="B1413" s="254"/>
      <c r="C1413" s="292"/>
      <c r="D1413" s="189"/>
      <c r="E1413" s="44"/>
      <c r="F1413" s="59"/>
      <c r="G1413" s="60"/>
    </row>
    <row r="1414" spans="1:7" x14ac:dyDescent="0.2">
      <c r="A1414" s="341"/>
      <c r="B1414" s="254"/>
      <c r="C1414" s="292"/>
      <c r="D1414" s="189"/>
      <c r="E1414" s="44"/>
      <c r="F1414" s="59"/>
      <c r="G1414" s="60"/>
    </row>
    <row r="1415" spans="1:7" x14ac:dyDescent="0.2">
      <c r="A1415" s="341"/>
      <c r="B1415" s="254"/>
      <c r="C1415" s="292"/>
      <c r="D1415" s="189"/>
      <c r="E1415" s="44"/>
      <c r="F1415" s="59"/>
      <c r="G1415" s="60"/>
    </row>
    <row r="1416" spans="1:7" x14ac:dyDescent="0.2">
      <c r="A1416" s="341"/>
      <c r="B1416" s="254"/>
      <c r="C1416" s="292"/>
      <c r="D1416" s="189"/>
      <c r="E1416" s="44"/>
      <c r="F1416" s="59"/>
      <c r="G1416" s="60"/>
    </row>
    <row r="1417" spans="1:7" x14ac:dyDescent="0.2">
      <c r="A1417" s="341"/>
      <c r="B1417" s="254"/>
      <c r="C1417" s="292"/>
      <c r="D1417" s="189"/>
      <c r="E1417" s="44"/>
      <c r="F1417" s="59"/>
      <c r="G1417" s="60"/>
    </row>
    <row r="1418" spans="1:7" x14ac:dyDescent="0.2">
      <c r="A1418" s="341"/>
      <c r="B1418" s="254"/>
      <c r="C1418" s="292"/>
      <c r="D1418" s="189"/>
      <c r="E1418" s="44"/>
      <c r="F1418" s="59"/>
      <c r="G1418" s="60"/>
    </row>
    <row r="1419" spans="1:7" x14ac:dyDescent="0.2">
      <c r="A1419" s="341"/>
      <c r="B1419" s="254"/>
      <c r="C1419" s="292"/>
      <c r="D1419" s="189"/>
      <c r="E1419" s="44"/>
      <c r="F1419" s="59"/>
      <c r="G1419" s="60"/>
    </row>
    <row r="1420" spans="1:7" x14ac:dyDescent="0.2">
      <c r="A1420" s="341"/>
      <c r="B1420" s="254"/>
      <c r="C1420" s="292"/>
      <c r="D1420" s="189"/>
      <c r="E1420" s="44"/>
      <c r="F1420" s="59"/>
      <c r="G1420" s="60"/>
    </row>
    <row r="1421" spans="1:7" x14ac:dyDescent="0.2">
      <c r="A1421" s="341"/>
      <c r="B1421" s="254"/>
      <c r="C1421" s="292"/>
      <c r="D1421" s="189"/>
      <c r="E1421" s="44"/>
      <c r="F1421" s="59"/>
      <c r="G1421" s="60"/>
    </row>
    <row r="1422" spans="1:7" x14ac:dyDescent="0.2">
      <c r="A1422" s="341"/>
      <c r="B1422" s="254"/>
      <c r="C1422" s="292"/>
      <c r="D1422" s="189"/>
      <c r="E1422" s="44"/>
      <c r="F1422" s="59"/>
      <c r="G1422" s="60"/>
    </row>
    <row r="1423" spans="1:7" x14ac:dyDescent="0.2">
      <c r="A1423" s="341"/>
      <c r="B1423" s="254"/>
      <c r="C1423" s="292"/>
      <c r="D1423" s="189"/>
      <c r="E1423" s="44"/>
      <c r="F1423" s="59"/>
      <c r="G1423" s="60"/>
    </row>
    <row r="1424" spans="1:7" x14ac:dyDescent="0.2">
      <c r="A1424" s="341"/>
      <c r="B1424" s="254"/>
      <c r="C1424" s="292"/>
      <c r="D1424" s="189"/>
      <c r="E1424" s="44"/>
      <c r="F1424" s="59"/>
      <c r="G1424" s="60"/>
    </row>
    <row r="1425" spans="1:7" x14ac:dyDescent="0.2">
      <c r="A1425" s="341"/>
      <c r="B1425" s="254"/>
      <c r="C1425" s="292"/>
      <c r="D1425" s="189"/>
      <c r="E1425" s="44"/>
      <c r="F1425" s="59"/>
      <c r="G1425" s="60"/>
    </row>
    <row r="1426" spans="1:7" x14ac:dyDescent="0.2">
      <c r="A1426" s="341"/>
      <c r="B1426" s="254"/>
      <c r="C1426" s="292"/>
      <c r="D1426" s="189"/>
      <c r="E1426" s="44"/>
      <c r="F1426" s="59"/>
      <c r="G1426" s="60"/>
    </row>
    <row r="1427" spans="1:7" x14ac:dyDescent="0.2">
      <c r="A1427" s="341"/>
      <c r="B1427" s="254"/>
      <c r="C1427" s="292"/>
      <c r="D1427" s="189"/>
      <c r="E1427" s="44"/>
      <c r="F1427" s="59"/>
      <c r="G1427" s="60"/>
    </row>
    <row r="1428" spans="1:7" x14ac:dyDescent="0.2">
      <c r="A1428" s="341"/>
      <c r="B1428" s="254"/>
      <c r="C1428" s="292"/>
      <c r="D1428" s="189"/>
      <c r="E1428" s="44"/>
      <c r="F1428" s="59"/>
      <c r="G1428" s="60"/>
    </row>
    <row r="1429" spans="1:7" x14ac:dyDescent="0.2">
      <c r="A1429" s="341"/>
      <c r="B1429" s="254"/>
      <c r="C1429" s="292"/>
      <c r="D1429" s="189"/>
      <c r="E1429" s="44"/>
      <c r="F1429" s="59"/>
      <c r="G1429" s="60"/>
    </row>
    <row r="1430" spans="1:7" x14ac:dyDescent="0.2">
      <c r="A1430" s="341"/>
      <c r="B1430" s="254"/>
      <c r="C1430" s="292"/>
      <c r="D1430" s="189"/>
      <c r="E1430" s="44"/>
      <c r="F1430" s="59"/>
      <c r="G1430" s="60"/>
    </row>
    <row r="1431" spans="1:7" x14ac:dyDescent="0.2">
      <c r="A1431" s="341"/>
      <c r="B1431" s="254"/>
      <c r="C1431" s="292"/>
      <c r="D1431" s="189"/>
      <c r="E1431" s="44"/>
      <c r="F1431" s="59"/>
      <c r="G1431" s="60"/>
    </row>
    <row r="1432" spans="1:7" x14ac:dyDescent="0.2">
      <c r="A1432" s="341"/>
      <c r="B1432" s="254"/>
      <c r="C1432" s="292"/>
      <c r="D1432" s="189"/>
      <c r="E1432" s="44"/>
      <c r="F1432" s="59"/>
      <c r="G1432" s="60"/>
    </row>
    <row r="1433" spans="1:7" x14ac:dyDescent="0.2">
      <c r="A1433" s="341"/>
      <c r="B1433" s="254"/>
      <c r="C1433" s="292"/>
      <c r="D1433" s="189"/>
      <c r="E1433" s="44"/>
      <c r="F1433" s="59"/>
      <c r="G1433" s="60"/>
    </row>
    <row r="1434" spans="1:7" x14ac:dyDescent="0.2">
      <c r="A1434" s="341"/>
      <c r="B1434" s="254"/>
      <c r="C1434" s="292"/>
      <c r="D1434" s="189"/>
      <c r="E1434" s="44"/>
      <c r="F1434" s="59"/>
      <c r="G1434" s="60"/>
    </row>
    <row r="1435" spans="1:7" x14ac:dyDescent="0.2">
      <c r="A1435" s="341"/>
      <c r="B1435" s="254"/>
      <c r="C1435" s="292"/>
      <c r="D1435" s="189"/>
      <c r="E1435" s="44"/>
      <c r="F1435" s="59"/>
      <c r="G1435" s="60"/>
    </row>
    <row r="1436" spans="1:7" x14ac:dyDescent="0.2">
      <c r="A1436" s="341"/>
      <c r="B1436" s="254"/>
      <c r="C1436" s="292"/>
      <c r="D1436" s="189"/>
      <c r="E1436" s="44"/>
      <c r="F1436" s="59"/>
      <c r="G1436" s="60"/>
    </row>
    <row r="1437" spans="1:7" x14ac:dyDescent="0.2">
      <c r="A1437" s="341"/>
      <c r="B1437" s="254"/>
      <c r="C1437" s="292"/>
      <c r="D1437" s="189"/>
      <c r="E1437" s="44"/>
      <c r="F1437" s="59"/>
      <c r="G1437" s="60"/>
    </row>
    <row r="1438" spans="1:7" x14ac:dyDescent="0.2">
      <c r="A1438" s="341"/>
      <c r="B1438" s="254"/>
      <c r="C1438" s="292"/>
      <c r="D1438" s="189"/>
      <c r="E1438" s="44"/>
      <c r="F1438" s="59"/>
      <c r="G1438" s="60"/>
    </row>
    <row r="1439" spans="1:7" x14ac:dyDescent="0.2">
      <c r="A1439" s="341"/>
      <c r="B1439" s="254"/>
      <c r="C1439" s="292"/>
      <c r="D1439" s="189"/>
      <c r="E1439" s="44"/>
      <c r="F1439" s="59"/>
      <c r="G1439" s="60"/>
    </row>
    <row r="1440" spans="1:7" x14ac:dyDescent="0.2">
      <c r="A1440" s="341"/>
      <c r="B1440" s="254"/>
      <c r="C1440" s="292"/>
      <c r="D1440" s="189"/>
      <c r="E1440" s="44"/>
      <c r="F1440" s="59"/>
      <c r="G1440" s="60"/>
    </row>
    <row r="1441" spans="1:7" x14ac:dyDescent="0.2">
      <c r="A1441" s="341"/>
      <c r="B1441" s="254"/>
      <c r="C1441" s="292"/>
      <c r="D1441" s="189"/>
      <c r="E1441" s="44"/>
      <c r="F1441" s="59"/>
      <c r="G1441" s="60"/>
    </row>
    <row r="1442" spans="1:7" x14ac:dyDescent="0.2">
      <c r="A1442" s="341"/>
      <c r="B1442" s="254"/>
      <c r="C1442" s="292"/>
      <c r="D1442" s="189"/>
      <c r="E1442" s="44"/>
      <c r="F1442" s="59"/>
      <c r="G1442" s="60"/>
    </row>
    <row r="1443" spans="1:7" x14ac:dyDescent="0.2">
      <c r="A1443" s="341"/>
      <c r="B1443" s="254"/>
      <c r="C1443" s="292"/>
      <c r="D1443" s="189"/>
      <c r="E1443" s="44"/>
      <c r="F1443" s="59"/>
      <c r="G1443" s="60"/>
    </row>
    <row r="1444" spans="1:7" x14ac:dyDescent="0.2">
      <c r="A1444" s="341"/>
      <c r="B1444" s="254"/>
      <c r="C1444" s="292"/>
      <c r="D1444" s="189"/>
      <c r="E1444" s="44"/>
      <c r="F1444" s="59"/>
      <c r="G1444" s="60"/>
    </row>
    <row r="1445" spans="1:7" x14ac:dyDescent="0.2">
      <c r="A1445" s="341"/>
      <c r="B1445" s="254"/>
      <c r="C1445" s="292"/>
      <c r="D1445" s="189"/>
      <c r="E1445" s="44"/>
      <c r="F1445" s="59"/>
      <c r="G1445" s="60"/>
    </row>
    <row r="1446" spans="1:7" x14ac:dyDescent="0.2">
      <c r="A1446" s="341"/>
      <c r="B1446" s="254"/>
      <c r="C1446" s="292"/>
      <c r="D1446" s="189"/>
      <c r="E1446" s="44"/>
      <c r="F1446" s="59"/>
      <c r="G1446" s="60"/>
    </row>
    <row r="1447" spans="1:7" x14ac:dyDescent="0.2">
      <c r="A1447" s="341"/>
      <c r="B1447" s="254"/>
      <c r="C1447" s="292"/>
      <c r="D1447" s="189"/>
      <c r="E1447" s="44"/>
      <c r="F1447" s="59"/>
      <c r="G1447" s="60"/>
    </row>
    <row r="1448" spans="1:7" x14ac:dyDescent="0.2">
      <c r="A1448" s="341"/>
      <c r="B1448" s="254"/>
      <c r="C1448" s="292"/>
      <c r="D1448" s="189"/>
      <c r="E1448" s="44"/>
      <c r="F1448" s="59"/>
      <c r="G1448" s="60"/>
    </row>
    <row r="1449" spans="1:7" x14ac:dyDescent="0.2">
      <c r="A1449" s="341"/>
      <c r="B1449" s="254"/>
      <c r="C1449" s="292"/>
      <c r="D1449" s="189"/>
      <c r="E1449" s="44"/>
      <c r="F1449" s="59"/>
      <c r="G1449" s="60"/>
    </row>
    <row r="1450" spans="1:7" ht="12.75" thickBot="1" x14ac:dyDescent="0.25">
      <c r="A1450" s="341"/>
      <c r="B1450" s="254"/>
      <c r="C1450" s="292"/>
      <c r="D1450" s="189"/>
      <c r="E1450" s="44"/>
      <c r="F1450" s="59"/>
      <c r="G1450" s="60"/>
    </row>
    <row r="1451" spans="1:7" x14ac:dyDescent="0.2">
      <c r="A1451" s="363"/>
      <c r="B1451" s="69" t="s">
        <v>419</v>
      </c>
      <c r="C1451" s="338"/>
      <c r="D1451" s="191"/>
      <c r="E1451" s="340"/>
      <c r="F1451" s="191"/>
      <c r="G1451" s="192"/>
    </row>
    <row r="1452" spans="1:7" ht="12.75" thickBot="1" x14ac:dyDescent="0.25">
      <c r="A1452" s="364"/>
      <c r="B1452" s="74" t="s">
        <v>420</v>
      </c>
      <c r="C1452" s="153"/>
      <c r="D1452" s="155"/>
      <c r="E1452" s="183"/>
      <c r="F1452" s="155"/>
      <c r="G1452" s="193">
        <f>SUM(G1398:G1451)</f>
        <v>0</v>
      </c>
    </row>
  </sheetData>
  <mergeCells count="17">
    <mergeCell ref="A1:G1"/>
    <mergeCell ref="B649:G649"/>
    <mergeCell ref="B756:E756"/>
    <mergeCell ref="B757:E757"/>
    <mergeCell ref="B758:E758"/>
    <mergeCell ref="B759:E759"/>
    <mergeCell ref="B956:F956"/>
    <mergeCell ref="B957:F957"/>
    <mergeCell ref="B958:F958"/>
    <mergeCell ref="B959:F959"/>
    <mergeCell ref="B789:F789"/>
    <mergeCell ref="B1122:F1122"/>
    <mergeCell ref="B960:F960"/>
    <mergeCell ref="B961:F961"/>
    <mergeCell ref="B1119:F1119"/>
    <mergeCell ref="B1120:F1120"/>
    <mergeCell ref="B1121:F1121"/>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&amp;L&amp;8SIX CLASS ROOM BLOCK&amp;R&amp;8     BILL OF QUANTITIES</oddHeader>
    <oddFooter>&amp;L&amp;8MARCH, 2015&amp;C&amp;8&amp;P&amp;R&amp;8ArchEng Studio Pvt. Ltd</oddFooter>
  </headerFooter>
  <rowBreaks count="2" manualBreakCount="2">
    <brk id="44" max="6" man="1"/>
    <brk id="53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Sama</cp:lastModifiedBy>
  <cp:lastPrinted>2015-08-01T09:29:01Z</cp:lastPrinted>
  <dcterms:created xsi:type="dcterms:W3CDTF">2011-03-24T06:48:27Z</dcterms:created>
  <dcterms:modified xsi:type="dcterms:W3CDTF">2015-08-09T08:21:21Z</dcterms:modified>
</cp:coreProperties>
</file>