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255" windowWidth="15135" windowHeight="7755" activeTab="2"/>
  </bookViews>
  <sheets>
    <sheet name="Cover" sheetId="3" r:id="rId1"/>
    <sheet name="Summary" sheetId="2" r:id="rId2"/>
    <sheet name="Boq" sheetId="1" r:id="rId3"/>
  </sheets>
  <definedNames>
    <definedName name="_xlnm.Print_Area" localSheetId="2">Boq!$A$1:$G$1221</definedName>
    <definedName name="_xlnm.Print_Area" localSheetId="0">Cover!$A$1:$A$36</definedName>
    <definedName name="_xlnm.Print_Area" localSheetId="1">Summary!$A$1:$C$21</definedName>
    <definedName name="_xlnm.Print_Titles" localSheetId="2">Boq!$3:$3</definedName>
  </definedNames>
  <calcPr calcId="125725"/>
</workbook>
</file>

<file path=xl/calcChain.xml><?xml version="1.0" encoding="utf-8"?>
<calcChain xmlns="http://schemas.openxmlformats.org/spreadsheetml/2006/main">
  <c r="D1011" i="1"/>
  <c r="D976"/>
  <c r="G997"/>
  <c r="G962"/>
  <c r="D941"/>
  <c r="G927"/>
  <c r="I456" l="1"/>
  <c r="I488"/>
  <c r="L490"/>
  <c r="I490"/>
  <c r="J490" s="1"/>
  <c r="I100" l="1"/>
  <c r="I99"/>
  <c r="I66"/>
  <c r="K254"/>
  <c r="I169"/>
  <c r="I168"/>
  <c r="P98"/>
  <c r="O98"/>
  <c r="N98"/>
  <c r="M98"/>
  <c r="L98"/>
  <c r="K98"/>
  <c r="J98"/>
  <c r="I98"/>
  <c r="P65"/>
  <c r="O65"/>
  <c r="M65"/>
  <c r="N65"/>
  <c r="L65"/>
  <c r="K65"/>
  <c r="J65"/>
  <c r="I65"/>
  <c r="G713"/>
  <c r="G712"/>
  <c r="J711"/>
  <c r="I710"/>
  <c r="J710" s="1"/>
  <c r="G710"/>
  <c r="I709"/>
  <c r="J709" s="1"/>
  <c r="G709"/>
  <c r="I708"/>
  <c r="J708" s="1"/>
  <c r="G708"/>
  <c r="I707"/>
  <c r="J707" s="1"/>
  <c r="G707"/>
  <c r="J706"/>
  <c r="I705"/>
  <c r="J705" s="1"/>
  <c r="G705"/>
  <c r="I704"/>
  <c r="J704" s="1"/>
  <c r="G704"/>
  <c r="L707" l="1"/>
  <c r="Q65"/>
  <c r="R65" s="1"/>
  <c r="J712"/>
  <c r="K712" s="1"/>
  <c r="K704"/>
  <c r="L712"/>
  <c r="I810"/>
  <c r="I814"/>
  <c r="I809"/>
  <c r="D1017"/>
  <c r="G1017" s="1"/>
  <c r="D1016"/>
  <c r="G1016" s="1"/>
  <c r="D1015"/>
  <c r="G1015" s="1"/>
  <c r="D1014"/>
  <c r="G1014" s="1"/>
  <c r="D1013"/>
  <c r="G1013" s="1"/>
  <c r="D1012"/>
  <c r="G1012" s="1"/>
  <c r="G1011"/>
  <c r="D1010"/>
  <c r="G1010" s="1"/>
  <c r="G1009"/>
  <c r="G1008"/>
  <c r="G1007"/>
  <c r="G1006"/>
  <c r="G1005"/>
  <c r="G1004"/>
  <c r="G1003"/>
  <c r="D1002"/>
  <c r="G1002" s="1"/>
  <c r="G1001"/>
  <c r="G1000"/>
  <c r="G999"/>
  <c r="G998"/>
  <c r="G996"/>
  <c r="G995"/>
  <c r="G994"/>
  <c r="G993"/>
  <c r="G992"/>
  <c r="G991"/>
  <c r="G990"/>
  <c r="G989"/>
  <c r="G988"/>
  <c r="G987"/>
  <c r="G985"/>
  <c r="G976"/>
  <c r="G958"/>
  <c r="G957"/>
  <c r="G956"/>
  <c r="G955"/>
  <c r="D982"/>
  <c r="G982" s="1"/>
  <c r="D981"/>
  <c r="G981" s="1"/>
  <c r="D980"/>
  <c r="G980" s="1"/>
  <c r="D979"/>
  <c r="G979" s="1"/>
  <c r="D978"/>
  <c r="G978" s="1"/>
  <c r="D977"/>
  <c r="G977" s="1"/>
  <c r="D975"/>
  <c r="G975" s="1"/>
  <c r="G974"/>
  <c r="G973"/>
  <c r="G972"/>
  <c r="G971"/>
  <c r="G970"/>
  <c r="G969"/>
  <c r="G968"/>
  <c r="D967"/>
  <c r="G967" s="1"/>
  <c r="G966"/>
  <c r="G965"/>
  <c r="G964"/>
  <c r="G963"/>
  <c r="G961"/>
  <c r="G960"/>
  <c r="G959"/>
  <c r="G954"/>
  <c r="D945"/>
  <c r="G945" s="1"/>
  <c r="D944"/>
  <c r="G944" s="1"/>
  <c r="D943"/>
  <c r="D947"/>
  <c r="G947" s="1"/>
  <c r="D946"/>
  <c r="G946" s="1"/>
  <c r="D942"/>
  <c r="D932"/>
  <c r="G928"/>
  <c r="G953"/>
  <c r="G952"/>
  <c r="G917"/>
  <c r="G916"/>
  <c r="G892" l="1"/>
  <c r="G891"/>
  <c r="G890"/>
  <c r="G889"/>
  <c r="G888"/>
  <c r="D887"/>
  <c r="G887" s="1"/>
  <c r="G886"/>
  <c r="D885"/>
  <c r="G885" s="1"/>
  <c r="D884"/>
  <c r="G884" s="1"/>
  <c r="D883"/>
  <c r="G883" s="1"/>
  <c r="D882"/>
  <c r="G882" s="1"/>
  <c r="G881"/>
  <c r="G880"/>
  <c r="G879"/>
  <c r="G874"/>
  <c r="G873"/>
  <c r="G872"/>
  <c r="G871"/>
  <c r="G870"/>
  <c r="D869"/>
  <c r="G869" s="1"/>
  <c r="G868"/>
  <c r="D867"/>
  <c r="G867" s="1"/>
  <c r="D866"/>
  <c r="G866" s="1"/>
  <c r="D865"/>
  <c r="G865" s="1"/>
  <c r="D864"/>
  <c r="G864" s="1"/>
  <c r="G863"/>
  <c r="G862"/>
  <c r="G861"/>
  <c r="G843"/>
  <c r="G845"/>
  <c r="D837"/>
  <c r="I801"/>
  <c r="I795"/>
  <c r="D773"/>
  <c r="I769"/>
  <c r="N769"/>
  <c r="J769"/>
  <c r="M769"/>
  <c r="O769"/>
  <c r="L769"/>
  <c r="K769"/>
  <c r="L764"/>
  <c r="J764"/>
  <c r="I764"/>
  <c r="L759"/>
  <c r="J759"/>
  <c r="I759"/>
  <c r="D768"/>
  <c r="D767"/>
  <c r="D763"/>
  <c r="D762"/>
  <c r="D758"/>
  <c r="D757"/>
  <c r="I739"/>
  <c r="I736"/>
  <c r="I735"/>
  <c r="N735"/>
  <c r="M735"/>
  <c r="L735"/>
  <c r="K735"/>
  <c r="J735"/>
  <c r="I734"/>
  <c r="J734"/>
  <c r="L734"/>
  <c r="L733"/>
  <c r="J733"/>
  <c r="I733"/>
  <c r="D730"/>
  <c r="D729"/>
  <c r="K764" l="1"/>
  <c r="M764" s="1"/>
  <c r="K733"/>
  <c r="M733" s="1"/>
  <c r="K759"/>
  <c r="M759" s="1"/>
  <c r="K734"/>
  <c r="M734" s="1"/>
  <c r="P769"/>
  <c r="O735"/>
  <c r="G700"/>
  <c r="G699"/>
  <c r="J698"/>
  <c r="I697"/>
  <c r="J697" s="1"/>
  <c r="G697"/>
  <c r="I696"/>
  <c r="J696" s="1"/>
  <c r="G696"/>
  <c r="I695"/>
  <c r="J695" s="1"/>
  <c r="G695"/>
  <c r="I694"/>
  <c r="J694" s="1"/>
  <c r="G694"/>
  <c r="J693"/>
  <c r="I692"/>
  <c r="J692" s="1"/>
  <c r="G692"/>
  <c r="I691"/>
  <c r="G691"/>
  <c r="J612"/>
  <c r="I612"/>
  <c r="G612"/>
  <c r="J573"/>
  <c r="J595"/>
  <c r="I595"/>
  <c r="I573"/>
  <c r="G573"/>
  <c r="D593"/>
  <c r="I533"/>
  <c r="D616"/>
  <c r="G602"/>
  <c r="D600"/>
  <c r="D599"/>
  <c r="G604"/>
  <c r="G584"/>
  <c r="D582"/>
  <c r="D617" s="1"/>
  <c r="D578"/>
  <c r="G580"/>
  <c r="G579"/>
  <c r="I609"/>
  <c r="J609" s="1"/>
  <c r="I610"/>
  <c r="G610"/>
  <c r="G609"/>
  <c r="K608"/>
  <c r="I608"/>
  <c r="J608" s="1"/>
  <c r="G608"/>
  <c r="I589"/>
  <c r="G589"/>
  <c r="I588"/>
  <c r="J588" s="1"/>
  <c r="G588"/>
  <c r="K587"/>
  <c r="I587"/>
  <c r="J587" s="1"/>
  <c r="G587"/>
  <c r="I571"/>
  <c r="G571"/>
  <c r="I570"/>
  <c r="J570" s="1"/>
  <c r="G570"/>
  <c r="K569"/>
  <c r="I569"/>
  <c r="J569" s="1"/>
  <c r="G569"/>
  <c r="K573" l="1"/>
  <c r="K612"/>
  <c r="L569"/>
  <c r="L699"/>
  <c r="L694"/>
  <c r="J691"/>
  <c r="K691" s="1"/>
  <c r="K595"/>
  <c r="L587"/>
  <c r="L608"/>
  <c r="J699" l="1"/>
  <c r="K699" s="1"/>
  <c r="G566"/>
  <c r="G564"/>
  <c r="G563"/>
  <c r="G561"/>
  <c r="G559"/>
  <c r="G558"/>
  <c r="G547"/>
  <c r="G542"/>
  <c r="G546"/>
  <c r="G545"/>
  <c r="G544"/>
  <c r="I540"/>
  <c r="G540"/>
  <c r="I531"/>
  <c r="G531"/>
  <c r="G538"/>
  <c r="J541"/>
  <c r="I541"/>
  <c r="I539"/>
  <c r="L538"/>
  <c r="K538"/>
  <c r="J538"/>
  <c r="I538"/>
  <c r="I537"/>
  <c r="J530"/>
  <c r="I530"/>
  <c r="J532"/>
  <c r="I532"/>
  <c r="L529"/>
  <c r="K529"/>
  <c r="J529"/>
  <c r="I529"/>
  <c r="I528"/>
  <c r="I419"/>
  <c r="P94"/>
  <c r="I94"/>
  <c r="D76"/>
  <c r="D425"/>
  <c r="K532" l="1"/>
  <c r="K530"/>
  <c r="M529"/>
  <c r="M538"/>
  <c r="K497"/>
  <c r="M500"/>
  <c r="N500" s="1"/>
  <c r="I500"/>
  <c r="K503"/>
  <c r="I503"/>
  <c r="J503" s="1"/>
  <c r="L502"/>
  <c r="M502" s="1"/>
  <c r="N502" s="1"/>
  <c r="I502"/>
  <c r="J502" s="1"/>
  <c r="P500"/>
  <c r="P499"/>
  <c r="Q499" s="1"/>
  <c r="I499"/>
  <c r="J499" s="1"/>
  <c r="L496"/>
  <c r="M496" s="1"/>
  <c r="I496"/>
  <c r="J496" s="1"/>
  <c r="P494"/>
  <c r="K493"/>
  <c r="M494"/>
  <c r="N494" s="1"/>
  <c r="P493"/>
  <c r="Q493" s="1"/>
  <c r="I494"/>
  <c r="I489"/>
  <c r="I493"/>
  <c r="J493" s="1"/>
  <c r="K491"/>
  <c r="I491"/>
  <c r="J491" s="1"/>
  <c r="M490"/>
  <c r="P489"/>
  <c r="P488"/>
  <c r="Q488" s="1"/>
  <c r="N488"/>
  <c r="K488"/>
  <c r="J488"/>
  <c r="I497"/>
  <c r="J497" s="1"/>
  <c r="L497" s="1"/>
  <c r="G497"/>
  <c r="G496"/>
  <c r="G495"/>
  <c r="G494"/>
  <c r="G491"/>
  <c r="G490"/>
  <c r="G489"/>
  <c r="G488"/>
  <c r="I474"/>
  <c r="J474" s="1"/>
  <c r="L474" s="1"/>
  <c r="I470"/>
  <c r="J470" s="1"/>
  <c r="L470" s="1"/>
  <c r="I466"/>
  <c r="J466" s="1"/>
  <c r="I464"/>
  <c r="G474"/>
  <c r="I473"/>
  <c r="J473" s="1"/>
  <c r="G473"/>
  <c r="G472"/>
  <c r="I471"/>
  <c r="G471"/>
  <c r="M470"/>
  <c r="G470"/>
  <c r="G469"/>
  <c r="I467"/>
  <c r="J467" s="1"/>
  <c r="L467" s="1"/>
  <c r="I460"/>
  <c r="J460" s="1"/>
  <c r="I459"/>
  <c r="J459" s="1"/>
  <c r="I457"/>
  <c r="M463"/>
  <c r="I463"/>
  <c r="J463" s="1"/>
  <c r="L463" s="1"/>
  <c r="I679"/>
  <c r="J679" s="1"/>
  <c r="I684"/>
  <c r="J684" s="1"/>
  <c r="I681"/>
  <c r="J681" s="1"/>
  <c r="I682"/>
  <c r="J682" s="1"/>
  <c r="I683"/>
  <c r="J683" s="1"/>
  <c r="I678"/>
  <c r="J678" s="1"/>
  <c r="J456"/>
  <c r="L456" s="1"/>
  <c r="M456" s="1"/>
  <c r="I670"/>
  <c r="J670" s="1"/>
  <c r="I668"/>
  <c r="J668" s="1"/>
  <c r="I666"/>
  <c r="J666" s="1"/>
  <c r="I667"/>
  <c r="J667" s="1"/>
  <c r="G687"/>
  <c r="G686"/>
  <c r="J685"/>
  <c r="G684"/>
  <c r="G683"/>
  <c r="G682"/>
  <c r="G681"/>
  <c r="J680"/>
  <c r="G679"/>
  <c r="G678"/>
  <c r="G675"/>
  <c r="G674"/>
  <c r="I672"/>
  <c r="J672" s="1"/>
  <c r="G672"/>
  <c r="I671"/>
  <c r="J671" s="1"/>
  <c r="G671"/>
  <c r="G670"/>
  <c r="G668"/>
  <c r="G667"/>
  <c r="G666"/>
  <c r="K460"/>
  <c r="G460"/>
  <c r="G459"/>
  <c r="G458"/>
  <c r="G457"/>
  <c r="G456"/>
  <c r="G455"/>
  <c r="I423"/>
  <c r="J423"/>
  <c r="J419"/>
  <c r="I417"/>
  <c r="J417" s="1"/>
  <c r="K417" s="1"/>
  <c r="I415"/>
  <c r="J415"/>
  <c r="K415"/>
  <c r="G427"/>
  <c r="G426"/>
  <c r="G424"/>
  <c r="G423"/>
  <c r="G422"/>
  <c r="G421"/>
  <c r="G420"/>
  <c r="G419"/>
  <c r="G418"/>
  <c r="G417"/>
  <c r="G416"/>
  <c r="G415"/>
  <c r="G414"/>
  <c r="G413"/>
  <c r="N463" l="1"/>
  <c r="L491"/>
  <c r="L460"/>
  <c r="L488"/>
  <c r="M488" s="1"/>
  <c r="O488" s="1"/>
  <c r="Q489" s="1"/>
  <c r="J673"/>
  <c r="K673" s="1"/>
  <c r="N490"/>
  <c r="N491" s="1"/>
  <c r="O491" s="1"/>
  <c r="N496"/>
  <c r="N497" s="1"/>
  <c r="O497" s="1"/>
  <c r="N470"/>
  <c r="K419"/>
  <c r="L669"/>
  <c r="L686"/>
  <c r="L493"/>
  <c r="M493" s="1"/>
  <c r="K494" s="1"/>
  <c r="L503"/>
  <c r="N503" s="1"/>
  <c r="O503" s="1"/>
  <c r="L499"/>
  <c r="M499" s="1"/>
  <c r="K500" s="1"/>
  <c r="K423"/>
  <c r="J686"/>
  <c r="K686" s="1"/>
  <c r="L681"/>
  <c r="M415"/>
  <c r="K666"/>
  <c r="K678"/>
  <c r="L401" l="1"/>
  <c r="I383"/>
  <c r="I384" s="1"/>
  <c r="D382" s="1"/>
  <c r="G383"/>
  <c r="K382"/>
  <c r="L382" s="1"/>
  <c r="M382" s="1"/>
  <c r="N382" s="1"/>
  <c r="I380"/>
  <c r="G380"/>
  <c r="I379"/>
  <c r="G379"/>
  <c r="K378"/>
  <c r="L378" s="1"/>
  <c r="I378"/>
  <c r="G378"/>
  <c r="I375"/>
  <c r="G375"/>
  <c r="K374"/>
  <c r="L374" s="1"/>
  <c r="I374"/>
  <c r="G374"/>
  <c r="I371"/>
  <c r="G371"/>
  <c r="I370"/>
  <c r="G370"/>
  <c r="K369"/>
  <c r="L369" s="1"/>
  <c r="I369"/>
  <c r="G369"/>
  <c r="I366"/>
  <c r="G366"/>
  <c r="J365"/>
  <c r="K365" s="1"/>
  <c r="L365" s="1"/>
  <c r="I365"/>
  <c r="G365"/>
  <c r="I362"/>
  <c r="G362"/>
  <c r="J361"/>
  <c r="K361" s="1"/>
  <c r="L361" s="1"/>
  <c r="I361"/>
  <c r="G361"/>
  <c r="I358"/>
  <c r="G358"/>
  <c r="J357"/>
  <c r="L357" s="1"/>
  <c r="M357" s="1"/>
  <c r="I357"/>
  <c r="G357"/>
  <c r="J335"/>
  <c r="J331"/>
  <c r="K326"/>
  <c r="L326" s="1"/>
  <c r="M326" s="1"/>
  <c r="N326" s="1"/>
  <c r="J309"/>
  <c r="K309" s="1"/>
  <c r="K294"/>
  <c r="L294" s="1"/>
  <c r="M294" s="1"/>
  <c r="J283"/>
  <c r="K279"/>
  <c r="L279" s="1"/>
  <c r="J272"/>
  <c r="J264"/>
  <c r="I264"/>
  <c r="K258"/>
  <c r="G1221"/>
  <c r="I372" l="1"/>
  <c r="D368" s="1"/>
  <c r="D372" s="1"/>
  <c r="G372" s="1"/>
  <c r="I381"/>
  <c r="D377" s="1"/>
  <c r="D381" s="1"/>
  <c r="G381" s="1"/>
  <c r="I359"/>
  <c r="D356" s="1"/>
  <c r="D359" s="1"/>
  <c r="G359" s="1"/>
  <c r="I376"/>
  <c r="D373" s="1"/>
  <c r="G373" s="1"/>
  <c r="I363"/>
  <c r="D360" s="1"/>
  <c r="G360" s="1"/>
  <c r="I367"/>
  <c r="D364" s="1"/>
  <c r="D367" s="1"/>
  <c r="G367" s="1"/>
  <c r="G382"/>
  <c r="D384"/>
  <c r="G384" s="1"/>
  <c r="I295"/>
  <c r="I296" s="1"/>
  <c r="D294" s="1"/>
  <c r="G295"/>
  <c r="I292"/>
  <c r="G292"/>
  <c r="K291"/>
  <c r="L291" s="1"/>
  <c r="I291"/>
  <c r="G291"/>
  <c r="I288"/>
  <c r="G288"/>
  <c r="J287"/>
  <c r="K287" s="1"/>
  <c r="L287" s="1"/>
  <c r="I287"/>
  <c r="G287"/>
  <c r="I284"/>
  <c r="G284"/>
  <c r="L283"/>
  <c r="M283" s="1"/>
  <c r="I283"/>
  <c r="G283"/>
  <c r="I327"/>
  <c r="I258"/>
  <c r="J116"/>
  <c r="I279"/>
  <c r="M264"/>
  <c r="L264"/>
  <c r="L258"/>
  <c r="L254"/>
  <c r="J251"/>
  <c r="P167"/>
  <c r="O167"/>
  <c r="N167"/>
  <c r="M167"/>
  <c r="L167"/>
  <c r="K167"/>
  <c r="J167"/>
  <c r="I167"/>
  <c r="J397"/>
  <c r="I396"/>
  <c r="G396"/>
  <c r="J395"/>
  <c r="I395"/>
  <c r="G395"/>
  <c r="J392"/>
  <c r="K392" s="1"/>
  <c r="I392"/>
  <c r="G392"/>
  <c r="K391"/>
  <c r="M391" s="1"/>
  <c r="J391"/>
  <c r="I391"/>
  <c r="G391"/>
  <c r="I388"/>
  <c r="G388"/>
  <c r="M387"/>
  <c r="N387" s="1"/>
  <c r="L387"/>
  <c r="J387"/>
  <c r="I387"/>
  <c r="G387"/>
  <c r="M331"/>
  <c r="J341"/>
  <c r="J339"/>
  <c r="J336"/>
  <c r="K336" s="1"/>
  <c r="K272"/>
  <c r="L272" s="1"/>
  <c r="I232"/>
  <c r="J232" s="1"/>
  <c r="I230"/>
  <c r="I226"/>
  <c r="G226"/>
  <c r="I225"/>
  <c r="G225"/>
  <c r="I224"/>
  <c r="G224"/>
  <c r="I201"/>
  <c r="I200"/>
  <c r="I199"/>
  <c r="J221"/>
  <c r="I221"/>
  <c r="G221"/>
  <c r="J197"/>
  <c r="I197"/>
  <c r="I209"/>
  <c r="J209" s="1"/>
  <c r="G209"/>
  <c r="G208"/>
  <c r="I207"/>
  <c r="J207" s="1"/>
  <c r="G207"/>
  <c r="I206"/>
  <c r="J206" s="1"/>
  <c r="G206"/>
  <c r="I205"/>
  <c r="J205" s="1"/>
  <c r="G205"/>
  <c r="G204"/>
  <c r="I182"/>
  <c r="J182" s="1"/>
  <c r="I178"/>
  <c r="J178" s="1"/>
  <c r="I218"/>
  <c r="J218" s="1"/>
  <c r="G218"/>
  <c r="J217"/>
  <c r="G217"/>
  <c r="J216"/>
  <c r="G216"/>
  <c r="I215"/>
  <c r="J215" s="1"/>
  <c r="G215"/>
  <c r="I214"/>
  <c r="J214" s="1"/>
  <c r="G214"/>
  <c r="I213"/>
  <c r="J213" s="1"/>
  <c r="G213"/>
  <c r="J194"/>
  <c r="I195"/>
  <c r="J195" s="1"/>
  <c r="I192"/>
  <c r="I191"/>
  <c r="I190"/>
  <c r="J190" s="1"/>
  <c r="I148"/>
  <c r="J148" s="1"/>
  <c r="G148"/>
  <c r="J147"/>
  <c r="G147"/>
  <c r="J146"/>
  <c r="G146"/>
  <c r="I145"/>
  <c r="J145" s="1"/>
  <c r="G145"/>
  <c r="I144"/>
  <c r="J144" s="1"/>
  <c r="G144"/>
  <c r="I143"/>
  <c r="J143" s="1"/>
  <c r="G143"/>
  <c r="G182"/>
  <c r="G181"/>
  <c r="I180"/>
  <c r="J180" s="1"/>
  <c r="G180"/>
  <c r="I179"/>
  <c r="J179" s="1"/>
  <c r="G179"/>
  <c r="G178"/>
  <c r="G177"/>
  <c r="I174"/>
  <c r="I173"/>
  <c r="I172"/>
  <c r="J168"/>
  <c r="J169"/>
  <c r="I157"/>
  <c r="J157" s="1"/>
  <c r="I159"/>
  <c r="J159" s="1"/>
  <c r="I139"/>
  <c r="J139" s="1"/>
  <c r="I136"/>
  <c r="J136" s="1"/>
  <c r="I135"/>
  <c r="J135" s="1"/>
  <c r="G139"/>
  <c r="G138"/>
  <c r="I137"/>
  <c r="J137" s="1"/>
  <c r="G137"/>
  <c r="G136"/>
  <c r="G135"/>
  <c r="G134"/>
  <c r="I131"/>
  <c r="I130"/>
  <c r="I129"/>
  <c r="J127"/>
  <c r="I127"/>
  <c r="J124"/>
  <c r="I125"/>
  <c r="J125" s="1"/>
  <c r="I122"/>
  <c r="I121"/>
  <c r="I120"/>
  <c r="K116" l="1"/>
  <c r="L116" s="1"/>
  <c r="D363"/>
  <c r="G363" s="1"/>
  <c r="G377"/>
  <c r="G356"/>
  <c r="G368"/>
  <c r="G364"/>
  <c r="D376"/>
  <c r="G376" s="1"/>
  <c r="I293"/>
  <c r="D290" s="1"/>
  <c r="D293" s="1"/>
  <c r="G293" s="1"/>
  <c r="D296"/>
  <c r="G296" s="1"/>
  <c r="G294"/>
  <c r="I285"/>
  <c r="D282" s="1"/>
  <c r="D285" s="1"/>
  <c r="G285" s="1"/>
  <c r="K221"/>
  <c r="I289"/>
  <c r="D286" s="1"/>
  <c r="G286" s="1"/>
  <c r="I397"/>
  <c r="D394" s="1"/>
  <c r="D397" s="1"/>
  <c r="G397" s="1"/>
  <c r="I389"/>
  <c r="D386" s="1"/>
  <c r="D389" s="1"/>
  <c r="G389" s="1"/>
  <c r="L391"/>
  <c r="I393"/>
  <c r="D390" s="1"/>
  <c r="D393" s="1"/>
  <c r="G393" s="1"/>
  <c r="K197"/>
  <c r="Q167"/>
  <c r="K127"/>
  <c r="L127" s="1"/>
  <c r="I114"/>
  <c r="J114" s="1"/>
  <c r="I112"/>
  <c r="J112" s="1"/>
  <c r="I111"/>
  <c r="J111" s="1"/>
  <c r="I110"/>
  <c r="J110" s="1"/>
  <c r="K250"/>
  <c r="G394" l="1"/>
  <c r="G290"/>
  <c r="G386"/>
  <c r="D289"/>
  <c r="G289" s="1"/>
  <c r="G390"/>
  <c r="G282"/>
  <c r="G112"/>
  <c r="G111"/>
  <c r="G110"/>
  <c r="G114"/>
  <c r="G113"/>
  <c r="G109"/>
  <c r="I153" l="1"/>
  <c r="I154"/>
  <c r="G154"/>
  <c r="G153"/>
  <c r="I152"/>
  <c r="G152"/>
  <c r="I106"/>
  <c r="I105"/>
  <c r="I104"/>
  <c r="Q98"/>
  <c r="K95"/>
  <c r="I95"/>
  <c r="O94"/>
  <c r="N94"/>
  <c r="M94"/>
  <c r="L94"/>
  <c r="K94"/>
  <c r="J94"/>
  <c r="K66"/>
  <c r="L66" s="1"/>
  <c r="J66"/>
  <c r="J95" l="1"/>
  <c r="I453"/>
  <c r="M66"/>
  <c r="L95"/>
  <c r="Q94"/>
  <c r="R94" s="1"/>
  <c r="M95" l="1"/>
  <c r="G849"/>
  <c r="G1092" l="1"/>
  <c r="G1091"/>
  <c r="G1090"/>
  <c r="G1089"/>
  <c r="G1088"/>
  <c r="G1087"/>
  <c r="G1086"/>
  <c r="G1083"/>
  <c r="G1082"/>
  <c r="G1081"/>
  <c r="G1080"/>
  <c r="G1079"/>
  <c r="G1078"/>
  <c r="G1077"/>
  <c r="G1074"/>
  <c r="G1073"/>
  <c r="G1072"/>
  <c r="G1071"/>
  <c r="G1070"/>
  <c r="G1069"/>
  <c r="G1068"/>
  <c r="G1067"/>
  <c r="G1066"/>
  <c r="G1103" l="1"/>
  <c r="G799"/>
  <c r="G798"/>
  <c r="G795"/>
  <c r="D940"/>
  <c r="G938"/>
  <c r="G937"/>
  <c r="G936"/>
  <c r="G920"/>
  <c r="G921"/>
  <c r="G878"/>
  <c r="G877"/>
  <c r="G860"/>
  <c r="G859"/>
  <c r="G844"/>
  <c r="D842"/>
  <c r="G842" s="1"/>
  <c r="G841"/>
  <c r="D840"/>
  <c r="G840" s="1"/>
  <c r="D839"/>
  <c r="G839" s="1"/>
  <c r="D838"/>
  <c r="G838" s="1"/>
  <c r="G837"/>
  <c r="G836"/>
  <c r="G835"/>
  <c r="G834"/>
  <c r="D812" l="1"/>
  <c r="G812" s="1"/>
  <c r="G815"/>
  <c r="G814"/>
  <c r="G813"/>
  <c r="D811"/>
  <c r="G811" s="1"/>
  <c r="G810"/>
  <c r="J809"/>
  <c r="G809"/>
  <c r="G808"/>
  <c r="G807"/>
  <c r="G806"/>
  <c r="G773"/>
  <c r="G764"/>
  <c r="G804"/>
  <c r="G801"/>
  <c r="G734"/>
  <c r="G735"/>
  <c r="G736"/>
  <c r="G733"/>
  <c r="I729"/>
  <c r="I728"/>
  <c r="G600"/>
  <c r="G599"/>
  <c r="J582"/>
  <c r="I582"/>
  <c r="G541"/>
  <c r="G539"/>
  <c r="G537"/>
  <c r="G533"/>
  <c r="G534"/>
  <c r="G503"/>
  <c r="G502"/>
  <c r="G501"/>
  <c r="G500"/>
  <c r="D486"/>
  <c r="G467"/>
  <c r="G466"/>
  <c r="G465"/>
  <c r="G464"/>
  <c r="G463"/>
  <c r="G462"/>
  <c r="J409"/>
  <c r="K409" s="1"/>
  <c r="L409" s="1"/>
  <c r="I409"/>
  <c r="I410"/>
  <c r="G410"/>
  <c r="G409"/>
  <c r="J405"/>
  <c r="K405" s="1"/>
  <c r="L405" s="1"/>
  <c r="M401"/>
  <c r="I406"/>
  <c r="G406"/>
  <c r="I405"/>
  <c r="G405"/>
  <c r="I402"/>
  <c r="G402"/>
  <c r="I401"/>
  <c r="G401"/>
  <c r="G398"/>
  <c r="G354"/>
  <c r="K322"/>
  <c r="L322" s="1"/>
  <c r="K318"/>
  <c r="L318" s="1"/>
  <c r="K313"/>
  <c r="L313" s="1"/>
  <c r="I313"/>
  <c r="I314"/>
  <c r="G314"/>
  <c r="G313"/>
  <c r="I309"/>
  <c r="G309"/>
  <c r="L309"/>
  <c r="J305"/>
  <c r="K305" s="1"/>
  <c r="L305" s="1"/>
  <c r="J301"/>
  <c r="L301" s="1"/>
  <c r="M301" s="1"/>
  <c r="I323"/>
  <c r="G323"/>
  <c r="I322"/>
  <c r="G322"/>
  <c r="I315"/>
  <c r="I310"/>
  <c r="I306"/>
  <c r="I305"/>
  <c r="I302"/>
  <c r="I301"/>
  <c r="I318"/>
  <c r="I324"/>
  <c r="G324"/>
  <c r="I319"/>
  <c r="G319"/>
  <c r="G318"/>
  <c r="G315"/>
  <c r="G310"/>
  <c r="G306"/>
  <c r="G305"/>
  <c r="I343"/>
  <c r="I344" s="1"/>
  <c r="D342" s="1"/>
  <c r="G343"/>
  <c r="I340"/>
  <c r="G340"/>
  <c r="I339"/>
  <c r="G339"/>
  <c r="I336"/>
  <c r="G336"/>
  <c r="K335"/>
  <c r="M335" s="1"/>
  <c r="I335"/>
  <c r="G335"/>
  <c r="I332"/>
  <c r="G332"/>
  <c r="N331"/>
  <c r="L331"/>
  <c r="I331"/>
  <c r="G331"/>
  <c r="I337" l="1"/>
  <c r="D334" s="1"/>
  <c r="D337" s="1"/>
  <c r="G337" s="1"/>
  <c r="K541"/>
  <c r="K582"/>
  <c r="I411"/>
  <c r="D408" s="1"/>
  <c r="D411" s="1"/>
  <c r="G411" s="1"/>
  <c r="I320"/>
  <c r="D317" s="1"/>
  <c r="D320" s="1"/>
  <c r="G320" s="1"/>
  <c r="I403"/>
  <c r="D400" s="1"/>
  <c r="D403" s="1"/>
  <c r="G403" s="1"/>
  <c r="I407"/>
  <c r="D404" s="1"/>
  <c r="D407" s="1"/>
  <c r="G407" s="1"/>
  <c r="P382"/>
  <c r="Q382" s="1"/>
  <c r="I341"/>
  <c r="D338" s="1"/>
  <c r="D341" s="1"/>
  <c r="G341" s="1"/>
  <c r="I316"/>
  <c r="D312" s="1"/>
  <c r="I325"/>
  <c r="D321" s="1"/>
  <c r="G321" s="1"/>
  <c r="I333"/>
  <c r="D330" s="1"/>
  <c r="G330" s="1"/>
  <c r="G342"/>
  <c r="D344"/>
  <c r="G344" s="1"/>
  <c r="L335"/>
  <c r="I328"/>
  <c r="D326" s="1"/>
  <c r="G327"/>
  <c r="I303"/>
  <c r="D300" s="1"/>
  <c r="D303" s="1"/>
  <c r="G303" s="1"/>
  <c r="G302"/>
  <c r="G301"/>
  <c r="G298"/>
  <c r="N264"/>
  <c r="I268"/>
  <c r="G268"/>
  <c r="I250"/>
  <c r="I251"/>
  <c r="G251"/>
  <c r="G250"/>
  <c r="I231"/>
  <c r="J231" s="1"/>
  <c r="J230"/>
  <c r="I158"/>
  <c r="J158" s="1"/>
  <c r="J123"/>
  <c r="J122"/>
  <c r="J121"/>
  <c r="J120"/>
  <c r="J193"/>
  <c r="L221"/>
  <c r="I203"/>
  <c r="J203" s="1"/>
  <c r="K203" s="1"/>
  <c r="J192"/>
  <c r="J191"/>
  <c r="G232"/>
  <c r="G231"/>
  <c r="G230"/>
  <c r="G220"/>
  <c r="G203"/>
  <c r="G202"/>
  <c r="G201"/>
  <c r="G200"/>
  <c r="G199"/>
  <c r="G197"/>
  <c r="G196"/>
  <c r="G195"/>
  <c r="G194"/>
  <c r="G193"/>
  <c r="G192"/>
  <c r="G191"/>
  <c r="G190"/>
  <c r="G176"/>
  <c r="G175"/>
  <c r="G174"/>
  <c r="G173"/>
  <c r="G172"/>
  <c r="G169"/>
  <c r="G168"/>
  <c r="G167"/>
  <c r="G127"/>
  <c r="G126"/>
  <c r="G159"/>
  <c r="G158"/>
  <c r="G157"/>
  <c r="K150"/>
  <c r="L150" s="1"/>
  <c r="G150"/>
  <c r="G149"/>
  <c r="G125"/>
  <c r="G124"/>
  <c r="G123"/>
  <c r="G122"/>
  <c r="G121"/>
  <c r="G120"/>
  <c r="G133"/>
  <c r="G132"/>
  <c r="G116"/>
  <c r="G115"/>
  <c r="G131"/>
  <c r="G130"/>
  <c r="G129"/>
  <c r="J100"/>
  <c r="J99"/>
  <c r="I72"/>
  <c r="I59"/>
  <c r="G334" l="1"/>
  <c r="G408"/>
  <c r="J453"/>
  <c r="D333"/>
  <c r="G333" s="1"/>
  <c r="G317"/>
  <c r="G400"/>
  <c r="I252"/>
  <c r="G404"/>
  <c r="G312"/>
  <c r="D316"/>
  <c r="G316" s="1"/>
  <c r="G338"/>
  <c r="D325"/>
  <c r="G325" s="1"/>
  <c r="I311"/>
  <c r="D308" s="1"/>
  <c r="I307"/>
  <c r="D304" s="1"/>
  <c r="D328"/>
  <c r="G328" s="1"/>
  <c r="G326"/>
  <c r="G300"/>
  <c r="L520"/>
  <c r="K520"/>
  <c r="K521"/>
  <c r="D311" l="1"/>
  <c r="G311" s="1"/>
  <c r="G308"/>
  <c r="G304"/>
  <c r="D307"/>
  <c r="G307" s="1"/>
  <c r="M520"/>
  <c r="N521" s="1"/>
  <c r="O521" s="1"/>
  <c r="K522"/>
  <c r="L522" s="1"/>
  <c r="M522" s="1"/>
  <c r="I272"/>
  <c r="I259" l="1"/>
  <c r="I260" s="1"/>
  <c r="G259"/>
  <c r="G258"/>
  <c r="I255"/>
  <c r="G255"/>
  <c r="I254"/>
  <c r="G254"/>
  <c r="I256" l="1"/>
  <c r="D257"/>
  <c r="D260" s="1"/>
  <c r="G930" l="1"/>
  <c r="G931"/>
  <c r="G894"/>
  <c r="G895"/>
  <c r="D772"/>
  <c r="G772" s="1"/>
  <c r="D771"/>
  <c r="G771" s="1"/>
  <c r="G509"/>
  <c r="G508"/>
  <c r="G507"/>
  <c r="G595"/>
  <c r="D557"/>
  <c r="D728" s="1"/>
  <c r="J509"/>
  <c r="K509" s="1"/>
  <c r="M509" s="1"/>
  <c r="I509"/>
  <c r="I507"/>
  <c r="J507" s="1"/>
  <c r="I477"/>
  <c r="J477" s="1"/>
  <c r="L477" s="1"/>
  <c r="G477"/>
  <c r="G476"/>
  <c r="G506"/>
  <c r="L537" l="1"/>
  <c r="N509"/>
  <c r="M507"/>
  <c r="N507" s="1"/>
  <c r="L507"/>
  <c r="O507" l="1"/>
  <c r="I273"/>
  <c r="G273"/>
  <c r="G272"/>
  <c r="I269"/>
  <c r="G269"/>
  <c r="I265"/>
  <c r="G265"/>
  <c r="G264"/>
  <c r="I266" l="1"/>
  <c r="I274"/>
  <c r="I270"/>
  <c r="D249"/>
  <c r="D253"/>
  <c r="D256" s="1"/>
  <c r="G256" s="1"/>
  <c r="G260"/>
  <c r="D73"/>
  <c r="G257" l="1"/>
  <c r="G253"/>
  <c r="G617" l="1"/>
  <c r="G616"/>
  <c r="G769" l="1"/>
  <c r="G768"/>
  <c r="G767"/>
  <c r="G543"/>
  <c r="F19" i="2" l="1"/>
  <c r="G794" i="1"/>
  <c r="G593"/>
  <c r="G532"/>
  <c r="G530"/>
  <c r="G529"/>
  <c r="G528"/>
  <c r="I616"/>
  <c r="J616" s="1"/>
  <c r="K616" s="1"/>
  <c r="G582"/>
  <c r="G578"/>
  <c r="J563"/>
  <c r="I563"/>
  <c r="G557"/>
  <c r="G819" l="1"/>
  <c r="J620"/>
  <c r="K620" s="1"/>
  <c r="L620" s="1"/>
  <c r="M620" s="1"/>
  <c r="K563"/>
  <c r="M161" l="1"/>
  <c r="D267" l="1"/>
  <c r="D263"/>
  <c r="G425" s="1"/>
  <c r="D271"/>
  <c r="G271" l="1"/>
  <c r="D274"/>
  <c r="G274" s="1"/>
  <c r="G267"/>
  <c r="D270"/>
  <c r="G270" s="1"/>
  <c r="G263"/>
  <c r="D266"/>
  <c r="G266" s="1"/>
  <c r="G100" l="1"/>
  <c r="G99"/>
  <c r="I62" l="1"/>
  <c r="G32"/>
  <c r="G950" l="1"/>
  <c r="G933" l="1"/>
  <c r="G486" l="1"/>
  <c r="G718" l="1"/>
  <c r="G106" l="1"/>
  <c r="G105"/>
  <c r="G104"/>
  <c r="G925" l="1"/>
  <c r="G935"/>
  <c r="G929"/>
  <c r="G924"/>
  <c r="G926"/>
  <c r="G728" l="1"/>
  <c r="G620"/>
  <c r="I577"/>
  <c r="G747" l="1"/>
  <c r="I276" l="1"/>
  <c r="G279"/>
  <c r="D252"/>
  <c r="G252" s="1"/>
  <c r="I280" l="1"/>
  <c r="I277"/>
  <c r="G939" l="1"/>
  <c r="G942"/>
  <c r="G943"/>
  <c r="G914"/>
  <c r="G918"/>
  <c r="G919"/>
  <c r="G922"/>
  <c r="G923"/>
  <c r="G932"/>
  <c r="G934"/>
  <c r="G276"/>
  <c r="D278"/>
  <c r="G940" l="1"/>
  <c r="G941"/>
  <c r="D275"/>
  <c r="D280"/>
  <c r="G280" s="1"/>
  <c r="G278"/>
  <c r="G1055" l="1"/>
  <c r="C15" i="2" s="1"/>
  <c r="D277" i="1"/>
  <c r="G277" s="1"/>
  <c r="G275"/>
  <c r="G23" l="1"/>
  <c r="G848" l="1"/>
  <c r="G847"/>
  <c r="G846"/>
  <c r="G833"/>
  <c r="G832"/>
  <c r="G831"/>
  <c r="G829"/>
  <c r="G902" l="1"/>
  <c r="C13" i="2"/>
  <c r="G759" i="1" l="1"/>
  <c r="G536" l="1"/>
  <c r="G527"/>
  <c r="G654" l="1"/>
  <c r="G261" l="1"/>
  <c r="G108"/>
  <c r="G107"/>
  <c r="G98"/>
  <c r="G95"/>
  <c r="G77"/>
  <c r="G76"/>
  <c r="G75"/>
  <c r="G74"/>
  <c r="G73"/>
  <c r="G72"/>
  <c r="G68"/>
  <c r="G67"/>
  <c r="G66"/>
  <c r="G65"/>
  <c r="G64"/>
  <c r="G63"/>
  <c r="G62"/>
  <c r="G61"/>
  <c r="G60"/>
  <c r="G59"/>
  <c r="G58"/>
  <c r="G24"/>
  <c r="G25"/>
  <c r="G26"/>
  <c r="G27"/>
  <c r="G763" l="1"/>
  <c r="G762"/>
  <c r="G758"/>
  <c r="G757"/>
  <c r="G22"/>
  <c r="G786" l="1"/>
  <c r="G31" l="1"/>
  <c r="G30"/>
  <c r="G28"/>
  <c r="G51" l="1"/>
  <c r="C5" i="2" s="1"/>
  <c r="C14"/>
  <c r="C10"/>
  <c r="G453" i="1" l="1"/>
  <c r="G519" s="1"/>
  <c r="C11" i="2" l="1"/>
  <c r="G913" i="1" l="1"/>
  <c r="G1162" s="1"/>
  <c r="G87" l="1"/>
  <c r="C6" i="2" l="1"/>
  <c r="G249" i="1" l="1"/>
  <c r="C12" i="2" l="1"/>
  <c r="G442" i="1" l="1"/>
  <c r="C9" i="2"/>
  <c r="C8" l="1"/>
  <c r="C7" l="1"/>
  <c r="C21" s="1"/>
  <c r="C22" l="1"/>
  <c r="C23" s="1"/>
  <c r="F17"/>
  <c r="F21" l="1"/>
  <c r="F20"/>
</calcChain>
</file>

<file path=xl/sharedStrings.xml><?xml version="1.0" encoding="utf-8"?>
<sst xmlns="http://schemas.openxmlformats.org/spreadsheetml/2006/main" count="1830" uniqueCount="532">
  <si>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</si>
  <si>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</si>
  <si>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</si>
  <si>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</si>
  <si>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</si>
  <si>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</si>
  <si>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</si>
  <si>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</si>
  <si>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</si>
  <si>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</si>
  <si>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</si>
  <si>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</si>
  <si>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</si>
  <si>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</si>
  <si>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</si>
  <si>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</si>
  <si>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</si>
  <si>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</si>
  <si>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</si>
  <si>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</si>
  <si>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</si>
  <si>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</si>
  <si>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</si>
  <si>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</si>
  <si>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</si>
  <si>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</si>
  <si>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</si>
  <si>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</si>
  <si>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</si>
  <si>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</si>
  <si>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</si>
  <si>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</si>
  <si>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</si>
  <si>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</si>
  <si>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</si>
  <si>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</si>
  <si>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</si>
  <si>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</si>
  <si>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</si>
  <si>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</si>
  <si>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</si>
  <si>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</si>
  <si>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</si>
  <si>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</si>
  <si>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</si>
  <si>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</si>
  <si>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</si>
  <si>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</si>
  <si>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</si>
  <si>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</si>
  <si>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</si>
  <si>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</si>
  <si>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</si>
  <si>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</si>
  <si>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</si>
  <si>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</si>
  <si>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</si>
  <si>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</si>
  <si>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</si>
  <si>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</si>
  <si>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</si>
  <si>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</si>
  <si>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</si>
  <si>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</si>
  <si>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</si>
  <si>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</si>
  <si>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</si>
  <si>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</si>
  <si>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</si>
  <si>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</si>
  <si>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</si>
  <si>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SECOND FLOOR</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</si>
  <si>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</si>
  <si>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</si>
  <si>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</si>
  <si>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</si>
  <si>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</si>
  <si>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</si>
  <si>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</si>
  <si>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</si>
  <si>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</si>
  <si>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</si>
  <si>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</si>
  <si>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</si>
  <si>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</si>
  <si>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</si>
  <si>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</si>
  <si>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</si>
  <si>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</si>
  <si>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</si>
  <si>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</si>
  <si>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</si>
  <si>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</si>
  <si>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</si>
  <si>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</si>
  <si>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</si>
  <si>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</si>
  <si>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</si>
  <si>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</si>
  <si>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</si>
  <si>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</si>
  <si>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</si>
  <si>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</si>
  <si>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</si>
  <si>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</si>
  <si>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</si>
  <si>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</si>
  <si>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</si>
  <si>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</si>
  <si>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</si>
  <si>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</si>
  <si>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</si>
  <si>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</si>
  <si>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</si>
  <si>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</si>
  <si>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</si>
  <si>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</si>
  <si>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</si>
  <si>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</si>
  <si>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</si>
  <si>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</si>
  <si>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</si>
  <si>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Painting exterior surfaces of External Wall, Columns &amp; beams.</t>
  </si>
  <si>
    <t xml:space="preserve">Painting interior surfaces Wall, Columns &amp; beams) </t>
  </si>
  <si>
    <t>Painting Soffit of slab (Ceiling)</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</si>
  <si>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</si>
  <si>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</si>
  <si>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</si>
  <si>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</si>
  <si>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</si>
  <si>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</si>
  <si>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</si>
  <si>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</si>
  <si>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</si>
  <si>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</si>
  <si>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</si>
  <si>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WC with basin</t>
  </si>
  <si>
    <t>Wash basin tap</t>
  </si>
  <si>
    <t xml:space="preserve">Toilet paper holder </t>
  </si>
  <si>
    <t xml:space="preserve">Mirror set </t>
  </si>
  <si>
    <t xml:space="preserve">Muslim Shower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</si>
  <si>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</si>
  <si>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</si>
  <si>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</si>
  <si>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</si>
  <si>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</si>
  <si>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</si>
  <si>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</si>
  <si>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</si>
  <si>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</si>
  <si>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</si>
  <si>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</si>
  <si>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</si>
  <si>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</si>
  <si>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</si>
  <si>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</si>
  <si>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</si>
  <si>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</si>
  <si>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</si>
  <si>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</si>
  <si>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</si>
  <si>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</si>
  <si>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</si>
  <si>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</si>
  <si>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</si>
  <si>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</si>
  <si>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</si>
  <si>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</si>
  <si>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 xml:space="preserve">(b)Rates shall include for External plastering shall 20mm thick (12+8mm)  2 coats in 1:4 cement and river sand mix ratio </t>
  </si>
  <si>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</si>
  <si>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</si>
  <si>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</si>
  <si>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</si>
  <si>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1.4</t>
  </si>
  <si>
    <t>SAFETY</t>
  </si>
  <si>
    <t>WOOD WORK &amp;  CEILING</t>
  </si>
  <si>
    <t>1 )</t>
  </si>
  <si>
    <t>2 )</t>
  </si>
  <si>
    <t>PREPARED BY</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</si>
  <si>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</si>
  <si>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</si>
  <si>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</si>
  <si>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</si>
  <si>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</si>
  <si>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</si>
  <si>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</si>
  <si>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</si>
  <si>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</si>
  <si>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</si>
  <si>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</si>
  <si>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</si>
  <si>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</si>
  <si>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</si>
  <si>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</si>
  <si>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</si>
  <si>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</si>
  <si>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</si>
  <si>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</si>
  <si>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 xml:space="preserve">Floor drain with trap </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</si>
  <si>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</si>
  <si>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</si>
  <si>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</si>
  <si>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</si>
  <si>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</si>
  <si>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</si>
  <si>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</si>
  <si>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</si>
  <si>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</si>
  <si>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</si>
  <si>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</si>
  <si>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</si>
  <si>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</si>
  <si>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</si>
  <si>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</si>
  <si>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</si>
  <si>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</si>
  <si>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</si>
  <si>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</si>
  <si>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</si>
  <si>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</si>
  <si>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</si>
  <si>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</si>
  <si>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Toilets</t>
  </si>
  <si>
    <r>
      <t xml:space="preserve">Apply 2 coats of Water proofing Compound, </t>
    </r>
    <r>
      <rPr>
        <b/>
        <sz val="9"/>
        <rFont val="Times New Roman"/>
        <family val="1"/>
      </rPr>
      <t xml:space="preserve">Moya Proof HF, </t>
    </r>
    <r>
      <rPr>
        <sz val="9"/>
        <rFont val="Times New Roman"/>
        <family val="1"/>
      </rPr>
      <t xml:space="preserve">on wet surfaces - Toilets, Balcony and Terrace Floors. </t>
    </r>
  </si>
  <si>
    <t>Charges for Piping for  fresh water Pipe work</t>
  </si>
  <si>
    <t>Charges for Piping for Ground water supply pipe work.</t>
  </si>
  <si>
    <t>Wash basin with trap including counter slab</t>
  </si>
  <si>
    <t>Water taps</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</si>
  <si>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</si>
  <si>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</si>
  <si>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</si>
  <si>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</si>
  <si>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</si>
  <si>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</si>
  <si>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</si>
  <si>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</si>
  <si>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</si>
  <si>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</si>
  <si>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</si>
  <si>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</si>
  <si>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Cabling to TV points</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</si>
  <si>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</si>
  <si>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</si>
  <si>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</si>
  <si>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</si>
  <si>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</si>
  <si>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</si>
  <si>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</si>
  <si>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</si>
  <si>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</si>
  <si>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</si>
  <si>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</si>
  <si>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STEP TILING</t>
  </si>
  <si>
    <t xml:space="preserve">SKIRTING </t>
  </si>
  <si>
    <t>(a) Rates shall include for: Fixing, bedding, grouting, and pointing materials, making good around pipes, sanitary fixtures, and similar; cleaning &amp; Polishing.</t>
  </si>
  <si>
    <r>
      <t xml:space="preserve">(c) Tiles for bed rooms, offices, Kitchen, Living, Dining, corridors, all general areas shall be </t>
    </r>
    <r>
      <rPr>
        <b/>
        <sz val="9"/>
        <rFont val="Times New Roman"/>
        <family val="1"/>
      </rPr>
      <t>600 x 600mm Polished Porcelain/Homogeneous tiles.</t>
    </r>
  </si>
  <si>
    <t>(b) All Tiling work in accordance with specifications and finishes schedule.</t>
  </si>
  <si>
    <t>A )</t>
  </si>
  <si>
    <t>B )</t>
  </si>
  <si>
    <t>C )</t>
  </si>
  <si>
    <t>D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</si>
  <si>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</si>
  <si>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</si>
  <si>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</si>
  <si>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</si>
  <si>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</si>
  <si>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Charges for supplying special tiles grout Conmix C800 / Conmix C500 for fixing tiles to all floors.</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</si>
  <si>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</si>
  <si>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</si>
  <si>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</si>
  <si>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</si>
  <si>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</si>
  <si>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</si>
  <si>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</si>
  <si>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600 x 600mm Polished Porcelain tiles</t>
  </si>
  <si>
    <t>Homogeneous/Porcelain Step Tiles</t>
  </si>
  <si>
    <t>300 x 300mm Non slip Ceramic Tiles</t>
  </si>
  <si>
    <t>300 x 600mm Polished Ceramic Wall Tiles.  (Rate shall include for 300 x 100mm Design border tiles @ 1200mm high on toilet walls)</t>
  </si>
  <si>
    <t>600 x 600mm Non slip Porcelain tiles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</si>
  <si>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</si>
  <si>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</si>
  <si>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</si>
  <si>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</si>
  <si>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</si>
  <si>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</si>
  <si>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</si>
  <si>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S.S. Railing  - Staircase</t>
  </si>
  <si>
    <t>Stair case</t>
  </si>
  <si>
    <t>300 x 600mm Polished Ceramic Wall Tiles 2.7m height.   (Rate shall include for 300 x 100mm Design border tiles @ 1200mm high on toilet walls)</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</si>
  <si>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</si>
  <si>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</si>
  <si>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</si>
  <si>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</si>
  <si>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</si>
  <si>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</si>
  <si>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(c) All Timber door frames shall be treated 
timber. Rate shall include for Paint/Varnish finish.</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</si>
  <si>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</si>
  <si>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</si>
  <si>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</si>
  <si>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</si>
  <si>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</si>
  <si>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</si>
  <si>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</si>
  <si>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</si>
  <si>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</si>
  <si>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600 x 600mm Non Slip Porcelain tiles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</si>
  <si>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</si>
  <si>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</si>
  <si>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</si>
  <si>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</si>
  <si>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250mm thick highly compacted hard core from Ground floor to below ground floor slab</t>
  </si>
  <si>
    <t>50mm thick Cement/sand blinding layer (1:10 - Cement &amp; Local Sand mix) to receive damp proof membrane below ground floor slab</t>
  </si>
  <si>
    <t>Footings F1 to F6 &amp; F8</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</si>
  <si>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</si>
  <si>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</si>
  <si>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</si>
  <si>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</si>
  <si>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</si>
  <si>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</si>
  <si>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</si>
  <si>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</si>
  <si>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</si>
  <si>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</si>
  <si>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</si>
  <si>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</si>
  <si>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</si>
  <si>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4.4</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</si>
  <si>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</si>
  <si>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</si>
  <si>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</si>
  <si>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</si>
  <si>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</si>
  <si>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</si>
  <si>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</si>
  <si>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</si>
  <si>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</si>
  <si>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</si>
  <si>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</si>
  <si>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</si>
  <si>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</si>
  <si>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</si>
  <si>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</si>
  <si>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</si>
  <si>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</si>
  <si>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</si>
  <si>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</si>
  <si>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PARAPET WALL</t>
  </si>
  <si>
    <t>Charges for construction of 100mm thick R.c.c.Parapet wall at First floor and Second floor as per details. (Refer drawing no:A 18) Rate shall include for Shuttering and Reinforcement work complete.</t>
  </si>
  <si>
    <t>300x150x150mm solid block wall</t>
  </si>
  <si>
    <t>Interior walls</t>
  </si>
  <si>
    <t>External walls</t>
  </si>
  <si>
    <r>
      <t xml:space="preserve">300x150x100mm solid block </t>
    </r>
    <r>
      <rPr>
        <b/>
        <sz val="9"/>
        <color theme="1"/>
        <rFont val="Times New Roman"/>
        <family val="1"/>
      </rPr>
      <t>Double</t>
    </r>
    <r>
      <rPr>
        <sz val="9"/>
        <color theme="1"/>
        <rFont val="Times New Roman"/>
        <family val="1"/>
      </rPr>
      <t xml:space="preserve"> wall - 200mm thick</t>
    </r>
  </si>
  <si>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</si>
  <si>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</si>
  <si>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</si>
  <si>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</si>
  <si>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</si>
  <si>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</si>
  <si>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</si>
  <si>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</si>
  <si>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</si>
  <si>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</si>
  <si>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Toilet walls @ 3M height</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</si>
  <si>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</si>
  <si>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</si>
  <si>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</si>
  <si>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Second floor - Class room and Store</t>
  </si>
  <si>
    <t>Roof level - Eave Ceiling</t>
  </si>
  <si>
    <t>S.S. Railing  - STAIRCASE</t>
  </si>
  <si>
    <t>S.S. Railing  - BALCONY</t>
  </si>
  <si>
    <t>Eave Ceiling</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</si>
  <si>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</si>
  <si>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</si>
  <si>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</si>
  <si>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</si>
  <si>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</si>
  <si>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</si>
  <si>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</si>
  <si>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</si>
  <si>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</si>
  <si>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</si>
  <si>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</si>
  <si>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</si>
  <si>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</si>
  <si>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</si>
  <si>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</si>
  <si>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</si>
  <si>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</si>
  <si>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</si>
  <si>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</si>
  <si>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</si>
  <si>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</si>
  <si>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</si>
  <si>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</si>
  <si>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</si>
  <si>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</si>
  <si>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</si>
  <si>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</si>
  <si>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</si>
  <si>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</si>
  <si>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</si>
  <si>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</si>
  <si>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</si>
  <si>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VGA Sockets - VGA 01 &amp; VGA 02</t>
  </si>
  <si>
    <t>Ceiling Light - L 09</t>
  </si>
  <si>
    <t>1 x 13A Power Socket - P01 &amp; P05</t>
  </si>
  <si>
    <t xml:space="preserve">Supply, Fabrication and Fixing S.S.Railing - Fixed at Middle of the Staircase as per details </t>
  </si>
  <si>
    <t xml:space="preserve">Supply, Fabrication and Installation of  40mm dia. S.S.Pipe Fixed at both Sides of the Staircase as per details </t>
  </si>
  <si>
    <t xml:space="preserve"> TOTAL           Mrf</t>
  </si>
  <si>
    <t>6% GST           Mrf</t>
  </si>
  <si>
    <t>GRAND TOTAL          Mrf</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</si>
  <si>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</si>
  <si>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</si>
  <si>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</si>
  <si>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</si>
  <si>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</si>
  <si>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</si>
  <si>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</si>
  <si>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</si>
  <si>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</si>
  <si>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</si>
  <si>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</si>
  <si>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</si>
  <si>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</si>
  <si>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</si>
  <si>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</si>
  <si>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</si>
  <si>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</si>
  <si>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</si>
  <si>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</si>
  <si>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</si>
  <si>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</si>
  <si>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</si>
  <si>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</si>
  <si>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</si>
  <si>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</si>
  <si>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GROUND WATER WELL</t>
  </si>
  <si>
    <t>Charges for Construction and  Installation of 1200mm dia. R.c.c. Ground water well, Base slab &amp; Top cover slab as per drawing details. Rate shall include for; Excavation, form work, reinforcement, Lifting hooks, gravel filling etc complete.</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</si>
  <si>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</si>
  <si>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</si>
  <si>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</si>
  <si>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</si>
  <si>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</si>
  <si>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</si>
  <si>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</si>
  <si>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Provision to remove excess quantity given in the bill quantities than the drawing details</t>
  </si>
  <si>
    <t>TOTAL OF BILL No: 13 - Carried over to summary</t>
  </si>
  <si>
    <t>BILL No: 13 - ADDITIONS</t>
  </si>
  <si>
    <t>BILL No: 14</t>
  </si>
  <si>
    <t>BILL No: 14 - OMISSIONS</t>
  </si>
  <si>
    <t>TOTAL OF BILL No: 14 - Carried over to summary</t>
  </si>
  <si>
    <t>Footings F1 to  F8</t>
  </si>
  <si>
    <t>C1 , 200 x 200mm x 29nos: (4515mm H)</t>
  </si>
  <si>
    <t>C2 , 400 x 200mm x 04nos: (4515mm H)</t>
  </si>
  <si>
    <t>SC, 150 x 150mm x 06nos: (4065mm H)</t>
  </si>
  <si>
    <t>C1 , 200 x 200mm x 29nos: (3500mm H)</t>
  </si>
  <si>
    <t>C2 , 400 x 200mm x 04nos: (3500mm H)</t>
  </si>
  <si>
    <t>SC, 150 x 150mm x 06nos: (3500mm H)</t>
  </si>
  <si>
    <t>STORE SLAB BEAM</t>
  </si>
  <si>
    <t>2.5</t>
  </si>
  <si>
    <t>STORE SLAB</t>
  </si>
  <si>
    <t>150mm thick R.c.c. Slab</t>
  </si>
  <si>
    <t>3.5</t>
  </si>
  <si>
    <t>3.6</t>
  </si>
  <si>
    <t>C1 , 200 x 200mm x 29nos: (4655mm H)</t>
  </si>
  <si>
    <t>C2 , 400 x 200mm x 04nos: (4655mm H)</t>
  </si>
  <si>
    <t>SC, 150 x 150mm x 06nos: (4655mm H)</t>
  </si>
  <si>
    <t>SC, 150 x 150mm x 06nos: (3050mm H)</t>
  </si>
  <si>
    <t xml:space="preserve">C1 , 200 x 200mm x 29nos: (3500mm H) </t>
  </si>
  <si>
    <t>SC, 150 x 150mm x 06nos: (3100mm H)</t>
  </si>
  <si>
    <t>C1 , 200 x 200mm x 29nos:</t>
  </si>
  <si>
    <t>C2, 400 x 200mm x 04nos</t>
  </si>
  <si>
    <t>SC, 150 x 150 x 06nos:</t>
  </si>
  <si>
    <t>STORE FLOOR SLAB</t>
  </si>
  <si>
    <t>(c) Quantity is measured to the edges of concrete foundation members. Rates shall be inclusive for any additional concrete required to place the formwork.</t>
  </si>
  <si>
    <t>(b) Mix ratio for  reinforced concrete shall be 1:2:3 and lean concrete shall be 1:2:6 by volume.</t>
  </si>
  <si>
    <r>
      <t xml:space="preserve">300x150x100mm solid block </t>
    </r>
    <r>
      <rPr>
        <b/>
        <sz val="9"/>
        <color theme="1"/>
        <rFont val="Times New Roman"/>
        <family val="1"/>
      </rPr>
      <t>Double</t>
    </r>
    <r>
      <rPr>
        <sz val="9"/>
        <color theme="1"/>
        <rFont val="Times New Roman"/>
        <family val="1"/>
      </rPr>
      <t xml:space="preserve"> wall - 200mm thick above foundation beams.</t>
    </r>
  </si>
  <si>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</si>
  <si>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</si>
  <si>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</si>
  <si>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Charges for construction of R.c.c. Sills and Lintels for the windows and doors as per details. Rate shall include for shuttering and Reinforcement works complete. (Ground floor to Second floor)</t>
  </si>
  <si>
    <r>
      <t xml:space="preserve">Charges for construction of 200 x 100mm thick </t>
    </r>
    <r>
      <rPr>
        <b/>
        <sz val="9"/>
        <color theme="1"/>
        <rFont val="Times New Roman"/>
        <family val="1"/>
      </rPr>
      <t>R.c.c.Fins</t>
    </r>
    <r>
      <rPr>
        <sz val="9"/>
        <color theme="1"/>
        <rFont val="Times New Roman"/>
        <family val="1"/>
      </rPr>
      <t xml:space="preserve"> and 200 x 100mm LEDGE at Ground floor, First floor and Second floor as per details. (Refer drawing no:A 19) Rate shall include for Shuttering and Reinforcement work complete. (Ground Floor to Second Floor)</t>
    </r>
  </si>
  <si>
    <t>D2 - Solid Timber framed door with Soild Timber door panel, 950 x 2150mm.</t>
  </si>
  <si>
    <t>W1 - Coated Aluminium framed Window with Openable glass panels and Fixed aluminium louvered panels &amp; glass panels at top, 2450 x 1690mm</t>
  </si>
  <si>
    <r>
      <t xml:space="preserve">D1 - Solid Timber framed door with Soild Timber door panel, 950 x 2830mm. </t>
    </r>
    <r>
      <rPr>
        <b/>
        <sz val="9"/>
        <rFont val="Times New Roman"/>
        <family val="1"/>
      </rPr>
      <t>All glazed fix panels shall be double glazed panels.</t>
    </r>
  </si>
  <si>
    <t>D3 - Solid Timber framed door with Soild Timber door panel, 780 x 2000mm.</t>
  </si>
  <si>
    <r>
      <t xml:space="preserve">W2 - Coated Aluminium framed Window with Openable glass panels and Fixed </t>
    </r>
    <r>
      <rPr>
        <b/>
        <sz val="9"/>
        <rFont val="Times New Roman"/>
        <family val="1"/>
      </rPr>
      <t xml:space="preserve">6mm thick blue tinted glazed </t>
    </r>
    <r>
      <rPr>
        <sz val="9"/>
        <rFont val="Times New Roman"/>
        <family val="1"/>
      </rPr>
      <t>panels at top , 1575 x 2000mm</t>
    </r>
  </si>
  <si>
    <t>W4 - Coated Aluminium framed Window with Fixed aluminium louvered panels, 700 x 550mm</t>
  </si>
  <si>
    <t>TYPE 01 - Coated Aluminium frame with Louvered aluminium panels, 3000 x 650mm (Refer Elevation)</t>
  </si>
  <si>
    <t>TYPE 02 - Coated Aluminium frame with Louvered aluminium panels, 1800 x 650mm (Refer Elevation)</t>
  </si>
  <si>
    <r>
      <t xml:space="preserve">W3 - Coated Aluminium framed Window with Openable glass panels and Fixed </t>
    </r>
    <r>
      <rPr>
        <b/>
        <sz val="9"/>
        <rFont val="Times New Roman"/>
        <family val="1"/>
      </rPr>
      <t xml:space="preserve">Aluminium louvered </t>
    </r>
    <r>
      <rPr>
        <sz val="9"/>
        <rFont val="Times New Roman"/>
        <family val="1"/>
      </rPr>
      <t>panels at top , 1240 x 1690mm</t>
    </r>
  </si>
  <si>
    <t>External surface of exeterior wall &amp; Parapet wall</t>
  </si>
  <si>
    <t xml:space="preserve">Corridor / wash </t>
  </si>
  <si>
    <t>Toilet</t>
  </si>
  <si>
    <t>Cleaners' Closet</t>
  </si>
  <si>
    <t>Wash room walls @ 1.8m H</t>
  </si>
  <si>
    <t>Vanity Counter</t>
  </si>
  <si>
    <t xml:space="preserve">Ground floor - Class room </t>
  </si>
  <si>
    <t>First floor - Class room</t>
  </si>
  <si>
    <t>Ground floor - Toilet / Wash room</t>
  </si>
  <si>
    <t>First floor  - Toilet / Wash room</t>
  </si>
  <si>
    <t>Second floor  - Corridor, Toilet / Wash room / Cleaners' Closet / Stair room.</t>
  </si>
  <si>
    <t xml:space="preserve">Supply, Fabrication and Installation of  40mm dia. S.S.Pipe single railing fixed on the side wall of the Staircase as per details </t>
  </si>
  <si>
    <t>Supply, Fabrication and Installation of  S.S.Railing - Staircase as per details (Refer drawing - A16)</t>
  </si>
  <si>
    <t>Angle Valve</t>
  </si>
  <si>
    <t>Ball valve</t>
  </si>
  <si>
    <t>b.1</t>
  </si>
  <si>
    <t>Distribution board for Power Points</t>
  </si>
  <si>
    <t>b.2</t>
  </si>
  <si>
    <t>Distribution board for Light Points</t>
  </si>
  <si>
    <t>a.1</t>
  </si>
  <si>
    <t>a.2</t>
  </si>
  <si>
    <t>a</t>
  </si>
  <si>
    <t xml:space="preserve">Supply and Installation of  STELCO approved brand (Hager / Legrand) Distribution board </t>
  </si>
  <si>
    <t xml:space="preserve">Supply and Installation of STELCO approved Main Panel board with  KWH meters. </t>
  </si>
  <si>
    <t>2 x 13A Power Socket - P02 &amp; P06</t>
  </si>
  <si>
    <t>1 Gang 1 way Switch - P19</t>
  </si>
  <si>
    <t>Cabling - Telephone  points</t>
  </si>
  <si>
    <t>Cabling - Data Network points (Cat 06)</t>
  </si>
  <si>
    <t>VGA Cabling -  Multimedia Projector</t>
  </si>
  <si>
    <t>Cabling - Speaker System</t>
  </si>
  <si>
    <t>Roof Truss - Supply, Fabrication and Fixing Roof Trusses complete with  Base plates, Bolts, nuts, Washers etc including  Paint Finishes. Refer drawing detail    S 11.</t>
  </si>
  <si>
    <t>2 x 13A Power Socket - P02</t>
  </si>
  <si>
    <t>CLIENT</t>
  </si>
  <si>
    <t>MINISTRY OF EDUCATION</t>
  </si>
  <si>
    <t>REPUBLIC OF MALDIVES</t>
  </si>
  <si>
    <t>1 x 13A Power Socket (WP) - P17</t>
  </si>
  <si>
    <t>(e) Rates shall include for supply and complete installation of fittings and fixtures.</t>
  </si>
  <si>
    <t>BILL OF QUANTITIES</t>
  </si>
  <si>
    <t>GN. FUVAMULAH HAFIZ AHMED SCHOOL
(09 CLASS ROOM BLOCK)</t>
  </si>
  <si>
    <t>PROJECT: GN. FUVAMULAH HAFIZ AHMED SCHOOL</t>
  </si>
  <si>
    <t>PROJECT : HDH. VAIKARADHOO HDH. ATOLL SCHOOL</t>
  </si>
</sst>
</file>

<file path=xl/styles.xml><?xml version="1.0" encoding="utf-8"?>
<styleSheet xmlns="http://schemas.openxmlformats.org/spreadsheetml/2006/main">
  <numFmts count="4">
    <numFmt numFmtId="43" formatCode="_-* #,##0.00_-;\-* #,##0.00_-;_-* &quot;-&quot;??_-;_-@_-"/>
    <numFmt numFmtId="164" formatCode="_(* #,##0.00_);_(* \(#,##0.00\);_(* &quot;-&quot;??_);_(@_)"/>
    <numFmt numFmtId="165" formatCode="_(* #,##0.0_);_(* \(#,##0.0\);_(* &quot;-&quot;??_);_(@_)"/>
    <numFmt numFmtId="166" formatCode="_(* #,##0.000_);_(* \(#,##0.000\);_(* &quot;-&quot;???_);_(@_)"/>
  </numFmts>
  <fonts count="3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sz val="11"/>
      <name val="Arial"/>
      <family val="2"/>
    </font>
    <font>
      <b/>
      <sz val="22"/>
      <name val="Arial"/>
      <family val="2"/>
    </font>
    <font>
      <b/>
      <u/>
      <sz val="11"/>
      <name val="Arial"/>
      <family val="2"/>
    </font>
    <font>
      <b/>
      <sz val="11"/>
      <name val="Arial"/>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41">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medium">
        <color auto="1"/>
      </top>
      <bottom/>
      <diagonal/>
    </border>
    <border>
      <left/>
      <right style="thin">
        <color auto="1"/>
      </right>
      <top/>
      <bottom style="medium">
        <color auto="1"/>
      </bottom>
      <diagonal/>
    </border>
    <border>
      <left style="medium">
        <color auto="1"/>
      </left>
      <right style="medium">
        <color auto="1"/>
      </right>
      <top/>
      <bottom style="medium">
        <color auto="1"/>
      </bottom>
      <diagonal/>
    </border>
    <border>
      <left/>
      <right style="thin">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s>
  <cellStyleXfs count="4">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cellStyleXfs>
  <cellXfs count="455">
    <xf numFmtId="0" fontId="0" fillId="0" borderId="0" xfId="0"/>
    <xf numFmtId="49" fontId="3" fillId="2" borderId="3" xfId="0" applyNumberFormat="1" applyFont="1" applyFill="1" applyBorder="1"/>
    <xf numFmtId="0" fontId="3" fillId="2" borderId="3" xfId="0" applyFont="1" applyFill="1" applyBorder="1"/>
    <xf numFmtId="164"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164"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164" fontId="7" fillId="2" borderId="12" xfId="1" applyFont="1" applyFill="1" applyBorder="1" applyAlignment="1">
      <alignment horizontal="center"/>
    </xf>
    <xf numFmtId="49" fontId="8" fillId="2" borderId="10" xfId="0" applyNumberFormat="1" applyFont="1" applyFill="1" applyBorder="1"/>
    <xf numFmtId="0" fontId="8" fillId="2" borderId="11" xfId="0" applyFont="1" applyFill="1" applyBorder="1"/>
    <xf numFmtId="0" fontId="9" fillId="2" borderId="12" xfId="0" applyFont="1" applyFill="1" applyBorder="1" applyAlignment="1">
      <alignment horizontal="center"/>
    </xf>
    <xf numFmtId="49" fontId="8" fillId="2" borderId="13" xfId="0" applyNumberFormat="1" applyFont="1" applyFill="1" applyBorder="1"/>
    <xf numFmtId="0" fontId="8" fillId="2" borderId="14" xfId="0" applyFont="1" applyFill="1" applyBorder="1"/>
    <xf numFmtId="0" fontId="9" fillId="2" borderId="15" xfId="0" applyFont="1" applyFill="1" applyBorder="1" applyAlignment="1">
      <alignment horizontal="center"/>
    </xf>
    <xf numFmtId="49" fontId="3" fillId="2" borderId="4" xfId="0" applyNumberFormat="1" applyFont="1" applyFill="1" applyBorder="1"/>
    <xf numFmtId="0" fontId="9" fillId="2" borderId="5" xfId="0" applyFont="1" applyFill="1" applyBorder="1" applyAlignment="1">
      <alignment horizontal="center"/>
    </xf>
    <xf numFmtId="164" fontId="9" fillId="2" borderId="6" xfId="0" applyNumberFormat="1" applyFont="1" applyFill="1" applyBorder="1" applyAlignment="1">
      <alignment horizontal="center"/>
    </xf>
    <xf numFmtId="0" fontId="11" fillId="0" borderId="0" xfId="0" applyFont="1"/>
    <xf numFmtId="0" fontId="11" fillId="0" borderId="0" xfId="0" applyFont="1" applyAlignment="1">
      <alignment horizontal="center"/>
    </xf>
    <xf numFmtId="164" fontId="11" fillId="0" borderId="0" xfId="1" applyNumberFormat="1" applyFont="1"/>
    <xf numFmtId="164" fontId="11" fillId="0" borderId="0" xfId="1" applyFont="1"/>
    <xf numFmtId="0" fontId="11" fillId="0" borderId="0" xfId="0" applyFont="1" applyAlignment="1">
      <alignment horizontal="center" vertical="center"/>
    </xf>
    <xf numFmtId="164" fontId="12" fillId="3" borderId="1" xfId="1" applyNumberFormat="1" applyFont="1" applyFill="1" applyBorder="1" applyAlignment="1">
      <alignment horizontal="center"/>
    </xf>
    <xf numFmtId="164" fontId="11" fillId="0" borderId="0" xfId="0" applyNumberFormat="1" applyFont="1" applyAlignment="1">
      <alignment horizontal="center" vertical="center"/>
    </xf>
    <xf numFmtId="0" fontId="11" fillId="0" borderId="1" xfId="0" applyFont="1" applyBorder="1" applyAlignment="1">
      <alignment horizontal="center"/>
    </xf>
    <xf numFmtId="164" fontId="11" fillId="0" borderId="1" xfId="1" applyNumberFormat="1" applyFont="1" applyBorder="1"/>
    <xf numFmtId="164" fontId="11" fillId="0" borderId="1" xfId="1" applyFont="1" applyBorder="1"/>
    <xf numFmtId="164" fontId="11" fillId="0" borderId="2" xfId="1" applyFont="1" applyBorder="1"/>
    <xf numFmtId="164" fontId="11" fillId="0" borderId="0" xfId="0" applyNumberFormat="1" applyFont="1"/>
    <xf numFmtId="0" fontId="17" fillId="0" borderId="0" xfId="0" applyFont="1"/>
    <xf numFmtId="0" fontId="11" fillId="0" borderId="1" xfId="0" applyFont="1" applyBorder="1"/>
    <xf numFmtId="166" fontId="11" fillId="0" borderId="0" xfId="0" applyNumberFormat="1" applyFont="1"/>
    <xf numFmtId="0" fontId="11" fillId="0" borderId="0" xfId="0" applyFont="1" applyAlignment="1">
      <alignment vertical="top"/>
    </xf>
    <xf numFmtId="49" fontId="11" fillId="0" borderId="0" xfId="0" applyNumberFormat="1" applyFont="1"/>
    <xf numFmtId="165" fontId="11" fillId="0" borderId="0" xfId="1" applyNumberFormat="1" applyFont="1"/>
    <xf numFmtId="165" fontId="11" fillId="0" borderId="1" xfId="1" applyNumberFormat="1" applyFont="1" applyBorder="1"/>
    <xf numFmtId="0" fontId="11" fillId="3" borderId="0" xfId="0" applyFont="1" applyFill="1"/>
    <xf numFmtId="0" fontId="18" fillId="6" borderId="1" xfId="0" applyFont="1" applyFill="1" applyBorder="1"/>
    <xf numFmtId="164" fontId="17" fillId="6" borderId="1" xfId="1" applyNumberFormat="1" applyFont="1" applyFill="1" applyBorder="1"/>
    <xf numFmtId="164" fontId="17" fillId="0" borderId="1" xfId="1" applyNumberFormat="1" applyFont="1" applyBorder="1"/>
    <xf numFmtId="0" fontId="17" fillId="0" borderId="0" xfId="0" applyFont="1" applyAlignment="1">
      <alignment horizontal="center" vertical="center"/>
    </xf>
    <xf numFmtId="0" fontId="21" fillId="0" borderId="0" xfId="0" applyFont="1" applyAlignment="1">
      <alignment horizontal="center" vertical="center"/>
    </xf>
    <xf numFmtId="0" fontId="11" fillId="0" borderId="0" xfId="0" applyFont="1" applyBorder="1" applyAlignment="1">
      <alignment horizontal="center"/>
    </xf>
    <xf numFmtId="165" fontId="11" fillId="0" borderId="0" xfId="1" applyNumberFormat="1" applyFont="1" applyBorder="1"/>
    <xf numFmtId="164" fontId="11" fillId="0" borderId="0" xfId="1" applyFont="1" applyBorder="1"/>
    <xf numFmtId="0" fontId="12" fillId="2" borderId="1" xfId="2" applyNumberFormat="1" applyFont="1" applyFill="1" applyBorder="1" applyAlignment="1">
      <alignment horizontal="left" wrapText="1"/>
    </xf>
    <xf numFmtId="43" fontId="11" fillId="0" borderId="0" xfId="0" applyNumberFormat="1" applyFont="1"/>
    <xf numFmtId="0" fontId="11" fillId="0" borderId="0" xfId="0" applyFont="1" applyAlignment="1"/>
    <xf numFmtId="43" fontId="0" fillId="0" borderId="0" xfId="0" applyNumberFormat="1"/>
    <xf numFmtId="0" fontId="0" fillId="0" borderId="2" xfId="0" applyBorder="1" applyAlignment="1"/>
    <xf numFmtId="0" fontId="12" fillId="2" borderId="1" xfId="2" applyNumberFormat="1" applyFont="1" applyFill="1" applyBorder="1" applyAlignment="1">
      <alignment horizontal="left" wrapText="1"/>
    </xf>
    <xf numFmtId="0" fontId="11" fillId="0" borderId="0" xfId="0" applyFont="1" applyAlignment="1">
      <alignment horizontal="center" vertical="top"/>
    </xf>
    <xf numFmtId="43" fontId="11" fillId="0" borderId="0" xfId="0" applyNumberFormat="1" applyFont="1" applyAlignment="1">
      <alignment horizontal="center" vertical="center"/>
    </xf>
    <xf numFmtId="164" fontId="11" fillId="0" borderId="0" xfId="0" applyNumberFormat="1" applyFont="1" applyAlignment="1"/>
    <xf numFmtId="0" fontId="12" fillId="2" borderId="1"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164" fontId="12" fillId="3" borderId="0" xfId="1" applyNumberFormat="1" applyFont="1" applyFill="1" applyBorder="1" applyAlignment="1">
      <alignment horizontal="center"/>
    </xf>
    <xf numFmtId="43" fontId="11" fillId="0" borderId="0" xfId="0" applyNumberFormat="1" applyFont="1" applyAlignment="1"/>
    <xf numFmtId="164" fontId="11" fillId="0" borderId="0" xfId="1" applyNumberFormat="1" applyFont="1" applyBorder="1"/>
    <xf numFmtId="49" fontId="12" fillId="2" borderId="17" xfId="2" applyNumberFormat="1" applyFont="1" applyFill="1" applyBorder="1" applyAlignment="1">
      <alignment horizontal="center" vertical="justify"/>
    </xf>
    <xf numFmtId="0" fontId="14" fillId="2" borderId="18" xfId="2" quotePrefix="1" applyNumberFormat="1" applyFont="1" applyFill="1" applyBorder="1" applyAlignment="1">
      <alignment horizontal="left"/>
    </xf>
    <xf numFmtId="164" fontId="12" fillId="2" borderId="18" xfId="2" applyFont="1" applyFill="1" applyBorder="1" applyAlignment="1">
      <alignment horizontal="center"/>
    </xf>
    <xf numFmtId="164" fontId="12" fillId="3" borderId="18" xfId="1" applyNumberFormat="1" applyFont="1" applyFill="1" applyBorder="1" applyAlignment="1">
      <alignment horizontal="center"/>
    </xf>
    <xf numFmtId="165" fontId="12" fillId="2" borderId="18" xfId="1" applyNumberFormat="1" applyFont="1" applyFill="1" applyBorder="1" applyAlignment="1">
      <alignment horizontal="center"/>
    </xf>
    <xf numFmtId="164" fontId="11" fillId="0" borderId="18" xfId="1" applyFont="1" applyBorder="1"/>
    <xf numFmtId="164" fontId="11" fillId="0" borderId="19" xfId="1" applyFont="1" applyBorder="1"/>
    <xf numFmtId="49" fontId="12" fillId="2" borderId="20" xfId="2" applyNumberFormat="1" applyFont="1" applyFill="1" applyBorder="1" applyAlignment="1">
      <alignment horizontal="center" vertical="justify"/>
    </xf>
    <xf numFmtId="0" fontId="14" fillId="2" borderId="21" xfId="2" quotePrefix="1" applyNumberFormat="1" applyFont="1" applyFill="1" applyBorder="1" applyAlignment="1">
      <alignment horizontal="left"/>
    </xf>
    <xf numFmtId="164" fontId="12" fillId="2" borderId="21" xfId="2" applyFont="1" applyFill="1" applyBorder="1" applyAlignment="1">
      <alignment horizontal="center"/>
    </xf>
    <xf numFmtId="164" fontId="12" fillId="3" borderId="21" xfId="1" applyNumberFormat="1" applyFont="1" applyFill="1" applyBorder="1" applyAlignment="1">
      <alignment horizontal="center"/>
    </xf>
    <xf numFmtId="165" fontId="12" fillId="2" borderId="21" xfId="1" applyNumberFormat="1" applyFont="1" applyFill="1" applyBorder="1" applyAlignment="1">
      <alignment horizontal="center"/>
    </xf>
    <xf numFmtId="164" fontId="11" fillId="0" borderId="21" xfId="1" applyFont="1" applyBorder="1"/>
    <xf numFmtId="164" fontId="17" fillId="0" borderId="22" xfId="1" applyFont="1" applyBorder="1"/>
    <xf numFmtId="49" fontId="12" fillId="2" borderId="26" xfId="2" applyNumberFormat="1" applyFont="1" applyFill="1" applyBorder="1" applyAlignment="1">
      <alignment horizontal="center" vertical="justify"/>
    </xf>
    <xf numFmtId="0" fontId="13" fillId="2" borderId="27" xfId="2" quotePrefix="1" applyNumberFormat="1" applyFont="1" applyFill="1" applyBorder="1" applyAlignment="1">
      <alignment horizontal="center"/>
    </xf>
    <xf numFmtId="164" fontId="14" fillId="2" borderId="27" xfId="2" applyFont="1" applyFill="1" applyBorder="1" applyAlignment="1">
      <alignment horizontal="center"/>
    </xf>
    <xf numFmtId="164" fontId="14" fillId="3" borderId="27" xfId="1" applyNumberFormat="1" applyFont="1" applyFill="1" applyBorder="1" applyAlignment="1">
      <alignment horizontal="center"/>
    </xf>
    <xf numFmtId="165" fontId="12" fillId="2" borderId="27" xfId="1" applyNumberFormat="1" applyFont="1" applyFill="1" applyBorder="1" applyAlignment="1">
      <alignment horizontal="center"/>
    </xf>
    <xf numFmtId="164" fontId="11" fillId="0" borderId="27" xfId="1" applyFont="1" applyBorder="1" applyAlignment="1">
      <alignment horizontal="center" vertical="center" wrapText="1"/>
    </xf>
    <xf numFmtId="164" fontId="11" fillId="0" borderId="28" xfId="1" applyFont="1" applyBorder="1" applyAlignment="1">
      <alignment horizontal="center" vertical="center" wrapText="1"/>
    </xf>
    <xf numFmtId="0" fontId="13" fillId="2" borderId="27" xfId="2" applyNumberFormat="1" applyFont="1" applyFill="1" applyBorder="1" applyAlignment="1">
      <alignment horizontal="center"/>
    </xf>
    <xf numFmtId="0" fontId="14" fillId="2" borderId="27" xfId="2" applyNumberFormat="1" applyFont="1" applyFill="1" applyBorder="1" applyAlignment="1">
      <alignment horizontal="left"/>
    </xf>
    <xf numFmtId="0" fontId="13" fillId="2" borderId="27" xfId="2" applyNumberFormat="1" applyFont="1" applyFill="1" applyBorder="1" applyAlignment="1">
      <alignment horizontal="left"/>
    </xf>
    <xf numFmtId="49" fontId="12" fillId="2" borderId="26" xfId="2" quotePrefix="1" applyNumberFormat="1" applyFont="1" applyFill="1" applyBorder="1" applyAlignment="1">
      <alignment horizontal="center" vertical="justify"/>
    </xf>
    <xf numFmtId="0" fontId="15" fillId="2" borderId="27" xfId="2" applyNumberFormat="1" applyFont="1" applyFill="1" applyBorder="1" applyAlignment="1">
      <alignment horizontal="left"/>
    </xf>
    <xf numFmtId="0" fontId="12" fillId="2" borderId="27" xfId="2" applyNumberFormat="1" applyFont="1" applyFill="1" applyBorder="1" applyAlignment="1">
      <alignment horizontal="left"/>
    </xf>
    <xf numFmtId="0" fontId="13" fillId="2" borderId="27" xfId="2" applyNumberFormat="1" applyFont="1" applyFill="1" applyBorder="1"/>
    <xf numFmtId="164" fontId="12" fillId="2" borderId="27" xfId="2" applyFont="1" applyFill="1" applyBorder="1" applyAlignment="1">
      <alignment horizontal="center"/>
    </xf>
    <xf numFmtId="164" fontId="12" fillId="3" borderId="27" xfId="1" applyNumberFormat="1" applyFont="1" applyFill="1" applyBorder="1" applyAlignment="1">
      <alignment horizontal="center"/>
    </xf>
    <xf numFmtId="0" fontId="12" fillId="2" borderId="27" xfId="2" applyNumberFormat="1" applyFont="1" applyFill="1" applyBorder="1" applyAlignment="1">
      <alignment horizontal="justify"/>
    </xf>
    <xf numFmtId="164" fontId="11" fillId="0" borderId="27" xfId="1" applyFont="1" applyBorder="1"/>
    <xf numFmtId="164" fontId="11" fillId="0" borderId="28" xfId="1" applyFont="1" applyBorder="1"/>
    <xf numFmtId="0" fontId="12" fillId="2" borderId="27" xfId="2" applyNumberFormat="1" applyFont="1" applyFill="1" applyBorder="1"/>
    <xf numFmtId="0" fontId="15" fillId="2" borderId="27" xfId="2" applyNumberFormat="1" applyFont="1" applyFill="1" applyBorder="1"/>
    <xf numFmtId="0" fontId="12" fillId="2" borderId="27" xfId="2" applyNumberFormat="1" applyFont="1" applyFill="1" applyBorder="1" applyAlignment="1">
      <alignment wrapText="1"/>
    </xf>
    <xf numFmtId="49" fontId="12" fillId="2" borderId="26" xfId="2" applyNumberFormat="1" applyFont="1" applyFill="1" applyBorder="1" applyAlignment="1">
      <alignment horizontal="center" vertical="top"/>
    </xf>
    <xf numFmtId="0" fontId="13" fillId="2" borderId="27" xfId="2" applyNumberFormat="1" applyFont="1" applyFill="1" applyBorder="1" applyAlignment="1">
      <alignment vertical="top"/>
    </xf>
    <xf numFmtId="164" fontId="12" fillId="2" borderId="27" xfId="2" applyFont="1" applyFill="1" applyBorder="1" applyAlignment="1">
      <alignment horizontal="center" vertical="top"/>
    </xf>
    <xf numFmtId="164" fontId="12" fillId="3" borderId="27" xfId="1" applyNumberFormat="1" applyFont="1" applyFill="1" applyBorder="1" applyAlignment="1">
      <alignment horizontal="center" vertical="top"/>
    </xf>
    <xf numFmtId="0" fontId="12" fillId="2" borderId="27" xfId="2" applyNumberFormat="1" applyFont="1" applyFill="1" applyBorder="1" applyAlignment="1">
      <alignment vertical="top" wrapText="1"/>
    </xf>
    <xf numFmtId="0" fontId="14" fillId="2" borderId="27" xfId="2" quotePrefix="1" applyNumberFormat="1" applyFont="1" applyFill="1" applyBorder="1" applyAlignment="1">
      <alignment horizontal="left"/>
    </xf>
    <xf numFmtId="0" fontId="12" fillId="3" borderId="27" xfId="3" applyFont="1" applyFill="1" applyBorder="1" applyAlignment="1">
      <alignment horizontal="center"/>
    </xf>
    <xf numFmtId="0" fontId="12" fillId="2" borderId="27" xfId="2" quotePrefix="1" applyNumberFormat="1" applyFont="1" applyFill="1" applyBorder="1" applyAlignment="1">
      <alignment wrapText="1"/>
    </xf>
    <xf numFmtId="0" fontId="12" fillId="2" borderId="27" xfId="2" quotePrefix="1" applyNumberFormat="1" applyFont="1" applyFill="1" applyBorder="1" applyAlignment="1"/>
    <xf numFmtId="0" fontId="12" fillId="2" borderId="28" xfId="2" quotePrefix="1" applyNumberFormat="1" applyFont="1" applyFill="1" applyBorder="1" applyAlignment="1"/>
    <xf numFmtId="49" fontId="11" fillId="0" borderId="26" xfId="0" applyNumberFormat="1" applyFont="1" applyBorder="1" applyAlignment="1">
      <alignment horizontal="center" vertical="center"/>
    </xf>
    <xf numFmtId="0" fontId="11" fillId="0" borderId="27" xfId="0" applyFont="1" applyBorder="1" applyAlignment="1">
      <alignment horizontal="center" vertical="center"/>
    </xf>
    <xf numFmtId="164" fontId="11" fillId="0" borderId="27" xfId="0" applyNumberFormat="1" applyFont="1" applyBorder="1" applyAlignment="1">
      <alignment horizontal="center" vertical="center"/>
    </xf>
    <xf numFmtId="165" fontId="11" fillId="0" borderId="27" xfId="0" applyNumberFormat="1" applyFont="1" applyBorder="1" applyAlignment="1">
      <alignment horizontal="center" vertical="center"/>
    </xf>
    <xf numFmtId="0" fontId="11" fillId="0" borderId="28" xfId="0" applyFont="1" applyBorder="1" applyAlignment="1">
      <alignment horizontal="center" vertical="center"/>
    </xf>
    <xf numFmtId="0" fontId="13" fillId="2" borderId="27" xfId="2" applyNumberFormat="1" applyFont="1" applyFill="1" applyBorder="1" applyAlignment="1">
      <alignment horizontal="justify"/>
    </xf>
    <xf numFmtId="164" fontId="11" fillId="0" borderId="27" xfId="1" applyNumberFormat="1" applyFont="1" applyBorder="1"/>
    <xf numFmtId="165" fontId="11" fillId="0" borderId="27" xfId="1" applyNumberFormat="1" applyFont="1" applyBorder="1"/>
    <xf numFmtId="164" fontId="12" fillId="3" borderId="27" xfId="2" applyNumberFormat="1" applyFont="1" applyFill="1" applyBorder="1" applyAlignment="1">
      <alignment horizontal="center"/>
    </xf>
    <xf numFmtId="164" fontId="13" fillId="2" borderId="27" xfId="2" applyFont="1" applyFill="1" applyBorder="1" applyAlignment="1">
      <alignment horizontal="justify" vertical="top"/>
    </xf>
    <xf numFmtId="164" fontId="12" fillId="3" borderId="27" xfId="1" applyNumberFormat="1" applyFont="1" applyFill="1" applyBorder="1" applyAlignment="1">
      <alignment horizontal="right"/>
    </xf>
    <xf numFmtId="164" fontId="12" fillId="2" borderId="27" xfId="2" applyFont="1" applyFill="1" applyBorder="1" applyAlignment="1">
      <alignment horizontal="justify" vertical="top"/>
    </xf>
    <xf numFmtId="0" fontId="12" fillId="2" borderId="27" xfId="2" applyNumberFormat="1" applyFont="1" applyFill="1" applyBorder="1" applyAlignment="1">
      <alignment horizontal="justify" vertical="top" wrapText="1"/>
    </xf>
    <xf numFmtId="0" fontId="13" fillId="2" borderId="27" xfId="2" applyNumberFormat="1" applyFont="1" applyFill="1" applyBorder="1" applyAlignment="1">
      <alignment horizontal="justify" vertical="top"/>
    </xf>
    <xf numFmtId="0" fontId="12" fillId="2" borderId="27" xfId="2" quotePrefix="1" applyNumberFormat="1" applyFont="1" applyFill="1" applyBorder="1" applyAlignment="1">
      <alignment vertical="justify"/>
    </xf>
    <xf numFmtId="0" fontId="15" fillId="2" borderId="27" xfId="2" quotePrefix="1" applyNumberFormat="1" applyFont="1" applyFill="1" applyBorder="1" applyAlignment="1">
      <alignment horizontal="left" vertical="top"/>
    </xf>
    <xf numFmtId="49" fontId="12" fillId="2" borderId="26" xfId="2" applyNumberFormat="1" applyFont="1" applyFill="1" applyBorder="1" applyAlignment="1">
      <alignment horizontal="center"/>
    </xf>
    <xf numFmtId="0" fontId="12" fillId="2" borderId="27" xfId="2" applyNumberFormat="1" applyFont="1" applyFill="1" applyBorder="1" applyAlignment="1">
      <alignment horizontal="left" wrapText="1"/>
    </xf>
    <xf numFmtId="164" fontId="11" fillId="0" borderId="27" xfId="1" applyFont="1" applyBorder="1" applyAlignment="1"/>
    <xf numFmtId="164" fontId="11" fillId="0" borderId="28" xfId="1" applyFont="1" applyBorder="1" applyAlignment="1"/>
    <xf numFmtId="0" fontId="12" fillId="2" borderId="27" xfId="2" applyNumberFormat="1" applyFont="1" applyFill="1" applyBorder="1" applyAlignment="1">
      <alignment horizontal="left" vertical="top" wrapText="1"/>
    </xf>
    <xf numFmtId="0" fontId="13" fillId="2" borderId="27" xfId="2" applyNumberFormat="1" applyFont="1" applyFill="1" applyBorder="1" applyAlignment="1">
      <alignment horizontal="left" vertical="top" wrapText="1"/>
    </xf>
    <xf numFmtId="0" fontId="12" fillId="2" borderId="27" xfId="2" quotePrefix="1" applyNumberFormat="1" applyFont="1" applyFill="1" applyBorder="1" applyAlignment="1">
      <alignment vertical="top" wrapText="1"/>
    </xf>
    <xf numFmtId="0" fontId="12" fillId="2" borderId="27" xfId="2" quotePrefix="1" applyNumberFormat="1" applyFont="1" applyFill="1" applyBorder="1" applyAlignment="1">
      <alignment vertical="top"/>
    </xf>
    <xf numFmtId="0" fontId="12" fillId="2" borderId="27" xfId="2" applyNumberFormat="1" applyFont="1" applyFill="1" applyBorder="1" applyAlignment="1">
      <alignment vertical="top"/>
    </xf>
    <xf numFmtId="0" fontId="12" fillId="2" borderId="27" xfId="2" applyNumberFormat="1" applyFont="1" applyFill="1" applyBorder="1" applyAlignment="1">
      <alignment horizontal="justify" vertical="top"/>
    </xf>
    <xf numFmtId="0" fontId="12" fillId="2" borderId="27" xfId="2" quotePrefix="1" applyNumberFormat="1" applyFont="1" applyFill="1" applyBorder="1" applyAlignment="1">
      <alignment horizontal="justify" vertical="top"/>
    </xf>
    <xf numFmtId="0" fontId="13" fillId="2" borderId="27" xfId="2" applyNumberFormat="1" applyFont="1" applyFill="1" applyBorder="1" applyAlignment="1">
      <alignment horizontal="center" vertical="top"/>
    </xf>
    <xf numFmtId="0" fontId="12" fillId="2" borderId="28" xfId="2" quotePrefix="1" applyNumberFormat="1" applyFont="1" applyFill="1" applyBorder="1" applyAlignment="1">
      <alignment vertical="top"/>
    </xf>
    <xf numFmtId="49" fontId="14" fillId="5" borderId="26" xfId="2" applyNumberFormat="1" applyFont="1" applyFill="1" applyBorder="1" applyAlignment="1">
      <alignment horizontal="center" vertical="justify"/>
    </xf>
    <xf numFmtId="0" fontId="13" fillId="5" borderId="27" xfId="2" applyNumberFormat="1" applyFont="1" applyFill="1" applyBorder="1" applyAlignment="1">
      <alignment horizontal="justify" vertical="top"/>
    </xf>
    <xf numFmtId="164" fontId="12" fillId="5" borderId="27" xfId="2" applyNumberFormat="1" applyFont="1" applyFill="1" applyBorder="1" applyAlignment="1">
      <alignment horizontal="center"/>
    </xf>
    <xf numFmtId="164" fontId="12" fillId="5" borderId="27" xfId="1" applyNumberFormat="1" applyFont="1" applyFill="1" applyBorder="1" applyAlignment="1">
      <alignment horizontal="center"/>
    </xf>
    <xf numFmtId="165" fontId="12" fillId="5" borderId="27" xfId="1" applyNumberFormat="1" applyFont="1" applyFill="1" applyBorder="1" applyAlignment="1">
      <alignment horizontal="center"/>
    </xf>
    <xf numFmtId="164" fontId="11" fillId="5" borderId="27" xfId="1" applyFont="1" applyFill="1" applyBorder="1" applyAlignment="1">
      <alignment horizontal="center" vertical="center" wrapText="1"/>
    </xf>
    <xf numFmtId="164" fontId="11" fillId="5" borderId="28" xfId="1" applyFont="1" applyFill="1" applyBorder="1" applyAlignment="1">
      <alignment horizontal="center" vertical="center" wrapText="1"/>
    </xf>
    <xf numFmtId="165" fontId="12" fillId="2" borderId="27" xfId="1" applyNumberFormat="1" applyFont="1" applyFill="1" applyBorder="1" applyAlignment="1">
      <alignment horizontal="center" vertical="top"/>
    </xf>
    <xf numFmtId="164" fontId="11" fillId="0" borderId="27" xfId="1" applyFont="1" applyBorder="1" applyAlignment="1">
      <alignment horizontal="center" vertical="top" wrapText="1"/>
    </xf>
    <xf numFmtId="164" fontId="11" fillId="0" borderId="28" xfId="1" applyFont="1" applyBorder="1" applyAlignment="1">
      <alignment horizontal="center" vertical="top" wrapText="1"/>
    </xf>
    <xf numFmtId="49" fontId="12" fillId="5" borderId="26" xfId="2" applyNumberFormat="1" applyFont="1" applyFill="1" applyBorder="1" applyAlignment="1">
      <alignment horizontal="center"/>
    </xf>
    <xf numFmtId="0" fontId="13" fillId="5" borderId="27" xfId="2" applyNumberFormat="1" applyFont="1" applyFill="1" applyBorder="1" applyAlignment="1">
      <alignment horizontal="left" vertical="top"/>
    </xf>
    <xf numFmtId="164" fontId="12" fillId="5" borderId="27" xfId="2" applyFont="1" applyFill="1" applyBorder="1" applyAlignment="1">
      <alignment horizontal="center"/>
    </xf>
    <xf numFmtId="49" fontId="17" fillId="6" borderId="26" xfId="0" applyNumberFormat="1" applyFont="1" applyFill="1" applyBorder="1"/>
    <xf numFmtId="0" fontId="18" fillId="6" borderId="27" xfId="0" applyFont="1" applyFill="1" applyBorder="1" applyAlignment="1">
      <alignment wrapText="1"/>
    </xf>
    <xf numFmtId="0" fontId="17" fillId="6" borderId="27" xfId="0" applyFont="1" applyFill="1" applyBorder="1" applyAlignment="1">
      <alignment horizontal="center"/>
    </xf>
    <xf numFmtId="164" fontId="17" fillId="6" borderId="27" xfId="1" applyNumberFormat="1" applyFont="1" applyFill="1" applyBorder="1"/>
    <xf numFmtId="165" fontId="17" fillId="6" borderId="27" xfId="1" applyNumberFormat="1" applyFont="1" applyFill="1" applyBorder="1"/>
    <xf numFmtId="164" fontId="17" fillId="6" borderId="27" xfId="1" applyFont="1" applyFill="1" applyBorder="1"/>
    <xf numFmtId="164" fontId="17" fillId="6" borderId="28" xfId="1" applyFont="1" applyFill="1" applyBorder="1"/>
    <xf numFmtId="49" fontId="11" fillId="0" borderId="26" xfId="0" applyNumberFormat="1" applyFont="1" applyBorder="1"/>
    <xf numFmtId="0" fontId="11" fillId="0" borderId="27" xfId="0" applyFont="1" applyBorder="1" applyAlignment="1">
      <alignment wrapText="1"/>
    </xf>
    <xf numFmtId="0" fontId="11" fillId="0" borderId="27" xfId="0" applyFont="1" applyBorder="1" applyAlignment="1">
      <alignment horizontal="center"/>
    </xf>
    <xf numFmtId="49" fontId="17" fillId="0" borderId="26" xfId="0" applyNumberFormat="1" applyFont="1" applyBorder="1"/>
    <xf numFmtId="0" fontId="18" fillId="0" borderId="27" xfId="0" applyFont="1" applyBorder="1" applyAlignment="1">
      <alignment wrapText="1"/>
    </xf>
    <xf numFmtId="0" fontId="17" fillId="0" borderId="27" xfId="0" applyFont="1" applyBorder="1" applyAlignment="1">
      <alignment horizontal="center"/>
    </xf>
    <xf numFmtId="164" fontId="17" fillId="0" borderId="27" xfId="1" applyNumberFormat="1" applyFont="1" applyBorder="1"/>
    <xf numFmtId="165" fontId="17" fillId="0" borderId="27" xfId="1" applyNumberFormat="1" applyFont="1" applyBorder="1"/>
    <xf numFmtId="164" fontId="17" fillId="0" borderId="27" xfId="1" applyFont="1" applyBorder="1"/>
    <xf numFmtId="164" fontId="17" fillId="0" borderId="28" xfId="1" applyFont="1" applyBorder="1"/>
    <xf numFmtId="0" fontId="13" fillId="5" borderId="27" xfId="2" applyNumberFormat="1" applyFont="1" applyFill="1" applyBorder="1" applyAlignment="1">
      <alignment horizontal="center" vertical="top"/>
    </xf>
    <xf numFmtId="164" fontId="14" fillId="5" borderId="28" xfId="1" applyNumberFormat="1" applyFont="1" applyFill="1" applyBorder="1"/>
    <xf numFmtId="0" fontId="12" fillId="2" borderId="28" xfId="2" applyNumberFormat="1" applyFont="1" applyFill="1" applyBorder="1" applyAlignment="1">
      <alignment vertical="top" wrapText="1"/>
    </xf>
    <xf numFmtId="0" fontId="12" fillId="2" borderId="28" xfId="2" applyNumberFormat="1" applyFont="1" applyFill="1" applyBorder="1" applyAlignment="1">
      <alignment wrapText="1"/>
    </xf>
    <xf numFmtId="49" fontId="12" fillId="2" borderId="27" xfId="2" applyNumberFormat="1" applyFont="1" applyFill="1" applyBorder="1" applyAlignment="1">
      <alignment horizontal="center"/>
    </xf>
    <xf numFmtId="0" fontId="11" fillId="6" borderId="27" xfId="0" applyFont="1" applyFill="1" applyBorder="1" applyAlignment="1">
      <alignment horizontal="center"/>
    </xf>
    <xf numFmtId="164" fontId="11" fillId="6" borderId="27" xfId="1" applyNumberFormat="1" applyFont="1" applyFill="1" applyBorder="1"/>
    <xf numFmtId="165" fontId="11" fillId="6" borderId="27" xfId="1" applyNumberFormat="1" applyFont="1" applyFill="1" applyBorder="1"/>
    <xf numFmtId="164" fontId="11" fillId="6" borderId="27" xfId="1" applyFont="1" applyFill="1" applyBorder="1"/>
    <xf numFmtId="164" fontId="11" fillId="6" borderId="28" xfId="1" applyFont="1" applyFill="1" applyBorder="1"/>
    <xf numFmtId="0" fontId="10" fillId="0" borderId="27" xfId="0" applyFont="1" applyBorder="1" applyAlignment="1">
      <alignment wrapText="1"/>
    </xf>
    <xf numFmtId="49" fontId="17" fillId="3" borderId="26" xfId="0" applyNumberFormat="1" applyFont="1" applyFill="1" applyBorder="1"/>
    <xf numFmtId="0" fontId="18" fillId="3" borderId="27" xfId="0" applyFont="1" applyFill="1" applyBorder="1" applyAlignment="1">
      <alignment wrapText="1"/>
    </xf>
    <xf numFmtId="0" fontId="17" fillId="3" borderId="27" xfId="0" applyFont="1" applyFill="1" applyBorder="1" applyAlignment="1">
      <alignment horizontal="center"/>
    </xf>
    <xf numFmtId="164" fontId="17" fillId="3" borderId="27" xfId="1" applyNumberFormat="1" applyFont="1" applyFill="1" applyBorder="1"/>
    <xf numFmtId="165" fontId="17" fillId="3" borderId="27" xfId="1" applyNumberFormat="1" applyFont="1" applyFill="1" applyBorder="1"/>
    <xf numFmtId="49" fontId="11" fillId="3" borderId="26" xfId="0" applyNumberFormat="1" applyFont="1" applyFill="1" applyBorder="1"/>
    <xf numFmtId="0" fontId="11" fillId="3" borderId="27" xfId="0" applyFont="1" applyFill="1" applyBorder="1" applyAlignment="1">
      <alignment horizontal="center"/>
    </xf>
    <xf numFmtId="164" fontId="11" fillId="3" borderId="27" xfId="1" applyNumberFormat="1" applyFont="1" applyFill="1" applyBorder="1"/>
    <xf numFmtId="165" fontId="11" fillId="3" borderId="27" xfId="1" applyNumberFormat="1" applyFont="1" applyFill="1" applyBorder="1"/>
    <xf numFmtId="164" fontId="11" fillId="3" borderId="27" xfId="1" applyFont="1" applyFill="1" applyBorder="1"/>
    <xf numFmtId="0" fontId="11" fillId="3" borderId="27" xfId="0" applyFont="1" applyFill="1" applyBorder="1" applyAlignment="1">
      <alignment wrapText="1"/>
    </xf>
    <xf numFmtId="49" fontId="17" fillId="0" borderId="26" xfId="0" applyNumberFormat="1" applyFont="1" applyBorder="1" applyAlignment="1">
      <alignment vertical="top"/>
    </xf>
    <xf numFmtId="49" fontId="11" fillId="0" borderId="26" xfId="0" applyNumberFormat="1" applyFont="1" applyBorder="1" applyAlignment="1">
      <alignment vertical="top"/>
    </xf>
    <xf numFmtId="0" fontId="12" fillId="3" borderId="27" xfId="3" applyFont="1" applyFill="1" applyBorder="1" applyAlignment="1">
      <alignment horizontal="left" wrapText="1"/>
    </xf>
    <xf numFmtId="164" fontId="12" fillId="3" borderId="27" xfId="1" applyFont="1" applyFill="1" applyBorder="1" applyAlignment="1">
      <alignment horizontal="center"/>
    </xf>
    <xf numFmtId="0" fontId="17" fillId="0" borderId="27" xfId="0" applyFont="1" applyBorder="1" applyAlignment="1">
      <alignment wrapText="1"/>
    </xf>
    <xf numFmtId="49" fontId="14" fillId="2" borderId="26" xfId="2" applyNumberFormat="1" applyFont="1" applyFill="1" applyBorder="1" applyAlignment="1">
      <alignment horizontal="center" vertical="justify"/>
    </xf>
    <xf numFmtId="0" fontId="12" fillId="2" borderId="27" xfId="2" applyNumberFormat="1" applyFont="1" applyFill="1" applyBorder="1" applyAlignment="1"/>
    <xf numFmtId="0" fontId="12" fillId="2" borderId="28" xfId="2" applyNumberFormat="1" applyFont="1" applyFill="1" applyBorder="1" applyAlignment="1"/>
    <xf numFmtId="0" fontId="18" fillId="0" borderId="27" xfId="0" applyFont="1" applyBorder="1"/>
    <xf numFmtId="0" fontId="18" fillId="6" borderId="27" xfId="0" applyFont="1" applyFill="1" applyBorder="1"/>
    <xf numFmtId="0" fontId="17" fillId="0" borderId="27" xfId="0" applyFont="1" applyBorder="1"/>
    <xf numFmtId="0" fontId="11" fillId="0" borderId="27" xfId="0" applyFont="1" applyBorder="1"/>
    <xf numFmtId="0" fontId="13" fillId="5" borderId="27" xfId="2" applyNumberFormat="1" applyFont="1" applyFill="1" applyBorder="1" applyAlignment="1">
      <alignment horizontal="center"/>
    </xf>
    <xf numFmtId="164" fontId="14" fillId="5" borderId="28" xfId="2" applyFont="1" applyFill="1" applyBorder="1"/>
    <xf numFmtId="164" fontId="17" fillId="0" borderId="27" xfId="1" applyFont="1" applyBorder="1" applyAlignment="1"/>
    <xf numFmtId="49" fontId="14" fillId="3" borderId="26" xfId="2" applyNumberFormat="1" applyFont="1" applyFill="1" applyBorder="1" applyAlignment="1">
      <alignment horizontal="center" vertical="justify"/>
    </xf>
    <xf numFmtId="0" fontId="13" fillId="3" borderId="27" xfId="2" quotePrefix="1" applyNumberFormat="1" applyFont="1" applyFill="1" applyBorder="1" applyAlignment="1">
      <alignment horizontal="center"/>
    </xf>
    <xf numFmtId="164" fontId="14" fillId="3" borderId="27" xfId="2" applyFont="1" applyFill="1" applyBorder="1" applyAlignment="1">
      <alignment horizontal="center"/>
    </xf>
    <xf numFmtId="165" fontId="12" fillId="3" borderId="27" xfId="1" applyNumberFormat="1" applyFont="1" applyFill="1" applyBorder="1" applyAlignment="1">
      <alignment horizontal="center"/>
    </xf>
    <xf numFmtId="0" fontId="13" fillId="3" borderId="27" xfId="2" applyNumberFormat="1" applyFont="1" applyFill="1" applyBorder="1" applyAlignment="1">
      <alignment horizontal="center"/>
    </xf>
    <xf numFmtId="49" fontId="14" fillId="10" borderId="26" xfId="2" applyNumberFormat="1" applyFont="1" applyFill="1" applyBorder="1" applyAlignment="1">
      <alignment horizontal="center"/>
    </xf>
    <xf numFmtId="0" fontId="13" fillId="10" borderId="27" xfId="2" applyNumberFormat="1" applyFont="1" applyFill="1" applyBorder="1" applyAlignment="1">
      <alignment horizontal="left" wrapText="1"/>
    </xf>
    <xf numFmtId="164" fontId="14" fillId="10" borderId="27" xfId="2" applyFont="1" applyFill="1" applyBorder="1" applyAlignment="1">
      <alignment horizontal="center"/>
    </xf>
    <xf numFmtId="164" fontId="14" fillId="10" borderId="27" xfId="1" applyNumberFormat="1" applyFont="1" applyFill="1" applyBorder="1" applyAlignment="1">
      <alignment horizontal="center"/>
    </xf>
    <xf numFmtId="165" fontId="12" fillId="10" borderId="27" xfId="1" applyNumberFormat="1" applyFont="1" applyFill="1" applyBorder="1" applyAlignment="1">
      <alignment horizontal="center"/>
    </xf>
    <xf numFmtId="164" fontId="11" fillId="10" borderId="27" xfId="1" applyFont="1" applyFill="1" applyBorder="1"/>
    <xf numFmtId="164" fontId="11" fillId="10" borderId="28" xfId="1" applyFont="1" applyFill="1" applyBorder="1"/>
    <xf numFmtId="49" fontId="3" fillId="3" borderId="26" xfId="0" applyNumberFormat="1" applyFont="1" applyFill="1" applyBorder="1" applyAlignment="1">
      <alignment horizontal="center" vertical="center"/>
    </xf>
    <xf numFmtId="0" fontId="23" fillId="3" borderId="27" xfId="0" applyFont="1" applyFill="1" applyBorder="1" applyAlignment="1">
      <alignment vertical="center" wrapText="1"/>
    </xf>
    <xf numFmtId="0" fontId="3" fillId="3" borderId="27" xfId="0" applyFont="1" applyFill="1" applyBorder="1" applyAlignment="1">
      <alignment horizontal="center" vertical="center"/>
    </xf>
    <xf numFmtId="164" fontId="3" fillId="3" borderId="27" xfId="0" applyNumberFormat="1" applyFont="1" applyFill="1" applyBorder="1" applyAlignment="1">
      <alignment horizontal="center" vertical="center"/>
    </xf>
    <xf numFmtId="164" fontId="11" fillId="3" borderId="28" xfId="1" applyFont="1" applyFill="1" applyBorder="1"/>
    <xf numFmtId="49" fontId="3" fillId="6" borderId="26" xfId="0" applyNumberFormat="1" applyFont="1" applyFill="1" applyBorder="1" applyAlignment="1">
      <alignment horizontal="center" vertical="center"/>
    </xf>
    <xf numFmtId="0" fontId="23" fillId="6" borderId="27" xfId="0" applyFont="1" applyFill="1" applyBorder="1" applyAlignment="1">
      <alignment vertical="center" wrapText="1"/>
    </xf>
    <xf numFmtId="0" fontId="3" fillId="6" borderId="27" xfId="0" applyFont="1" applyFill="1" applyBorder="1" applyAlignment="1">
      <alignment horizontal="center" vertical="center"/>
    </xf>
    <xf numFmtId="164" fontId="3" fillId="6" borderId="27" xfId="0" applyNumberFormat="1" applyFont="1" applyFill="1" applyBorder="1" applyAlignment="1">
      <alignment horizontal="center" vertical="center"/>
    </xf>
    <xf numFmtId="0" fontId="3" fillId="3" borderId="27" xfId="0" applyFont="1" applyFill="1" applyBorder="1" applyAlignment="1">
      <alignment vertical="center" wrapText="1"/>
    </xf>
    <xf numFmtId="164" fontId="12" fillId="10" borderId="27" xfId="2" applyFont="1" applyFill="1" applyBorder="1" applyAlignment="1">
      <alignment horizontal="center"/>
    </xf>
    <xf numFmtId="164" fontId="12" fillId="10" borderId="27" xfId="1" applyNumberFormat="1" applyFont="1" applyFill="1" applyBorder="1" applyAlignment="1">
      <alignment horizontal="center"/>
    </xf>
    <xf numFmtId="49" fontId="14" fillId="2" borderId="26" xfId="2" applyNumberFormat="1" applyFont="1" applyFill="1" applyBorder="1" applyAlignment="1">
      <alignment horizontal="center"/>
    </xf>
    <xf numFmtId="165" fontId="12" fillId="6" borderId="27" xfId="1" applyNumberFormat="1" applyFont="1" applyFill="1" applyBorder="1" applyAlignment="1">
      <alignment horizontal="center"/>
    </xf>
    <xf numFmtId="0" fontId="26" fillId="3" borderId="27" xfId="0" applyFont="1" applyFill="1" applyBorder="1" applyAlignment="1">
      <alignment vertical="center" wrapText="1"/>
    </xf>
    <xf numFmtId="49" fontId="14" fillId="5" borderId="26" xfId="2" applyNumberFormat="1" applyFont="1" applyFill="1" applyBorder="1" applyAlignment="1">
      <alignment horizontal="center"/>
    </xf>
    <xf numFmtId="0" fontId="13" fillId="5" borderId="27" xfId="2" applyNumberFormat="1" applyFont="1" applyFill="1" applyBorder="1" applyAlignment="1">
      <alignment horizontal="left" wrapText="1"/>
    </xf>
    <xf numFmtId="164" fontId="11" fillId="5" borderId="27" xfId="1" applyFont="1" applyFill="1" applyBorder="1"/>
    <xf numFmtId="164" fontId="11" fillId="5" borderId="28" xfId="1" applyFont="1" applyFill="1" applyBorder="1"/>
    <xf numFmtId="49" fontId="14" fillId="3" borderId="26" xfId="2" applyNumberFormat="1" applyFont="1" applyFill="1" applyBorder="1" applyAlignment="1">
      <alignment horizontal="center"/>
    </xf>
    <xf numFmtId="0" fontId="12" fillId="3" borderId="27" xfId="2" applyNumberFormat="1" applyFont="1" applyFill="1" applyBorder="1" applyAlignment="1">
      <alignment horizontal="left" wrapText="1"/>
    </xf>
    <xf numFmtId="164" fontId="12" fillId="3" borderId="27" xfId="2" applyFont="1" applyFill="1" applyBorder="1" applyAlignment="1">
      <alignment horizontal="center"/>
    </xf>
    <xf numFmtId="49" fontId="12" fillId="3" borderId="26" xfId="2" applyNumberFormat="1" applyFont="1" applyFill="1" applyBorder="1" applyAlignment="1">
      <alignment horizontal="center" vertical="top"/>
    </xf>
    <xf numFmtId="49" fontId="14" fillId="6" borderId="26" xfId="2" applyNumberFormat="1" applyFont="1" applyFill="1" applyBorder="1" applyAlignment="1">
      <alignment horizontal="center" vertical="justify"/>
    </xf>
    <xf numFmtId="0" fontId="13" fillId="6" borderId="27" xfId="2" applyNumberFormat="1" applyFont="1" applyFill="1" applyBorder="1" applyAlignment="1">
      <alignment horizontal="left" vertical="top"/>
    </xf>
    <xf numFmtId="164" fontId="12" fillId="6" borderId="27" xfId="2" applyFont="1" applyFill="1" applyBorder="1" applyAlignment="1">
      <alignment horizontal="center"/>
    </xf>
    <xf numFmtId="164" fontId="12" fillId="6" borderId="27" xfId="1" applyNumberFormat="1" applyFont="1" applyFill="1" applyBorder="1" applyAlignment="1">
      <alignment horizontal="center"/>
    </xf>
    <xf numFmtId="49" fontId="14" fillId="8" borderId="26" xfId="2" applyNumberFormat="1" applyFont="1" applyFill="1" applyBorder="1" applyAlignment="1">
      <alignment horizontal="center" vertical="justify"/>
    </xf>
    <xf numFmtId="0" fontId="13" fillId="8" borderId="27" xfId="2" applyNumberFormat="1" applyFont="1" applyFill="1" applyBorder="1" applyAlignment="1">
      <alignment horizontal="left" vertical="top"/>
    </xf>
    <xf numFmtId="164" fontId="12" fillId="8" borderId="27" xfId="2" applyFont="1" applyFill="1" applyBorder="1" applyAlignment="1">
      <alignment horizontal="center"/>
    </xf>
    <xf numFmtId="164" fontId="12" fillId="8" borderId="27" xfId="1" applyNumberFormat="1" applyFont="1" applyFill="1" applyBorder="1" applyAlignment="1">
      <alignment horizontal="center"/>
    </xf>
    <xf numFmtId="165" fontId="12" fillId="8" borderId="27" xfId="1" applyNumberFormat="1" applyFont="1" applyFill="1" applyBorder="1" applyAlignment="1">
      <alignment horizontal="center"/>
    </xf>
    <xf numFmtId="164" fontId="11" fillId="8" borderId="27" xfId="1" applyFont="1" applyFill="1" applyBorder="1"/>
    <xf numFmtId="164" fontId="11" fillId="8" borderId="28" xfId="1" applyFont="1" applyFill="1" applyBorder="1"/>
    <xf numFmtId="0" fontId="12" fillId="0" borderId="27" xfId="3" applyFont="1" applyBorder="1" applyAlignment="1">
      <alignment horizontal="left" wrapText="1"/>
    </xf>
    <xf numFmtId="0" fontId="12" fillId="0" borderId="27" xfId="3" applyFont="1" applyFill="1" applyBorder="1" applyAlignment="1">
      <alignment horizontal="center"/>
    </xf>
    <xf numFmtId="0" fontId="12" fillId="7" borderId="27" xfId="1" applyNumberFormat="1" applyFont="1" applyFill="1" applyBorder="1" applyAlignment="1">
      <alignment vertical="center" wrapText="1"/>
    </xf>
    <xf numFmtId="0" fontId="12" fillId="7" borderId="27" xfId="1" applyNumberFormat="1" applyFont="1" applyFill="1" applyBorder="1" applyAlignment="1">
      <alignment vertical="center"/>
    </xf>
    <xf numFmtId="0" fontId="12" fillId="7" borderId="28" xfId="1" applyNumberFormat="1" applyFont="1" applyFill="1" applyBorder="1" applyAlignment="1">
      <alignment vertical="center"/>
    </xf>
    <xf numFmtId="0" fontId="12" fillId="0" borderId="27" xfId="0" applyFont="1" applyBorder="1" applyAlignment="1">
      <alignment vertical="center" wrapText="1"/>
    </xf>
    <xf numFmtId="0" fontId="12" fillId="0" borderId="28" xfId="0" applyFont="1" applyBorder="1" applyAlignment="1">
      <alignment vertical="center" wrapText="1"/>
    </xf>
    <xf numFmtId="0" fontId="12" fillId="2" borderId="27" xfId="3" applyNumberFormat="1" applyFont="1" applyFill="1" applyBorder="1" applyAlignment="1">
      <alignment wrapText="1"/>
    </xf>
    <xf numFmtId="0" fontId="12" fillId="2" borderId="28" xfId="3" applyNumberFormat="1" applyFont="1" applyFill="1" applyBorder="1" applyAlignment="1">
      <alignment wrapText="1"/>
    </xf>
    <xf numFmtId="0" fontId="13" fillId="5" borderId="27" xfId="2" applyNumberFormat="1" applyFont="1" applyFill="1" applyBorder="1" applyAlignment="1">
      <alignment horizontal="left"/>
    </xf>
    <xf numFmtId="0" fontId="14" fillId="6" borderId="27" xfId="3" applyFont="1" applyFill="1" applyBorder="1" applyAlignment="1">
      <alignment horizontal="center"/>
    </xf>
    <xf numFmtId="164" fontId="14" fillId="6" borderId="27" xfId="1" applyNumberFormat="1" applyFont="1" applyFill="1" applyBorder="1" applyAlignment="1">
      <alignment horizontal="center"/>
    </xf>
    <xf numFmtId="165" fontId="14" fillId="6" borderId="27" xfId="1" applyNumberFormat="1" applyFont="1" applyFill="1" applyBorder="1" applyAlignment="1">
      <alignment horizontal="center"/>
    </xf>
    <xf numFmtId="0" fontId="12" fillId="3" borderId="27" xfId="2" applyNumberFormat="1" applyFont="1" applyFill="1" applyBorder="1" applyAlignment="1">
      <alignment horizontal="justify"/>
    </xf>
    <xf numFmtId="0" fontId="12" fillId="2" borderId="28" xfId="2" applyNumberFormat="1" applyFont="1" applyFill="1" applyBorder="1" applyAlignment="1">
      <alignment vertical="top"/>
    </xf>
    <xf numFmtId="0" fontId="12" fillId="2" borderId="27" xfId="3" applyFont="1" applyFill="1" applyBorder="1" applyAlignment="1">
      <alignment horizontal="left" wrapText="1"/>
    </xf>
    <xf numFmtId="0" fontId="12" fillId="0" borderId="27" xfId="3" applyFont="1" applyBorder="1" applyAlignment="1">
      <alignment horizontal="center"/>
    </xf>
    <xf numFmtId="0" fontId="13" fillId="6" borderId="27" xfId="2" applyNumberFormat="1" applyFont="1" applyFill="1" applyBorder="1" applyAlignment="1">
      <alignment horizontal="left"/>
    </xf>
    <xf numFmtId="0" fontId="12" fillId="6" borderId="27" xfId="2" applyNumberFormat="1" applyFont="1" applyFill="1" applyBorder="1" applyAlignment="1">
      <alignment horizontal="center"/>
    </xf>
    <xf numFmtId="164" fontId="12" fillId="6" borderId="28" xfId="2" applyFont="1" applyFill="1" applyBorder="1"/>
    <xf numFmtId="49" fontId="14" fillId="2" borderId="26" xfId="3" applyNumberFormat="1" applyFont="1" applyFill="1" applyBorder="1" applyAlignment="1">
      <alignment horizontal="center"/>
    </xf>
    <xf numFmtId="0" fontId="13" fillId="0" borderId="27" xfId="3" applyFont="1" applyFill="1" applyBorder="1" applyAlignment="1">
      <alignment horizontal="left" wrapText="1"/>
    </xf>
    <xf numFmtId="0" fontId="22" fillId="0" borderId="27" xfId="3" applyFont="1" applyFill="1" applyBorder="1" applyAlignment="1">
      <alignment horizontal="center"/>
    </xf>
    <xf numFmtId="164" fontId="22" fillId="3" borderId="27" xfId="1" applyNumberFormat="1" applyFont="1" applyFill="1" applyBorder="1" applyAlignment="1">
      <alignment horizontal="center"/>
    </xf>
    <xf numFmtId="165" fontId="14" fillId="2" borderId="27" xfId="1" applyNumberFormat="1" applyFont="1" applyFill="1" applyBorder="1" applyAlignment="1">
      <alignment horizontal="center"/>
    </xf>
    <xf numFmtId="49" fontId="14" fillId="6" borderId="26" xfId="1" applyNumberFormat="1" applyFont="1" applyFill="1" applyBorder="1" applyAlignment="1">
      <alignment horizontal="left" vertical="justify"/>
    </xf>
    <xf numFmtId="0" fontId="13" fillId="6" borderId="27" xfId="2" applyNumberFormat="1" applyFont="1" applyFill="1" applyBorder="1" applyAlignment="1">
      <alignment horizontal="justify"/>
    </xf>
    <xf numFmtId="164" fontId="14" fillId="6" borderId="27" xfId="2" applyFont="1" applyFill="1" applyBorder="1" applyAlignment="1">
      <alignment horizontal="center"/>
    </xf>
    <xf numFmtId="164" fontId="14" fillId="6" borderId="27" xfId="1" applyFont="1" applyFill="1" applyBorder="1" applyAlignment="1">
      <alignment horizontal="center"/>
    </xf>
    <xf numFmtId="49" fontId="14" fillId="10" borderId="26" xfId="1" applyNumberFormat="1" applyFont="1" applyFill="1" applyBorder="1" applyAlignment="1">
      <alignment horizontal="left" vertical="justify"/>
    </xf>
    <xf numFmtId="0" fontId="13" fillId="10" borderId="27" xfId="2" applyNumberFormat="1" applyFont="1" applyFill="1" applyBorder="1" applyAlignment="1">
      <alignment horizontal="justify"/>
    </xf>
    <xf numFmtId="164" fontId="12" fillId="10" borderId="27" xfId="1" applyFont="1" applyFill="1" applyBorder="1" applyAlignment="1">
      <alignment horizontal="center"/>
    </xf>
    <xf numFmtId="164" fontId="14" fillId="10" borderId="28" xfId="2" applyFont="1" applyFill="1" applyBorder="1"/>
    <xf numFmtId="49" fontId="12" fillId="3" borderId="26" xfId="1" applyNumberFormat="1" applyFont="1" applyFill="1" applyBorder="1" applyAlignment="1">
      <alignment horizontal="left" vertical="justify"/>
    </xf>
    <xf numFmtId="0" fontId="13" fillId="10" borderId="27" xfId="2" applyNumberFormat="1" applyFont="1" applyFill="1" applyBorder="1" applyAlignment="1">
      <alignment horizontal="left"/>
    </xf>
    <xf numFmtId="0" fontId="13" fillId="10" borderId="27" xfId="3" applyFont="1" applyFill="1" applyBorder="1" applyAlignment="1">
      <alignment horizontal="left" wrapText="1"/>
    </xf>
    <xf numFmtId="0" fontId="14" fillId="10" borderId="27" xfId="3" applyFont="1" applyFill="1" applyBorder="1" applyAlignment="1">
      <alignment horizontal="center"/>
    </xf>
    <xf numFmtId="49" fontId="14" fillId="2" borderId="26" xfId="2" applyNumberFormat="1" applyFont="1" applyFill="1" applyBorder="1" applyAlignment="1">
      <alignment horizontal="left" vertical="justify"/>
    </xf>
    <xf numFmtId="164" fontId="12" fillId="2" borderId="27" xfId="1" applyNumberFormat="1" applyFont="1" applyFill="1" applyBorder="1" applyAlignment="1">
      <alignment horizontal="center"/>
    </xf>
    <xf numFmtId="49" fontId="12" fillId="2" borderId="26" xfId="2" applyNumberFormat="1" applyFont="1" applyFill="1" applyBorder="1" applyAlignment="1">
      <alignment horizontal="left" vertical="justify"/>
    </xf>
    <xf numFmtId="49" fontId="12" fillId="2" borderId="26" xfId="2" applyNumberFormat="1" applyFont="1" applyFill="1" applyBorder="1" applyAlignment="1">
      <alignment horizontal="left"/>
    </xf>
    <xf numFmtId="49" fontId="14" fillId="9" borderId="26" xfId="1" applyNumberFormat="1" applyFont="1" applyFill="1" applyBorder="1" applyAlignment="1">
      <alignment horizontal="left" vertical="justify"/>
    </xf>
    <xf numFmtId="0" fontId="13" fillId="9" borderId="27" xfId="2" applyNumberFormat="1" applyFont="1" applyFill="1" applyBorder="1" applyAlignment="1">
      <alignment horizontal="justify"/>
    </xf>
    <xf numFmtId="164" fontId="14" fillId="9" borderId="27" xfId="2" applyFont="1" applyFill="1" applyBorder="1" applyAlignment="1">
      <alignment horizontal="center"/>
    </xf>
    <xf numFmtId="164" fontId="14" fillId="9" borderId="27" xfId="1" applyFont="1" applyFill="1" applyBorder="1" applyAlignment="1">
      <alignment horizontal="center"/>
    </xf>
    <xf numFmtId="165" fontId="14" fillId="9" borderId="27" xfId="1" applyNumberFormat="1" applyFont="1" applyFill="1" applyBorder="1" applyAlignment="1">
      <alignment horizontal="center"/>
    </xf>
    <xf numFmtId="164" fontId="11" fillId="9" borderId="27" xfId="1" applyFont="1" applyFill="1" applyBorder="1"/>
    <xf numFmtId="164" fontId="11" fillId="9" borderId="28" xfId="1" applyFont="1" applyFill="1" applyBorder="1"/>
    <xf numFmtId="49" fontId="25" fillId="3" borderId="26" xfId="0" applyNumberFormat="1" applyFont="1" applyFill="1" applyBorder="1" applyAlignment="1">
      <alignment horizontal="center" vertical="top"/>
    </xf>
    <xf numFmtId="0" fontId="23" fillId="3" borderId="27" xfId="0" applyFont="1" applyFill="1" applyBorder="1" applyAlignment="1">
      <alignment vertical="justify" wrapText="1"/>
    </xf>
    <xf numFmtId="49" fontId="3" fillId="3" borderId="26" xfId="0" applyNumberFormat="1" applyFont="1" applyFill="1" applyBorder="1" applyAlignment="1">
      <alignment horizontal="center" vertical="top"/>
    </xf>
    <xf numFmtId="0" fontId="3" fillId="3" borderId="27" xfId="0" applyFont="1" applyFill="1" applyBorder="1" applyAlignment="1">
      <alignment wrapText="1"/>
    </xf>
    <xf numFmtId="0" fontId="3" fillId="3" borderId="27" xfId="0" applyFont="1" applyFill="1" applyBorder="1" applyAlignment="1">
      <alignment horizontal="center"/>
    </xf>
    <xf numFmtId="164" fontId="3" fillId="3" borderId="27" xfId="0" applyNumberFormat="1" applyFont="1" applyFill="1" applyBorder="1" applyAlignment="1">
      <alignment horizontal="center"/>
    </xf>
    <xf numFmtId="164" fontId="12" fillId="3" borderId="27" xfId="1" applyNumberFormat="1" applyFont="1" applyFill="1" applyBorder="1" applyAlignment="1"/>
    <xf numFmtId="164" fontId="17" fillId="3" borderId="28" xfId="1" applyFont="1" applyFill="1" applyBorder="1" applyAlignment="1"/>
    <xf numFmtId="0" fontId="3" fillId="3" borderId="27" xfId="0" applyFont="1" applyFill="1" applyBorder="1" applyAlignment="1">
      <alignment vertical="top" wrapText="1"/>
    </xf>
    <xf numFmtId="0" fontId="3" fillId="3" borderId="27" xfId="0" applyFont="1" applyFill="1" applyBorder="1" applyAlignment="1">
      <alignment vertical="justify" wrapText="1"/>
    </xf>
    <xf numFmtId="0" fontId="25" fillId="3" borderId="27" xfId="0" applyFont="1" applyFill="1" applyBorder="1" applyAlignment="1">
      <alignment horizontal="center" vertical="center"/>
    </xf>
    <xf numFmtId="164" fontId="25" fillId="3" borderId="27" xfId="0" applyNumberFormat="1" applyFont="1" applyFill="1" applyBorder="1" applyAlignment="1">
      <alignment horizontal="center" vertical="center"/>
    </xf>
    <xf numFmtId="164" fontId="17" fillId="3" borderId="28" xfId="1" applyFont="1" applyFill="1" applyBorder="1"/>
    <xf numFmtId="165" fontId="12" fillId="2" borderId="26" xfId="1" applyNumberFormat="1" applyFont="1" applyFill="1" applyBorder="1" applyAlignment="1">
      <alignment horizontal="left" vertical="justify"/>
    </xf>
    <xf numFmtId="165" fontId="14" fillId="5" borderId="26" xfId="1" applyNumberFormat="1" applyFont="1" applyFill="1" applyBorder="1" applyAlignment="1">
      <alignment horizontal="left" vertical="justify"/>
    </xf>
    <xf numFmtId="0" fontId="12" fillId="5" borderId="27" xfId="3" applyFont="1" applyFill="1" applyBorder="1" applyAlignment="1">
      <alignment horizontal="center"/>
    </xf>
    <xf numFmtId="164" fontId="12" fillId="5" borderId="27" xfId="1" applyFont="1" applyFill="1" applyBorder="1" applyAlignment="1">
      <alignment horizontal="center"/>
    </xf>
    <xf numFmtId="165" fontId="14" fillId="2" borderId="26" xfId="1" applyNumberFormat="1" applyFont="1" applyFill="1" applyBorder="1" applyAlignment="1">
      <alignment horizontal="left" vertical="justify"/>
    </xf>
    <xf numFmtId="0" fontId="14" fillId="0" borderId="27" xfId="3" applyFont="1" applyBorder="1" applyAlignment="1">
      <alignment horizontal="left" wrapText="1"/>
    </xf>
    <xf numFmtId="0" fontId="14" fillId="0" borderId="27" xfId="3" applyFont="1" applyBorder="1" applyAlignment="1">
      <alignment horizontal="center"/>
    </xf>
    <xf numFmtId="164" fontId="14" fillId="3" borderId="27" xfId="1" applyFont="1" applyFill="1" applyBorder="1" applyAlignment="1">
      <alignment horizontal="center"/>
    </xf>
    <xf numFmtId="165" fontId="14" fillId="11" borderId="26" xfId="1" applyNumberFormat="1" applyFont="1" applyFill="1" applyBorder="1" applyAlignment="1">
      <alignment horizontal="left" vertical="justify"/>
    </xf>
    <xf numFmtId="0" fontId="14" fillId="11" borderId="27" xfId="3" applyFont="1" applyFill="1" applyBorder="1" applyAlignment="1">
      <alignment horizontal="left" wrapText="1"/>
    </xf>
    <xf numFmtId="0" fontId="14" fillId="11" borderId="27" xfId="3" applyFont="1" applyFill="1" applyBorder="1" applyAlignment="1">
      <alignment horizontal="center"/>
    </xf>
    <xf numFmtId="164" fontId="14" fillId="11" borderId="27" xfId="1" applyFont="1" applyFill="1" applyBorder="1" applyAlignment="1">
      <alignment horizontal="center"/>
    </xf>
    <xf numFmtId="165" fontId="14" fillId="11" borderId="27" xfId="1" applyNumberFormat="1" applyFont="1" applyFill="1" applyBorder="1" applyAlignment="1">
      <alignment horizontal="center"/>
    </xf>
    <xf numFmtId="164" fontId="17" fillId="11" borderId="27" xfId="1" applyFont="1" applyFill="1" applyBorder="1"/>
    <xf numFmtId="164" fontId="17" fillId="11" borderId="28" xfId="1" applyFont="1" applyFill="1" applyBorder="1"/>
    <xf numFmtId="165" fontId="14" fillId="2" borderId="26" xfId="1" applyNumberFormat="1" applyFont="1" applyFill="1" applyBorder="1" applyAlignment="1">
      <alignment horizontal="left"/>
    </xf>
    <xf numFmtId="0" fontId="13" fillId="0" borderId="27" xfId="3" applyNumberFormat="1" applyFont="1" applyBorder="1" applyAlignment="1">
      <alignment horizontal="left"/>
    </xf>
    <xf numFmtId="165" fontId="14" fillId="3" borderId="26" xfId="1" applyNumberFormat="1" applyFont="1" applyFill="1" applyBorder="1" applyAlignment="1">
      <alignment horizontal="left" vertical="justify"/>
    </xf>
    <xf numFmtId="0" fontId="14" fillId="3" borderId="27" xfId="3" applyFont="1" applyFill="1" applyBorder="1" applyAlignment="1">
      <alignment horizontal="left" wrapText="1"/>
    </xf>
    <xf numFmtId="0" fontId="14" fillId="3" borderId="27" xfId="3" applyFont="1" applyFill="1" applyBorder="1" applyAlignment="1">
      <alignment horizontal="center"/>
    </xf>
    <xf numFmtId="165" fontId="14" fillId="3" borderId="27" xfId="1" applyNumberFormat="1" applyFont="1" applyFill="1" applyBorder="1" applyAlignment="1">
      <alignment horizontal="center"/>
    </xf>
    <xf numFmtId="164" fontId="17" fillId="3" borderId="27" xfId="1" applyFont="1" applyFill="1" applyBorder="1"/>
    <xf numFmtId="165" fontId="12" fillId="5" borderId="26" xfId="1" applyNumberFormat="1" applyFont="1" applyFill="1" applyBorder="1" applyAlignment="1">
      <alignment horizontal="left" vertical="justify"/>
    </xf>
    <xf numFmtId="165" fontId="12" fillId="3" borderId="26" xfId="1" applyNumberFormat="1" applyFont="1" applyFill="1" applyBorder="1" applyAlignment="1">
      <alignment horizontal="left" vertical="justify"/>
    </xf>
    <xf numFmtId="0" fontId="13" fillId="3" borderId="27" xfId="2" applyNumberFormat="1" applyFont="1" applyFill="1" applyBorder="1" applyAlignment="1">
      <alignment horizontal="left"/>
    </xf>
    <xf numFmtId="0" fontId="14" fillId="2" borderId="30" xfId="2" quotePrefix="1" applyNumberFormat="1" applyFont="1" applyFill="1" applyBorder="1" applyAlignment="1">
      <alignment horizontal="left"/>
    </xf>
    <xf numFmtId="0" fontId="11" fillId="0" borderId="30" xfId="0" applyFont="1" applyBorder="1" applyAlignment="1">
      <alignment horizontal="center"/>
    </xf>
    <xf numFmtId="164" fontId="11" fillId="0" borderId="30" xfId="1" applyFont="1" applyBorder="1"/>
    <xf numFmtId="165" fontId="11" fillId="0" borderId="30" xfId="1" applyNumberFormat="1" applyFont="1" applyBorder="1"/>
    <xf numFmtId="164" fontId="17" fillId="0" borderId="31" xfId="1" applyFont="1" applyBorder="1"/>
    <xf numFmtId="0" fontId="14" fillId="2" borderId="24" xfId="2" quotePrefix="1" applyNumberFormat="1" applyFont="1" applyFill="1" applyBorder="1" applyAlignment="1">
      <alignment horizontal="left"/>
    </xf>
    <xf numFmtId="164" fontId="11" fillId="0" borderId="24" xfId="1" applyFont="1" applyBorder="1"/>
    <xf numFmtId="164" fontId="11" fillId="0" borderId="25" xfId="1" applyFont="1" applyBorder="1"/>
    <xf numFmtId="165" fontId="12" fillId="2" borderId="17" xfId="1" applyNumberFormat="1" applyFont="1" applyFill="1" applyBorder="1" applyAlignment="1">
      <alignment horizontal="left" vertical="justify"/>
    </xf>
    <xf numFmtId="0" fontId="11" fillId="0" borderId="18" xfId="0" applyFont="1" applyBorder="1" applyAlignment="1">
      <alignment horizontal="center"/>
    </xf>
    <xf numFmtId="165" fontId="11" fillId="0" borderId="18" xfId="1" applyNumberFormat="1" applyFont="1" applyBorder="1"/>
    <xf numFmtId="164" fontId="11" fillId="0" borderId="32" xfId="1" applyFont="1" applyBorder="1"/>
    <xf numFmtId="165" fontId="12" fillId="2" borderId="20" xfId="1" applyNumberFormat="1" applyFont="1" applyFill="1" applyBorder="1" applyAlignment="1">
      <alignment horizontal="left" vertical="justify"/>
    </xf>
    <xf numFmtId="0" fontId="11" fillId="0" borderId="21" xfId="0" applyFont="1" applyBorder="1" applyAlignment="1">
      <alignment horizontal="center"/>
    </xf>
    <xf numFmtId="165" fontId="11" fillId="0" borderId="21" xfId="1" applyNumberFormat="1" applyFont="1" applyBorder="1"/>
    <xf numFmtId="164" fontId="11" fillId="0" borderId="33" xfId="1" applyFont="1" applyBorder="1"/>
    <xf numFmtId="164" fontId="11" fillId="0" borderId="19" xfId="1" applyFont="1" applyBorder="1" applyAlignment="1">
      <alignment horizontal="center" vertical="center" wrapText="1"/>
    </xf>
    <xf numFmtId="164" fontId="17" fillId="0" borderId="22" xfId="1" applyFont="1" applyBorder="1" applyAlignment="1">
      <alignment horizontal="center" vertical="center" wrapText="1"/>
    </xf>
    <xf numFmtId="164" fontId="11" fillId="0" borderId="32" xfId="1" applyFont="1" applyBorder="1" applyAlignment="1">
      <alignment horizontal="center" vertical="center" wrapText="1"/>
    </xf>
    <xf numFmtId="164" fontId="11" fillId="0" borderId="33" xfId="1" applyFont="1" applyBorder="1" applyAlignment="1">
      <alignment horizontal="center" vertical="center" wrapText="1"/>
    </xf>
    <xf numFmtId="49" fontId="11" fillId="0" borderId="29" xfId="0" applyNumberFormat="1" applyFont="1" applyBorder="1"/>
    <xf numFmtId="0" fontId="11" fillId="0" borderId="30" xfId="0" applyFont="1" applyBorder="1" applyAlignment="1">
      <alignment wrapText="1"/>
    </xf>
    <xf numFmtId="164" fontId="11" fillId="0" borderId="30" xfId="1" applyNumberFormat="1" applyFont="1" applyBorder="1"/>
    <xf numFmtId="164" fontId="11" fillId="0" borderId="31" xfId="1" applyFont="1" applyBorder="1"/>
    <xf numFmtId="164" fontId="12" fillId="3" borderId="24" xfId="1" applyNumberFormat="1" applyFont="1" applyFill="1" applyBorder="1" applyAlignment="1">
      <alignment horizontal="center"/>
    </xf>
    <xf numFmtId="165" fontId="12" fillId="2" borderId="24" xfId="1" applyNumberFormat="1" applyFont="1" applyFill="1" applyBorder="1" applyAlignment="1">
      <alignment horizontal="center"/>
    </xf>
    <xf numFmtId="164" fontId="12" fillId="3" borderId="30" xfId="1" applyNumberFormat="1" applyFont="1" applyFill="1" applyBorder="1" applyAlignment="1">
      <alignment horizontal="center"/>
    </xf>
    <xf numFmtId="165" fontId="12" fillId="2" borderId="30" xfId="1" applyNumberFormat="1" applyFont="1" applyFill="1" applyBorder="1" applyAlignment="1">
      <alignment horizontal="center"/>
    </xf>
    <xf numFmtId="49" fontId="3" fillId="3" borderId="29" xfId="0" applyNumberFormat="1" applyFont="1" applyFill="1" applyBorder="1" applyAlignment="1">
      <alignment horizontal="center" vertical="center"/>
    </xf>
    <xf numFmtId="0" fontId="3" fillId="3" borderId="30" xfId="0" applyFont="1" applyFill="1" applyBorder="1" applyAlignment="1">
      <alignment vertical="center" wrapText="1"/>
    </xf>
    <xf numFmtId="0" fontId="3" fillId="3" borderId="30" xfId="0" applyFont="1" applyFill="1" applyBorder="1" applyAlignment="1">
      <alignment horizontal="center" vertical="center"/>
    </xf>
    <xf numFmtId="164" fontId="3" fillId="3" borderId="30" xfId="0" applyNumberFormat="1" applyFont="1" applyFill="1" applyBorder="1" applyAlignment="1">
      <alignment horizontal="center" vertical="center"/>
    </xf>
    <xf numFmtId="165" fontId="11" fillId="3" borderId="30" xfId="1" applyNumberFormat="1" applyFont="1" applyFill="1" applyBorder="1"/>
    <xf numFmtId="164" fontId="11" fillId="3" borderId="30" xfId="1" applyFont="1" applyFill="1" applyBorder="1"/>
    <xf numFmtId="164" fontId="11" fillId="3" borderId="31" xfId="1" applyFont="1" applyFill="1" applyBorder="1"/>
    <xf numFmtId="49" fontId="12" fillId="2" borderId="29" xfId="2" applyNumberFormat="1" applyFont="1" applyFill="1" applyBorder="1" applyAlignment="1">
      <alignment horizontal="center" vertical="top"/>
    </xf>
    <xf numFmtId="0" fontId="12" fillId="0" borderId="30" xfId="3" applyFont="1" applyBorder="1" applyAlignment="1">
      <alignment horizontal="left" wrapText="1"/>
    </xf>
    <xf numFmtId="0" fontId="12" fillId="0" borderId="30" xfId="3" applyFont="1" applyFill="1" applyBorder="1" applyAlignment="1">
      <alignment horizontal="center"/>
    </xf>
    <xf numFmtId="164" fontId="11" fillId="0" borderId="30" xfId="1" applyFont="1" applyBorder="1" applyAlignment="1"/>
    <xf numFmtId="164" fontId="11" fillId="0" borderId="31" xfId="1" applyFont="1" applyBorder="1" applyAlignment="1"/>
    <xf numFmtId="49" fontId="14" fillId="2" borderId="23" xfId="2" applyNumberFormat="1" applyFont="1" applyFill="1" applyBorder="1" applyAlignment="1">
      <alignment horizontal="center" vertical="justify"/>
    </xf>
    <xf numFmtId="164" fontId="14" fillId="2" borderId="24" xfId="2" applyFont="1" applyFill="1" applyBorder="1" applyAlignment="1">
      <alignment horizontal="center"/>
    </xf>
    <xf numFmtId="164" fontId="14" fillId="3" borderId="24" xfId="1" applyNumberFormat="1" applyFont="1" applyFill="1" applyBorder="1" applyAlignment="1">
      <alignment horizontal="center"/>
    </xf>
    <xf numFmtId="49" fontId="14" fillId="2" borderId="29" xfId="2" applyNumberFormat="1" applyFont="1" applyFill="1" applyBorder="1" applyAlignment="1">
      <alignment horizontal="center" vertical="justify"/>
    </xf>
    <xf numFmtId="164" fontId="14" fillId="2" borderId="30" xfId="2" applyFont="1" applyFill="1" applyBorder="1" applyAlignment="1">
      <alignment horizontal="center"/>
    </xf>
    <xf numFmtId="164" fontId="14" fillId="3" borderId="30" xfId="1" applyNumberFormat="1" applyFont="1" applyFill="1" applyBorder="1" applyAlignment="1">
      <alignment horizontal="center"/>
    </xf>
    <xf numFmtId="164" fontId="11" fillId="0" borderId="22" xfId="1" applyFont="1" applyBorder="1"/>
    <xf numFmtId="49" fontId="14" fillId="2" borderId="17" xfId="2" applyNumberFormat="1" applyFont="1" applyFill="1" applyBorder="1" applyAlignment="1">
      <alignment horizontal="center" vertical="justify"/>
    </xf>
    <xf numFmtId="49" fontId="14" fillId="2" borderId="20" xfId="2" applyNumberFormat="1" applyFont="1" applyFill="1" applyBorder="1" applyAlignment="1">
      <alignment horizontal="center" vertical="justify"/>
    </xf>
    <xf numFmtId="49" fontId="12" fillId="3" borderId="29" xfId="1" applyNumberFormat="1" applyFont="1" applyFill="1" applyBorder="1" applyAlignment="1">
      <alignment horizontal="left" vertical="justify"/>
    </xf>
    <xf numFmtId="0" fontId="12" fillId="3" borderId="30" xfId="3" applyFont="1" applyFill="1" applyBorder="1" applyAlignment="1">
      <alignment horizontal="left" wrapText="1"/>
    </xf>
    <xf numFmtId="0" fontId="12" fillId="3" borderId="30" xfId="3" applyFont="1" applyFill="1" applyBorder="1" applyAlignment="1">
      <alignment horizontal="center"/>
    </xf>
    <xf numFmtId="164" fontId="12" fillId="3" borderId="30" xfId="1" applyFont="1" applyFill="1" applyBorder="1" applyAlignment="1">
      <alignment horizontal="center"/>
    </xf>
    <xf numFmtId="164" fontId="17" fillId="3" borderId="31" xfId="1" applyFont="1" applyFill="1" applyBorder="1"/>
    <xf numFmtId="49" fontId="3" fillId="3" borderId="29" xfId="0" applyNumberFormat="1" applyFont="1" applyFill="1" applyBorder="1" applyAlignment="1">
      <alignment horizontal="center" vertical="top"/>
    </xf>
    <xf numFmtId="0" fontId="3" fillId="3" borderId="30" xfId="0" applyFont="1" applyFill="1" applyBorder="1" applyAlignment="1">
      <alignment vertical="justify" wrapText="1"/>
    </xf>
    <xf numFmtId="165" fontId="12" fillId="3" borderId="30" xfId="1" applyNumberFormat="1" applyFont="1" applyFill="1" applyBorder="1" applyAlignment="1">
      <alignment horizontal="center"/>
    </xf>
    <xf numFmtId="164" fontId="12" fillId="3" borderId="30" xfId="1" applyNumberFormat="1" applyFont="1" applyFill="1" applyBorder="1" applyAlignment="1"/>
    <xf numFmtId="164" fontId="11" fillId="0" borderId="18" xfId="1" applyNumberFormat="1" applyFont="1" applyBorder="1"/>
    <xf numFmtId="164" fontId="11" fillId="0" borderId="21" xfId="1" applyNumberFormat="1" applyFont="1" applyBorder="1"/>
    <xf numFmtId="0" fontId="12" fillId="3" borderId="18" xfId="3" applyFont="1" applyFill="1" applyBorder="1" applyAlignment="1">
      <alignment horizontal="center"/>
    </xf>
    <xf numFmtId="0" fontId="12" fillId="4" borderId="21" xfId="3" applyFont="1" applyFill="1" applyBorder="1" applyAlignment="1">
      <alignment horizontal="center"/>
    </xf>
    <xf numFmtId="49" fontId="12" fillId="2" borderId="30" xfId="2" applyNumberFormat="1" applyFont="1" applyFill="1" applyBorder="1" applyAlignment="1">
      <alignment horizontal="center"/>
    </xf>
    <xf numFmtId="49" fontId="11" fillId="3" borderId="29" xfId="0" applyNumberFormat="1" applyFont="1" applyFill="1" applyBorder="1"/>
    <xf numFmtId="0" fontId="11" fillId="3" borderId="30" xfId="0" applyFont="1" applyFill="1" applyBorder="1" applyAlignment="1">
      <alignment wrapText="1"/>
    </xf>
    <xf numFmtId="0" fontId="11" fillId="3" borderId="30" xfId="0" applyFont="1" applyFill="1" applyBorder="1" applyAlignment="1">
      <alignment horizontal="center"/>
    </xf>
    <xf numFmtId="164" fontId="11" fillId="3" borderId="30" xfId="1" applyNumberFormat="1" applyFont="1" applyFill="1" applyBorder="1"/>
    <xf numFmtId="49" fontId="12" fillId="2" borderId="23" xfId="2" applyNumberFormat="1" applyFont="1" applyFill="1" applyBorder="1" applyAlignment="1">
      <alignment horizontal="center" vertical="top"/>
    </xf>
    <xf numFmtId="0" fontId="12" fillId="0" borderId="24" xfId="3" applyFont="1" applyBorder="1" applyAlignment="1">
      <alignment horizontal="left" wrapText="1"/>
    </xf>
    <xf numFmtId="0" fontId="12" fillId="0" borderId="24" xfId="3" applyFont="1" applyFill="1" applyBorder="1" applyAlignment="1">
      <alignment horizontal="center"/>
    </xf>
    <xf numFmtId="164" fontId="11" fillId="0" borderId="24" xfId="1" applyFont="1" applyBorder="1" applyAlignment="1"/>
    <xf numFmtId="164" fontId="11" fillId="0" borderId="25" xfId="1" applyFont="1" applyBorder="1" applyAlignment="1"/>
    <xf numFmtId="49" fontId="12" fillId="2" borderId="23" xfId="2" applyNumberFormat="1" applyFont="1" applyFill="1" applyBorder="1" applyAlignment="1">
      <alignment horizontal="center" vertical="justify"/>
    </xf>
    <xf numFmtId="0" fontId="12" fillId="0" borderId="24" xfId="3" applyFont="1" applyBorder="1" applyAlignment="1">
      <alignment horizontal="center"/>
    </xf>
    <xf numFmtId="164" fontId="11" fillId="3" borderId="24" xfId="1" applyFont="1" applyFill="1" applyBorder="1"/>
    <xf numFmtId="164" fontId="17" fillId="3" borderId="25" xfId="1" applyFont="1" applyFill="1" applyBorder="1"/>
    <xf numFmtId="49" fontId="3" fillId="3" borderId="23" xfId="0" applyNumberFormat="1" applyFont="1" applyFill="1" applyBorder="1" applyAlignment="1">
      <alignment horizontal="center" vertical="top"/>
    </xf>
    <xf numFmtId="0" fontId="3" fillId="3" borderId="24" xfId="0" applyFont="1" applyFill="1" applyBorder="1" applyAlignment="1">
      <alignment vertical="justify" wrapText="1"/>
    </xf>
    <xf numFmtId="0" fontId="3" fillId="3" borderId="24" xfId="0" applyFont="1" applyFill="1" applyBorder="1" applyAlignment="1">
      <alignment horizontal="center" vertical="center"/>
    </xf>
    <xf numFmtId="164" fontId="3" fillId="3" borderId="24" xfId="0" applyNumberFormat="1" applyFont="1" applyFill="1" applyBorder="1" applyAlignment="1">
      <alignment horizontal="center" vertical="center"/>
    </xf>
    <xf numFmtId="165" fontId="12" fillId="3" borderId="24" xfId="1" applyNumberFormat="1" applyFont="1" applyFill="1" applyBorder="1" applyAlignment="1">
      <alignment horizontal="center"/>
    </xf>
    <xf numFmtId="164" fontId="12" fillId="3" borderId="24" xfId="1" applyNumberFormat="1" applyFont="1" applyFill="1" applyBorder="1" applyAlignment="1"/>
    <xf numFmtId="49" fontId="11" fillId="0" borderId="38" xfId="0" applyNumberFormat="1" applyFont="1" applyBorder="1" applyAlignment="1">
      <alignment horizontal="center" vertical="center"/>
    </xf>
    <xf numFmtId="0" fontId="11" fillId="0" borderId="39" xfId="0" applyFont="1" applyBorder="1" applyAlignment="1">
      <alignment horizontal="center" vertical="center"/>
    </xf>
    <xf numFmtId="164" fontId="11" fillId="0" borderId="39" xfId="1" applyNumberFormat="1" applyFont="1" applyBorder="1" applyAlignment="1">
      <alignment horizontal="center" vertical="center"/>
    </xf>
    <xf numFmtId="165" fontId="11" fillId="0" borderId="39" xfId="1" applyNumberFormat="1" applyFont="1" applyBorder="1" applyAlignment="1">
      <alignment horizontal="center" vertical="center" wrapText="1"/>
    </xf>
    <xf numFmtId="164" fontId="11" fillId="0" borderId="39" xfId="1" applyFont="1" applyBorder="1" applyAlignment="1">
      <alignment horizontal="center" vertical="center" wrapText="1"/>
    </xf>
    <xf numFmtId="164" fontId="11" fillId="0" borderId="40" xfId="1" applyFont="1" applyBorder="1" applyAlignment="1">
      <alignment horizontal="center" vertical="center" wrapText="1"/>
    </xf>
    <xf numFmtId="0" fontId="27" fillId="0" borderId="36" xfId="0" applyFont="1" applyBorder="1"/>
    <xf numFmtId="0" fontId="27" fillId="0" borderId="0" xfId="0" applyFont="1"/>
    <xf numFmtId="0" fontId="27" fillId="0" borderId="37" xfId="0" applyFont="1" applyBorder="1"/>
    <xf numFmtId="0" fontId="28" fillId="0" borderId="37" xfId="0" applyFont="1" applyBorder="1" applyAlignment="1">
      <alignment horizontal="center"/>
    </xf>
    <xf numFmtId="0" fontId="28" fillId="0" borderId="37" xfId="0" applyFont="1" applyBorder="1" applyAlignment="1">
      <alignment horizontal="center" vertical="center" wrapText="1"/>
    </xf>
    <xf numFmtId="0" fontId="27" fillId="0" borderId="0" xfId="0" applyFont="1" applyAlignment="1">
      <alignment vertical="center"/>
    </xf>
    <xf numFmtId="0" fontId="29" fillId="0" borderId="37" xfId="0" applyFont="1" applyBorder="1" applyAlignment="1">
      <alignment horizontal="center"/>
    </xf>
    <xf numFmtId="0" fontId="27" fillId="0" borderId="37" xfId="0" applyFont="1" applyBorder="1" applyAlignment="1">
      <alignment horizontal="center"/>
    </xf>
    <xf numFmtId="0" fontId="27" fillId="0" borderId="34" xfId="0" applyFont="1" applyBorder="1"/>
    <xf numFmtId="0" fontId="29" fillId="0" borderId="0" xfId="0" applyFont="1"/>
    <xf numFmtId="0" fontId="30" fillId="0" borderId="0" xfId="0" applyFont="1"/>
    <xf numFmtId="0" fontId="27" fillId="0" borderId="37"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20" fillId="0" borderId="0" xfId="0" applyNumberFormat="1" applyFont="1" applyAlignment="1">
      <alignment horizontal="center"/>
    </xf>
    <xf numFmtId="0" fontId="14" fillId="2" borderId="27" xfId="2" applyNumberFormat="1" applyFont="1" applyFill="1" applyBorder="1" applyAlignment="1">
      <alignment horizontal="left" wrapText="1"/>
    </xf>
    <xf numFmtId="0" fontId="14" fillId="2" borderId="27" xfId="2" applyNumberFormat="1" applyFont="1" applyFill="1" applyBorder="1" applyAlignment="1">
      <alignment horizontal="left"/>
    </xf>
    <xf numFmtId="0" fontId="14" fillId="2" borderId="28" xfId="2" applyNumberFormat="1" applyFont="1" applyFill="1" applyBorder="1" applyAlignment="1">
      <alignment horizontal="left"/>
    </xf>
    <xf numFmtId="0" fontId="12" fillId="2" borderId="27" xfId="2" quotePrefix="1" applyNumberFormat="1" applyFont="1" applyFill="1" applyBorder="1" applyAlignment="1">
      <alignment horizontal="left" vertical="top" wrapText="1"/>
    </xf>
    <xf numFmtId="0" fontId="12" fillId="2" borderId="27" xfId="2" applyNumberFormat="1" applyFont="1" applyFill="1" applyBorder="1" applyAlignment="1">
      <alignment vertical="top" wrapText="1"/>
    </xf>
    <xf numFmtId="0" fontId="12" fillId="2" borderId="27" xfId="2" applyNumberFormat="1" applyFont="1" applyFill="1" applyBorder="1" applyAlignment="1">
      <alignment wrapText="1"/>
    </xf>
    <xf numFmtId="0" fontId="12" fillId="2" borderId="27" xfId="2" applyNumberFormat="1" applyFont="1" applyFill="1" applyBorder="1" applyAlignment="1">
      <alignment horizontal="left" wrapText="1"/>
    </xf>
    <xf numFmtId="0" fontId="12" fillId="0" borderId="27" xfId="3" applyFont="1" applyBorder="1" applyAlignment="1">
      <alignment wrapText="1"/>
    </xf>
    <xf numFmtId="0" fontId="12" fillId="2" borderId="16"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0" fontId="12" fillId="2" borderId="35" xfId="2" applyNumberFormat="1" applyFont="1" applyFill="1" applyBorder="1" applyAlignment="1">
      <alignment horizontal="left" wrapText="1"/>
    </xf>
    <xf numFmtId="0" fontId="14" fillId="2" borderId="16" xfId="2" applyNumberFormat="1" applyFont="1" applyFill="1" applyBorder="1" applyAlignment="1">
      <alignment horizontal="left" wrapText="1"/>
    </xf>
    <xf numFmtId="0" fontId="14" fillId="2" borderId="0" xfId="2" applyNumberFormat="1" applyFont="1" applyFill="1" applyBorder="1" applyAlignment="1">
      <alignment horizontal="left" wrapText="1"/>
    </xf>
    <xf numFmtId="0" fontId="14" fillId="2" borderId="35" xfId="2" applyNumberFormat="1" applyFont="1" applyFill="1" applyBorder="1" applyAlignment="1">
      <alignment horizontal="lef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32</xdr:row>
      <xdr:rowOff>104775</xdr:rowOff>
    </xdr:from>
    <xdr:to>
      <xdr:col>0</xdr:col>
      <xdr:colOff>4238624</xdr:colOff>
      <xdr:row>33</xdr:row>
      <xdr:rowOff>752475</xdr:rowOff>
    </xdr:to>
    <xdr:pic>
      <xdr:nvPicPr>
        <xdr:cNvPr id="2"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152649" y="7372350"/>
          <a:ext cx="2085975" cy="79057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32</xdr:row>
      <xdr:rowOff>104775</xdr:rowOff>
    </xdr:from>
    <xdr:to>
      <xdr:col>0</xdr:col>
      <xdr:colOff>4238624</xdr:colOff>
      <xdr:row>33</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152649" y="7372350"/>
          <a:ext cx="2085975" cy="79057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2152649</xdr:colOff>
      <xdr:row>32</xdr:row>
      <xdr:rowOff>104775</xdr:rowOff>
    </xdr:from>
    <xdr:to>
      <xdr:col>0</xdr:col>
      <xdr:colOff>4238624</xdr:colOff>
      <xdr:row>33</xdr:row>
      <xdr:rowOff>790575</xdr:rowOff>
    </xdr:to>
    <xdr:pic>
      <xdr:nvPicPr>
        <xdr:cNvPr id="4"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rcRect/>
        <a:stretch>
          <a:fillRect/>
        </a:stretch>
      </xdr:blipFill>
      <xdr:spPr bwMode="auto">
        <a:xfrm>
          <a:off x="2152649" y="7410450"/>
          <a:ext cx="2085975" cy="8763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44"/>
  <sheetViews>
    <sheetView workbookViewId="0">
      <selection activeCell="A20" sqref="A20"/>
    </sheetView>
  </sheetViews>
  <sheetFormatPr defaultRowHeight="14.25"/>
  <cols>
    <col min="1" max="1" width="100.85546875" style="427" customWidth="1"/>
    <col min="2" max="16384" width="9.140625" style="427"/>
  </cols>
  <sheetData>
    <row r="1" spans="1:1">
      <c r="A1" s="426"/>
    </row>
    <row r="2" spans="1:1">
      <c r="A2" s="428"/>
    </row>
    <row r="3" spans="1:1">
      <c r="A3" s="428"/>
    </row>
    <row r="4" spans="1:1">
      <c r="A4" s="428"/>
    </row>
    <row r="5" spans="1:1">
      <c r="A5" s="428"/>
    </row>
    <row r="6" spans="1:1">
      <c r="A6" s="428"/>
    </row>
    <row r="7" spans="1:1">
      <c r="A7" s="428"/>
    </row>
    <row r="8" spans="1:1" ht="27.75">
      <c r="A8" s="429" t="s">
        <v>528</v>
      </c>
    </row>
    <row r="9" spans="1:1">
      <c r="A9" s="428"/>
    </row>
    <row r="10" spans="1:1">
      <c r="A10" s="428"/>
    </row>
    <row r="11" spans="1:1">
      <c r="A11" s="428"/>
    </row>
    <row r="12" spans="1:1">
      <c r="A12" s="428"/>
    </row>
    <row r="13" spans="1:1">
      <c r="A13" s="428"/>
    </row>
    <row r="14" spans="1:1" ht="55.5">
      <c r="A14" s="430" t="s">
        <v>529</v>
      </c>
    </row>
    <row r="15" spans="1:1">
      <c r="A15" s="428"/>
    </row>
    <row r="16" spans="1:1">
      <c r="A16" s="428"/>
    </row>
    <row r="17" spans="1:1">
      <c r="A17" s="428"/>
    </row>
    <row r="18" spans="1:1">
      <c r="A18" s="428"/>
    </row>
    <row r="19" spans="1:1">
      <c r="A19" s="428"/>
    </row>
    <row r="20" spans="1:1" s="431" customFormat="1" ht="47.25" customHeight="1">
      <c r="A20" s="428"/>
    </row>
    <row r="21" spans="1:1" ht="15">
      <c r="A21" s="432" t="s">
        <v>523</v>
      </c>
    </row>
    <row r="22" spans="1:1">
      <c r="A22" s="433" t="s">
        <v>524</v>
      </c>
    </row>
    <row r="23" spans="1:1">
      <c r="A23" s="433" t="s">
        <v>525</v>
      </c>
    </row>
    <row r="24" spans="1:1">
      <c r="A24" s="433"/>
    </row>
    <row r="25" spans="1:1">
      <c r="A25" s="428"/>
    </row>
    <row r="26" spans="1:1">
      <c r="A26" s="428"/>
    </row>
    <row r="27" spans="1:1">
      <c r="A27" s="428"/>
    </row>
    <row r="28" spans="1:1">
      <c r="A28" s="428"/>
    </row>
    <row r="29" spans="1:1">
      <c r="A29" s="428"/>
    </row>
    <row r="30" spans="1:1">
      <c r="A30" s="428"/>
    </row>
    <row r="31" spans="1:1">
      <c r="A31" s="428"/>
    </row>
    <row r="32" spans="1:1" ht="15">
      <c r="A32" s="432" t="s">
        <v>178</v>
      </c>
    </row>
    <row r="33" spans="1:1">
      <c r="A33" s="437"/>
    </row>
    <row r="34" spans="1:1" ht="66" customHeight="1">
      <c r="A34" s="437"/>
    </row>
    <row r="35" spans="1:1" ht="15" customHeight="1">
      <c r="A35" s="428"/>
    </row>
    <row r="36" spans="1:1" ht="15" customHeight="1" thickBot="1">
      <c r="A36" s="434"/>
    </row>
    <row r="43" spans="1:1" ht="15">
      <c r="A43" s="435"/>
    </row>
    <row r="44" spans="1:1" ht="15">
      <c r="A44" s="436"/>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dimension ref="A1:F24"/>
  <sheetViews>
    <sheetView workbookViewId="0">
      <selection sqref="A1:C1"/>
    </sheetView>
  </sheetViews>
  <sheetFormatPr defaultRowHeight="15"/>
  <cols>
    <col min="2" max="2" width="47.5703125" customWidth="1"/>
    <col min="3" max="3" width="28.5703125" customWidth="1"/>
    <col min="6" max="6" width="44.5703125" customWidth="1"/>
    <col min="9" max="9" width="21.140625" customWidth="1"/>
  </cols>
  <sheetData>
    <row r="1" spans="1:6" ht="18.75">
      <c r="A1" s="438" t="s">
        <v>530</v>
      </c>
      <c r="B1" s="438"/>
      <c r="C1" s="438"/>
    </row>
    <row r="2" spans="1:6" ht="15.75">
      <c r="A2" s="439" t="s">
        <v>76</v>
      </c>
      <c r="B2" s="439"/>
      <c r="C2" s="439"/>
    </row>
    <row r="3" spans="1:6" ht="15.75" thickBot="1">
      <c r="A3" s="1"/>
      <c r="B3" s="2"/>
      <c r="C3" s="3"/>
    </row>
    <row r="4" spans="1:6" ht="20.100000000000001" customHeight="1" thickTop="1" thickBot="1">
      <c r="A4" s="4" t="s">
        <v>77</v>
      </c>
      <c r="B4" s="5" t="s">
        <v>78</v>
      </c>
      <c r="C4" s="6" t="s">
        <v>79</v>
      </c>
    </row>
    <row r="5" spans="1:6" ht="24.95" customHeight="1" thickTop="1">
      <c r="A5" s="7" t="s">
        <v>80</v>
      </c>
      <c r="B5" s="8" t="s">
        <v>18</v>
      </c>
      <c r="C5" s="9">
        <f>Boq!G51</f>
        <v>0</v>
      </c>
    </row>
    <row r="6" spans="1:6" ht="24.95" customHeight="1">
      <c r="A6" s="10" t="s">
        <v>81</v>
      </c>
      <c r="B6" s="11" t="s">
        <v>82</v>
      </c>
      <c r="C6" s="12">
        <f>Boq!G87</f>
        <v>0</v>
      </c>
    </row>
    <row r="7" spans="1:6" ht="24.95" customHeight="1">
      <c r="A7" s="10" t="s">
        <v>83</v>
      </c>
      <c r="B7" s="11" t="s">
        <v>84</v>
      </c>
      <c r="C7" s="12">
        <f>Boq!G442</f>
        <v>0</v>
      </c>
    </row>
    <row r="8" spans="1:6" ht="24.95" customHeight="1">
      <c r="A8" s="10" t="s">
        <v>85</v>
      </c>
      <c r="B8" s="11" t="s">
        <v>86</v>
      </c>
      <c r="C8" s="12">
        <f>Boq!G519</f>
        <v>0</v>
      </c>
    </row>
    <row r="9" spans="1:6" ht="24.95" customHeight="1">
      <c r="A9" s="10" t="s">
        <v>87</v>
      </c>
      <c r="B9" s="11" t="s">
        <v>88</v>
      </c>
      <c r="C9" s="12">
        <f>Boq!G654</f>
        <v>0</v>
      </c>
    </row>
    <row r="10" spans="1:6" ht="24.95" customHeight="1">
      <c r="A10" s="10" t="s">
        <v>89</v>
      </c>
      <c r="B10" s="11" t="s">
        <v>91</v>
      </c>
      <c r="C10" s="12">
        <f>Boq!G718</f>
        <v>0</v>
      </c>
    </row>
    <row r="11" spans="1:6" ht="24.95" customHeight="1">
      <c r="A11" s="10" t="s">
        <v>90</v>
      </c>
      <c r="B11" s="11" t="s">
        <v>93</v>
      </c>
      <c r="C11" s="12">
        <f>Boq!G747</f>
        <v>0</v>
      </c>
    </row>
    <row r="12" spans="1:6" ht="24.95" customHeight="1">
      <c r="A12" s="10" t="s">
        <v>92</v>
      </c>
      <c r="B12" s="11" t="s">
        <v>95</v>
      </c>
      <c r="C12" s="12">
        <f>Boq!G786</f>
        <v>0</v>
      </c>
    </row>
    <row r="13" spans="1:6" ht="24.95" customHeight="1">
      <c r="A13" s="10" t="s">
        <v>94</v>
      </c>
      <c r="B13" s="11" t="s">
        <v>97</v>
      </c>
      <c r="C13" s="12">
        <f>Boq!G819</f>
        <v>0</v>
      </c>
    </row>
    <row r="14" spans="1:6" ht="24.95" customHeight="1">
      <c r="A14" s="10" t="s">
        <v>96</v>
      </c>
      <c r="B14" s="11" t="s">
        <v>99</v>
      </c>
      <c r="C14" s="12">
        <f>Boq!G902</f>
        <v>0</v>
      </c>
    </row>
    <row r="15" spans="1:6" ht="24.95" customHeight="1">
      <c r="A15" s="10" t="s">
        <v>98</v>
      </c>
      <c r="B15" s="11" t="s">
        <v>100</v>
      </c>
      <c r="C15" s="12">
        <f>Boq!G1055</f>
        <v>0</v>
      </c>
    </row>
    <row r="16" spans="1:6" ht="24.95" customHeight="1">
      <c r="A16" s="10" t="s">
        <v>411</v>
      </c>
      <c r="B16" s="11" t="s">
        <v>412</v>
      </c>
      <c r="C16" s="12"/>
      <c r="F16" s="53"/>
    </row>
    <row r="17" spans="1:6" ht="24.95" customHeight="1">
      <c r="A17" s="10" t="s">
        <v>439</v>
      </c>
      <c r="B17" s="11" t="s">
        <v>441</v>
      </c>
      <c r="C17" s="12"/>
      <c r="F17" s="53">
        <f>C21/F19</f>
        <v>0</v>
      </c>
    </row>
    <row r="18" spans="1:6" ht="24.95" customHeight="1">
      <c r="A18" s="10" t="s">
        <v>440</v>
      </c>
      <c r="B18" s="11" t="s">
        <v>442</v>
      </c>
      <c r="C18" s="12"/>
    </row>
    <row r="19" spans="1:6" ht="24.95" customHeight="1">
      <c r="A19" s="13"/>
      <c r="B19" s="14"/>
      <c r="C19" s="15"/>
      <c r="F19">
        <f>107*2*10.764</f>
        <v>2303.4959999999996</v>
      </c>
    </row>
    <row r="20" spans="1:6" ht="24.95" customHeight="1" thickBot="1">
      <c r="A20" s="16"/>
      <c r="B20" s="17"/>
      <c r="C20" s="18"/>
      <c r="F20" s="53">
        <f>C21*3%</f>
        <v>0</v>
      </c>
    </row>
    <row r="21" spans="1:6" ht="24.95" customHeight="1" thickTop="1" thickBot="1">
      <c r="A21" s="19"/>
      <c r="B21" s="20" t="s">
        <v>408</v>
      </c>
      <c r="C21" s="21">
        <f>SUM(C5:C17)-C18</f>
        <v>0</v>
      </c>
      <c r="F21" s="53">
        <f>C21*0.05</f>
        <v>0</v>
      </c>
    </row>
    <row r="22" spans="1:6" ht="24.95" customHeight="1" thickTop="1" thickBot="1">
      <c r="A22" s="19"/>
      <c r="B22" s="20" t="s">
        <v>409</v>
      </c>
      <c r="C22" s="21">
        <f>C21*6%</f>
        <v>0</v>
      </c>
    </row>
    <row r="23" spans="1:6" ht="31.5" customHeight="1" thickTop="1" thickBot="1">
      <c r="A23" s="19"/>
      <c r="B23" s="20" t="s">
        <v>410</v>
      </c>
      <c r="C23" s="21">
        <f>C21+C22</f>
        <v>0</v>
      </c>
    </row>
    <row r="24" spans="1:6" ht="15.75" thickTop="1"/>
  </sheetData>
  <mergeCells count="2">
    <mergeCell ref="A1:C1"/>
    <mergeCell ref="A2:C2"/>
  </mergeCells>
  <pageMargins left="0.7" right="0.7" top="0.75" bottom="0.7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dimension ref="A1:S1221"/>
  <sheetViews>
    <sheetView tabSelected="1" view="pageBreakPreview" zoomScaleNormal="100" zoomScaleSheetLayoutView="100" workbookViewId="0">
      <selection activeCell="F9" sqref="F9"/>
    </sheetView>
  </sheetViews>
  <sheetFormatPr defaultRowHeight="12"/>
  <cols>
    <col min="1" max="1" width="6" style="38" customWidth="1"/>
    <col min="2" max="2" width="36.42578125" style="22" customWidth="1"/>
    <col min="3" max="3" width="4.7109375" style="23" customWidth="1"/>
    <col min="4" max="4" width="8.42578125" style="24" customWidth="1"/>
    <col min="5" max="5" width="11.85546875" style="39" customWidth="1"/>
    <col min="6" max="6" width="11.5703125" style="25" customWidth="1"/>
    <col min="7" max="7" width="12.42578125" style="25" customWidth="1"/>
    <col min="8" max="8" width="4.5703125" style="22" customWidth="1"/>
    <col min="9" max="9" width="13.5703125" style="22" customWidth="1"/>
    <col min="10" max="10" width="11.85546875" style="22" customWidth="1"/>
    <col min="11" max="12" width="10.7109375" style="22" customWidth="1"/>
    <col min="13" max="13" width="11.28515625" style="22" customWidth="1"/>
    <col min="14" max="14" width="9.28515625" style="22" customWidth="1"/>
    <col min="15" max="15" width="7.7109375" style="22" customWidth="1"/>
    <col min="16" max="16384" width="9.140625" style="22"/>
  </cols>
  <sheetData>
    <row r="1" spans="1:10" s="34" customFormat="1" ht="18.75" customHeight="1">
      <c r="A1" s="440" t="s">
        <v>531</v>
      </c>
      <c r="B1" s="440"/>
      <c r="C1" s="440"/>
      <c r="D1" s="440"/>
      <c r="E1" s="440"/>
      <c r="F1" s="440"/>
      <c r="G1" s="440"/>
    </row>
    <row r="2" spans="1:10" ht="12.75" thickBot="1"/>
    <row r="3" spans="1:10" s="26" customFormat="1" ht="24.75" thickBot="1">
      <c r="A3" s="420" t="s">
        <v>0</v>
      </c>
      <c r="B3" s="421" t="s">
        <v>1</v>
      </c>
      <c r="C3" s="421" t="s">
        <v>2</v>
      </c>
      <c r="D3" s="422" t="s">
        <v>3</v>
      </c>
      <c r="E3" s="423" t="s">
        <v>4</v>
      </c>
      <c r="F3" s="424" t="s">
        <v>5</v>
      </c>
      <c r="G3" s="425" t="s">
        <v>6</v>
      </c>
    </row>
    <row r="4" spans="1:10" s="26" customFormat="1" ht="14.25" customHeight="1">
      <c r="A4" s="78"/>
      <c r="B4" s="79" t="s">
        <v>17</v>
      </c>
      <c r="C4" s="80"/>
      <c r="D4" s="81"/>
      <c r="E4" s="82"/>
      <c r="F4" s="83"/>
      <c r="G4" s="84"/>
      <c r="I4" s="46"/>
      <c r="J4" s="45"/>
    </row>
    <row r="5" spans="1:10" s="26" customFormat="1">
      <c r="A5" s="78"/>
      <c r="B5" s="85" t="s">
        <v>18</v>
      </c>
      <c r="C5" s="80"/>
      <c r="D5" s="81"/>
      <c r="E5" s="82"/>
      <c r="F5" s="83"/>
      <c r="G5" s="84"/>
    </row>
    <row r="6" spans="1:10" s="26" customFormat="1">
      <c r="A6" s="78"/>
      <c r="B6" s="86"/>
      <c r="C6" s="80"/>
      <c r="D6" s="81"/>
      <c r="E6" s="82"/>
      <c r="F6" s="83"/>
      <c r="G6" s="84"/>
    </row>
    <row r="7" spans="1:10" s="26" customFormat="1">
      <c r="A7" s="78">
        <v>1.1000000000000001</v>
      </c>
      <c r="B7" s="87" t="s">
        <v>19</v>
      </c>
      <c r="C7" s="80"/>
      <c r="D7" s="81"/>
      <c r="E7" s="82"/>
      <c r="F7" s="83"/>
      <c r="G7" s="84"/>
    </row>
    <row r="8" spans="1:10" s="26" customFormat="1">
      <c r="A8" s="88" t="s">
        <v>7</v>
      </c>
      <c r="B8" s="89" t="s">
        <v>20</v>
      </c>
      <c r="C8" s="80"/>
      <c r="D8" s="81"/>
      <c r="E8" s="82"/>
      <c r="F8" s="83"/>
      <c r="G8" s="84"/>
    </row>
    <row r="9" spans="1:10" s="26" customFormat="1">
      <c r="A9" s="78"/>
      <c r="B9" s="90" t="s">
        <v>21</v>
      </c>
      <c r="C9" s="80"/>
      <c r="D9" s="81"/>
      <c r="E9" s="82"/>
      <c r="F9" s="83"/>
      <c r="G9" s="84"/>
    </row>
    <row r="10" spans="1:10" s="26" customFormat="1">
      <c r="A10" s="78"/>
      <c r="B10" s="90" t="s">
        <v>22</v>
      </c>
      <c r="C10" s="80"/>
      <c r="D10" s="81"/>
      <c r="E10" s="82"/>
      <c r="F10" s="83"/>
      <c r="G10" s="84"/>
    </row>
    <row r="11" spans="1:10" s="26" customFormat="1">
      <c r="A11" s="78"/>
      <c r="B11" s="90" t="s">
        <v>23</v>
      </c>
      <c r="C11" s="80"/>
      <c r="D11" s="81"/>
      <c r="E11" s="82"/>
      <c r="F11" s="83"/>
      <c r="G11" s="84"/>
    </row>
    <row r="12" spans="1:10" s="26" customFormat="1">
      <c r="A12" s="78"/>
      <c r="B12" s="90" t="s">
        <v>24</v>
      </c>
      <c r="C12" s="80"/>
      <c r="D12" s="81"/>
      <c r="E12" s="82"/>
      <c r="F12" s="83"/>
      <c r="G12" s="84"/>
    </row>
    <row r="13" spans="1:10" s="26" customFormat="1">
      <c r="A13" s="78"/>
      <c r="B13" s="90" t="s">
        <v>21</v>
      </c>
      <c r="C13" s="80"/>
      <c r="D13" s="81"/>
      <c r="E13" s="82"/>
      <c r="F13" s="83"/>
      <c r="G13" s="84"/>
    </row>
    <row r="14" spans="1:10" s="26" customFormat="1">
      <c r="A14" s="78"/>
      <c r="B14" s="90" t="s">
        <v>25</v>
      </c>
      <c r="C14" s="80"/>
      <c r="D14" s="81"/>
      <c r="E14" s="82"/>
      <c r="F14" s="83"/>
      <c r="G14" s="84"/>
    </row>
    <row r="15" spans="1:10" s="26" customFormat="1">
      <c r="A15" s="78"/>
      <c r="B15" s="90" t="s">
        <v>26</v>
      </c>
      <c r="C15" s="80"/>
      <c r="D15" s="81"/>
      <c r="E15" s="82"/>
      <c r="F15" s="83"/>
      <c r="G15" s="84"/>
    </row>
    <row r="16" spans="1:10" s="26" customFormat="1">
      <c r="A16" s="78"/>
      <c r="B16" s="90" t="s">
        <v>27</v>
      </c>
      <c r="C16" s="80"/>
      <c r="D16" s="81"/>
      <c r="E16" s="82"/>
      <c r="F16" s="83"/>
      <c r="G16" s="84"/>
    </row>
    <row r="17" spans="1:7" s="26" customFormat="1">
      <c r="A17" s="78"/>
      <c r="B17" s="90" t="s">
        <v>28</v>
      </c>
      <c r="C17" s="80"/>
      <c r="D17" s="81"/>
      <c r="E17" s="82"/>
      <c r="F17" s="83"/>
      <c r="G17" s="84"/>
    </row>
    <row r="18" spans="1:7" s="26" customFormat="1">
      <c r="A18" s="78"/>
      <c r="B18" s="90" t="s">
        <v>29</v>
      </c>
      <c r="C18" s="80"/>
      <c r="D18" s="81"/>
      <c r="E18" s="82"/>
      <c r="F18" s="83"/>
      <c r="G18" s="84"/>
    </row>
    <row r="19" spans="1:7" s="26" customFormat="1">
      <c r="A19" s="78"/>
      <c r="B19" s="90" t="s">
        <v>30</v>
      </c>
      <c r="C19" s="80"/>
      <c r="D19" s="81"/>
      <c r="E19" s="82"/>
      <c r="F19" s="83"/>
      <c r="G19" s="84"/>
    </row>
    <row r="20" spans="1:7" s="26" customFormat="1">
      <c r="A20" s="78"/>
      <c r="B20" s="90"/>
      <c r="C20" s="80"/>
      <c r="D20" s="81"/>
      <c r="E20" s="82"/>
      <c r="F20" s="83"/>
      <c r="G20" s="84"/>
    </row>
    <row r="21" spans="1:7" s="26" customFormat="1">
      <c r="A21" s="88">
        <v>1.2</v>
      </c>
      <c r="B21" s="91" t="s">
        <v>31</v>
      </c>
      <c r="C21" s="92"/>
      <c r="D21" s="93"/>
      <c r="E21" s="82"/>
      <c r="F21" s="83"/>
      <c r="G21" s="84"/>
    </row>
    <row r="22" spans="1:7" s="26" customFormat="1" ht="60.75" customHeight="1">
      <c r="A22" s="78" t="s">
        <v>7</v>
      </c>
      <c r="B22" s="94" t="s">
        <v>242</v>
      </c>
      <c r="C22" s="92" t="s">
        <v>0</v>
      </c>
      <c r="D22" s="93">
        <v>1</v>
      </c>
      <c r="E22" s="82"/>
      <c r="F22" s="95"/>
      <c r="G22" s="96">
        <f t="shared" ref="G22:G32" si="0">(D22*E22)+(D22*F22)</f>
        <v>0</v>
      </c>
    </row>
    <row r="23" spans="1:7" s="26" customFormat="1">
      <c r="A23" s="88"/>
      <c r="B23" s="94"/>
      <c r="C23" s="92"/>
      <c r="D23" s="93"/>
      <c r="E23" s="82"/>
      <c r="F23" s="95"/>
      <c r="G23" s="96">
        <f t="shared" si="0"/>
        <v>0</v>
      </c>
    </row>
    <row r="24" spans="1:7" s="26" customFormat="1">
      <c r="A24" s="78">
        <v>1.3</v>
      </c>
      <c r="B24" s="91" t="s">
        <v>32</v>
      </c>
      <c r="C24" s="92"/>
      <c r="D24" s="93"/>
      <c r="E24" s="82"/>
      <c r="F24" s="95"/>
      <c r="G24" s="96">
        <f t="shared" si="0"/>
        <v>0</v>
      </c>
    </row>
    <row r="25" spans="1:7" s="26" customFormat="1">
      <c r="A25" s="78" t="s">
        <v>7</v>
      </c>
      <c r="B25" s="97" t="s">
        <v>33</v>
      </c>
      <c r="C25" s="92" t="s">
        <v>34</v>
      </c>
      <c r="D25" s="93">
        <v>1</v>
      </c>
      <c r="E25" s="82"/>
      <c r="F25" s="95"/>
      <c r="G25" s="96">
        <f t="shared" si="0"/>
        <v>0</v>
      </c>
    </row>
    <row r="26" spans="1:7" s="26" customFormat="1">
      <c r="A26" s="78"/>
      <c r="B26" s="97"/>
      <c r="C26" s="92"/>
      <c r="D26" s="93"/>
      <c r="E26" s="82"/>
      <c r="F26" s="95"/>
      <c r="G26" s="96">
        <f t="shared" si="0"/>
        <v>0</v>
      </c>
    </row>
    <row r="27" spans="1:7" s="26" customFormat="1">
      <c r="A27" s="78" t="s">
        <v>173</v>
      </c>
      <c r="B27" s="98" t="s">
        <v>174</v>
      </c>
      <c r="C27" s="92"/>
      <c r="D27" s="93"/>
      <c r="E27" s="82"/>
      <c r="F27" s="95"/>
      <c r="G27" s="96">
        <f t="shared" si="0"/>
        <v>0</v>
      </c>
    </row>
    <row r="28" spans="1:7" s="26" customFormat="1" ht="39.75" customHeight="1">
      <c r="A28" s="78" t="s">
        <v>7</v>
      </c>
      <c r="B28" s="99" t="s">
        <v>282</v>
      </c>
      <c r="C28" s="92" t="s">
        <v>0</v>
      </c>
      <c r="D28" s="93">
        <v>1</v>
      </c>
      <c r="E28" s="82"/>
      <c r="F28" s="95"/>
      <c r="G28" s="96">
        <f t="shared" si="0"/>
        <v>0</v>
      </c>
    </row>
    <row r="29" spans="1:7" s="26" customFormat="1">
      <c r="A29" s="78"/>
      <c r="B29" s="97"/>
      <c r="C29" s="92"/>
      <c r="D29" s="93"/>
      <c r="E29" s="82"/>
      <c r="F29" s="95"/>
      <c r="G29" s="96"/>
    </row>
    <row r="30" spans="1:7" s="26" customFormat="1">
      <c r="A30" s="100" t="s">
        <v>187</v>
      </c>
      <c r="B30" s="101" t="s">
        <v>35</v>
      </c>
      <c r="C30" s="102"/>
      <c r="D30" s="103"/>
      <c r="E30" s="82"/>
      <c r="F30" s="95"/>
      <c r="G30" s="96">
        <f t="shared" si="0"/>
        <v>0</v>
      </c>
    </row>
    <row r="31" spans="1:7" s="26" customFormat="1" ht="27.75" customHeight="1">
      <c r="A31" s="78" t="s">
        <v>7</v>
      </c>
      <c r="B31" s="104" t="s">
        <v>36</v>
      </c>
      <c r="C31" s="92" t="s">
        <v>0</v>
      </c>
      <c r="D31" s="93">
        <v>1</v>
      </c>
      <c r="E31" s="82"/>
      <c r="F31" s="95"/>
      <c r="G31" s="96">
        <f t="shared" si="0"/>
        <v>0</v>
      </c>
    </row>
    <row r="32" spans="1:7" s="26" customFormat="1">
      <c r="A32" s="88"/>
      <c r="B32" s="104"/>
      <c r="C32" s="92"/>
      <c r="D32" s="93"/>
      <c r="E32" s="82"/>
      <c r="F32" s="83"/>
      <c r="G32" s="96">
        <f t="shared" si="0"/>
        <v>0</v>
      </c>
    </row>
    <row r="33" spans="1:7" s="26" customFormat="1">
      <c r="A33" s="88"/>
      <c r="B33" s="104"/>
      <c r="C33" s="92"/>
      <c r="D33" s="93"/>
      <c r="E33" s="82"/>
      <c r="F33" s="83"/>
      <c r="G33" s="84"/>
    </row>
    <row r="34" spans="1:7" s="26" customFormat="1">
      <c r="A34" s="88"/>
      <c r="B34" s="104"/>
      <c r="C34" s="92"/>
      <c r="D34" s="93"/>
      <c r="E34" s="82"/>
      <c r="F34" s="83"/>
      <c r="G34" s="84"/>
    </row>
    <row r="35" spans="1:7" s="26" customFormat="1">
      <c r="A35" s="88"/>
      <c r="B35" s="104"/>
      <c r="C35" s="92"/>
      <c r="D35" s="93"/>
      <c r="E35" s="82"/>
      <c r="F35" s="83"/>
      <c r="G35" s="84"/>
    </row>
    <row r="36" spans="1:7" s="26" customFormat="1">
      <c r="A36" s="88"/>
      <c r="B36" s="104"/>
      <c r="C36" s="92"/>
      <c r="D36" s="93"/>
      <c r="E36" s="82"/>
      <c r="F36" s="83"/>
      <c r="G36" s="84"/>
    </row>
    <row r="37" spans="1:7" s="26" customFormat="1">
      <c r="A37" s="88"/>
      <c r="B37" s="104"/>
      <c r="C37" s="92"/>
      <c r="D37" s="93"/>
      <c r="E37" s="82"/>
      <c r="F37" s="83"/>
      <c r="G37" s="84"/>
    </row>
    <row r="38" spans="1:7" s="26" customFormat="1">
      <c r="A38" s="88"/>
      <c r="B38" s="104"/>
      <c r="C38" s="92"/>
      <c r="D38" s="93"/>
      <c r="E38" s="82"/>
      <c r="F38" s="83"/>
      <c r="G38" s="84"/>
    </row>
    <row r="39" spans="1:7" s="26" customFormat="1">
      <c r="A39" s="88"/>
      <c r="B39" s="104"/>
      <c r="C39" s="92"/>
      <c r="D39" s="93"/>
      <c r="E39" s="82"/>
      <c r="F39" s="83"/>
      <c r="G39" s="84"/>
    </row>
    <row r="40" spans="1:7" s="26" customFormat="1">
      <c r="A40" s="88"/>
      <c r="B40" s="104"/>
      <c r="C40" s="92"/>
      <c r="D40" s="93"/>
      <c r="E40" s="82"/>
      <c r="F40" s="83"/>
      <c r="G40" s="84"/>
    </row>
    <row r="41" spans="1:7" s="26" customFormat="1">
      <c r="A41" s="88"/>
      <c r="B41" s="104"/>
      <c r="C41" s="92"/>
      <c r="D41" s="93"/>
      <c r="E41" s="82"/>
      <c r="F41" s="83"/>
      <c r="G41" s="84"/>
    </row>
    <row r="42" spans="1:7" s="26" customFormat="1">
      <c r="A42" s="88"/>
      <c r="B42" s="104"/>
      <c r="C42" s="92"/>
      <c r="D42" s="93"/>
      <c r="E42" s="82"/>
      <c r="F42" s="83"/>
      <c r="G42" s="84"/>
    </row>
    <row r="43" spans="1:7" s="26" customFormat="1">
      <c r="A43" s="88"/>
      <c r="B43" s="104"/>
      <c r="C43" s="92"/>
      <c r="D43" s="93"/>
      <c r="E43" s="82"/>
      <c r="F43" s="83"/>
      <c r="G43" s="84"/>
    </row>
    <row r="44" spans="1:7" s="26" customFormat="1">
      <c r="A44" s="88"/>
      <c r="B44" s="104"/>
      <c r="C44" s="92"/>
      <c r="D44" s="93"/>
      <c r="E44" s="82"/>
      <c r="F44" s="83"/>
      <c r="G44" s="84"/>
    </row>
    <row r="45" spans="1:7" s="26" customFormat="1">
      <c r="A45" s="88"/>
      <c r="B45" s="104"/>
      <c r="C45" s="92"/>
      <c r="D45" s="93"/>
      <c r="E45" s="82"/>
      <c r="F45" s="83"/>
      <c r="G45" s="84"/>
    </row>
    <row r="46" spans="1:7" s="26" customFormat="1">
      <c r="A46" s="88"/>
      <c r="B46" s="104"/>
      <c r="C46" s="92"/>
      <c r="D46" s="93"/>
      <c r="E46" s="82"/>
      <c r="F46" s="83"/>
      <c r="G46" s="84"/>
    </row>
    <row r="47" spans="1:7" s="26" customFormat="1">
      <c r="A47" s="88"/>
      <c r="B47" s="104"/>
      <c r="C47" s="92"/>
      <c r="D47" s="93"/>
      <c r="E47" s="82"/>
      <c r="F47" s="83"/>
      <c r="G47" s="84"/>
    </row>
    <row r="48" spans="1:7" s="26" customFormat="1">
      <c r="A48" s="88"/>
      <c r="B48" s="104"/>
      <c r="C48" s="92"/>
      <c r="D48" s="93"/>
      <c r="E48" s="82"/>
      <c r="F48" s="83"/>
      <c r="G48" s="84"/>
    </row>
    <row r="49" spans="1:9" s="26" customFormat="1" ht="12.75" thickBot="1">
      <c r="A49" s="88"/>
      <c r="B49" s="104"/>
      <c r="C49" s="92"/>
      <c r="D49" s="93"/>
      <c r="E49" s="82"/>
      <c r="F49" s="83"/>
      <c r="G49" s="84"/>
    </row>
    <row r="50" spans="1:9" s="26" customFormat="1">
      <c r="A50" s="64"/>
      <c r="B50" s="65" t="s">
        <v>37</v>
      </c>
      <c r="C50" s="398"/>
      <c r="D50" s="67"/>
      <c r="E50" s="68"/>
      <c r="F50" s="356"/>
      <c r="G50" s="354"/>
    </row>
    <row r="51" spans="1:9" s="26" customFormat="1" ht="12.75" thickBot="1">
      <c r="A51" s="71"/>
      <c r="B51" s="72" t="s">
        <v>38</v>
      </c>
      <c r="C51" s="399"/>
      <c r="D51" s="74"/>
      <c r="E51" s="75"/>
      <c r="F51" s="357"/>
      <c r="G51" s="355">
        <f>SUM(G22:G50)</f>
        <v>0</v>
      </c>
    </row>
    <row r="52" spans="1:9" s="26" customFormat="1">
      <c r="A52" s="78"/>
      <c r="B52" s="105"/>
      <c r="C52" s="106"/>
      <c r="D52" s="93"/>
      <c r="E52" s="82"/>
      <c r="F52" s="83"/>
      <c r="G52" s="84"/>
    </row>
    <row r="53" spans="1:9" s="26" customFormat="1">
      <c r="A53" s="78"/>
      <c r="B53" s="85" t="s">
        <v>39</v>
      </c>
      <c r="C53" s="80"/>
      <c r="D53" s="81"/>
      <c r="E53" s="82"/>
      <c r="F53" s="83"/>
      <c r="G53" s="84"/>
    </row>
    <row r="54" spans="1:9" s="26" customFormat="1">
      <c r="A54" s="78"/>
      <c r="B54" s="85" t="s">
        <v>40</v>
      </c>
      <c r="C54" s="80"/>
      <c r="D54" s="81"/>
      <c r="E54" s="82"/>
      <c r="F54" s="83"/>
      <c r="G54" s="84"/>
    </row>
    <row r="55" spans="1:9" s="26" customFormat="1">
      <c r="A55" s="78">
        <v>2.1</v>
      </c>
      <c r="B55" s="87" t="s">
        <v>41</v>
      </c>
      <c r="C55" s="80"/>
      <c r="D55" s="81"/>
      <c r="E55" s="82"/>
      <c r="F55" s="83"/>
      <c r="G55" s="84"/>
    </row>
    <row r="56" spans="1:9" s="26" customFormat="1" ht="65.25" customHeight="1">
      <c r="A56" s="78"/>
      <c r="B56" s="107" t="s">
        <v>243</v>
      </c>
      <c r="C56" s="108"/>
      <c r="D56" s="108"/>
      <c r="E56" s="108"/>
      <c r="F56" s="108"/>
      <c r="G56" s="109"/>
    </row>
    <row r="57" spans="1:9" s="26" customFormat="1">
      <c r="A57" s="110"/>
      <c r="B57" s="111"/>
      <c r="C57" s="111"/>
      <c r="D57" s="112"/>
      <c r="E57" s="113"/>
      <c r="F57" s="111"/>
      <c r="G57" s="114"/>
    </row>
    <row r="58" spans="1:9" s="26" customFormat="1">
      <c r="A58" s="78" t="s">
        <v>10</v>
      </c>
      <c r="B58" s="115" t="s">
        <v>60</v>
      </c>
      <c r="C58" s="92"/>
      <c r="D58" s="116"/>
      <c r="E58" s="117"/>
      <c r="F58" s="95"/>
      <c r="G58" s="96">
        <f t="shared" ref="G58:G68" si="1">(D58*E58)+(D58*F58)</f>
        <v>0</v>
      </c>
    </row>
    <row r="59" spans="1:9" s="26" customFormat="1" ht="48.75" customHeight="1">
      <c r="A59" s="78"/>
      <c r="B59" s="94" t="s">
        <v>61</v>
      </c>
      <c r="C59" s="92" t="s">
        <v>44</v>
      </c>
      <c r="D59" s="118">
        <v>280</v>
      </c>
      <c r="E59" s="82"/>
      <c r="F59" s="95"/>
      <c r="G59" s="96">
        <f t="shared" si="1"/>
        <v>0</v>
      </c>
      <c r="I59" s="26">
        <f>20.4*13.675</f>
        <v>278.96999999999997</v>
      </c>
    </row>
    <row r="60" spans="1:9" s="26" customFormat="1">
      <c r="A60" s="78"/>
      <c r="B60" s="94"/>
      <c r="C60" s="92"/>
      <c r="D60" s="118"/>
      <c r="E60" s="82"/>
      <c r="F60" s="95"/>
      <c r="G60" s="96">
        <f t="shared" si="1"/>
        <v>0</v>
      </c>
    </row>
    <row r="61" spans="1:9" s="26" customFormat="1">
      <c r="A61" s="78" t="s">
        <v>16</v>
      </c>
      <c r="B61" s="119" t="s">
        <v>42</v>
      </c>
      <c r="C61" s="92"/>
      <c r="D61" s="120"/>
      <c r="E61" s="82"/>
      <c r="F61" s="95"/>
      <c r="G61" s="96">
        <f t="shared" si="1"/>
        <v>0</v>
      </c>
    </row>
    <row r="62" spans="1:9" s="26" customFormat="1" ht="51" customHeight="1">
      <c r="A62" s="78"/>
      <c r="B62" s="121" t="s">
        <v>43</v>
      </c>
      <c r="C62" s="92" t="s">
        <v>44</v>
      </c>
      <c r="D62" s="120"/>
      <c r="E62" s="82"/>
      <c r="F62" s="95"/>
      <c r="G62" s="96">
        <f t="shared" si="1"/>
        <v>0</v>
      </c>
      <c r="I62" s="26">
        <f>16.336*8.75</f>
        <v>142.94</v>
      </c>
    </row>
    <row r="63" spans="1:9" s="26" customFormat="1">
      <c r="A63" s="78"/>
      <c r="B63" s="122"/>
      <c r="C63" s="92"/>
      <c r="D63" s="93"/>
      <c r="E63" s="82"/>
      <c r="F63" s="95"/>
      <c r="G63" s="96">
        <f t="shared" si="1"/>
        <v>0</v>
      </c>
    </row>
    <row r="64" spans="1:9" s="26" customFormat="1">
      <c r="A64" s="78" t="s">
        <v>48</v>
      </c>
      <c r="B64" s="123" t="s">
        <v>45</v>
      </c>
      <c r="C64" s="92"/>
      <c r="D64" s="93"/>
      <c r="E64" s="82"/>
      <c r="F64" s="95"/>
      <c r="G64" s="96">
        <f t="shared" si="1"/>
        <v>0</v>
      </c>
    </row>
    <row r="65" spans="1:18" s="26" customFormat="1" ht="53.25" customHeight="1">
      <c r="A65" s="110"/>
      <c r="B65" s="124" t="s">
        <v>46</v>
      </c>
      <c r="C65" s="124"/>
      <c r="D65" s="124"/>
      <c r="E65" s="124"/>
      <c r="F65" s="95"/>
      <c r="G65" s="96">
        <f t="shared" si="1"/>
        <v>0</v>
      </c>
      <c r="I65" s="26">
        <f>1.35*1.35*7</f>
        <v>12.757500000000002</v>
      </c>
      <c r="J65" s="26">
        <f>1.45*1.45*4</f>
        <v>8.41</v>
      </c>
      <c r="K65" s="26">
        <f>1.75*1.75*7</f>
        <v>21.4375</v>
      </c>
      <c r="L65" s="26">
        <f>1.65*1.65*5</f>
        <v>13.612499999999999</v>
      </c>
      <c r="M65" s="26">
        <f>1.85*1.85*4</f>
        <v>13.690000000000001</v>
      </c>
      <c r="N65" s="26">
        <f>2.5*2.5*2</f>
        <v>12.5</v>
      </c>
      <c r="O65" s="26">
        <f>2.65*2.65*2</f>
        <v>14.045</v>
      </c>
      <c r="P65" s="26">
        <f>1.1*1.1*2</f>
        <v>2.4200000000000004</v>
      </c>
      <c r="Q65" s="26">
        <f>SUM(I65:P65)</f>
        <v>98.872500000000002</v>
      </c>
      <c r="R65" s="26">
        <f>Q65*1.55</f>
        <v>153.252375</v>
      </c>
    </row>
    <row r="66" spans="1:18" s="26" customFormat="1" ht="12.75" customHeight="1">
      <c r="A66" s="78" t="s">
        <v>50</v>
      </c>
      <c r="B66" s="125" t="s">
        <v>45</v>
      </c>
      <c r="C66" s="92"/>
      <c r="D66" s="93"/>
      <c r="E66" s="82"/>
      <c r="F66" s="95"/>
      <c r="G66" s="96">
        <f t="shared" si="1"/>
        <v>0</v>
      </c>
      <c r="I66" s="26">
        <f>1.9*2+1.8*2+1.85*4+1.375*2+4.2*3+1.85*2+1.7*6+2.275*2+2.15*6+2.92*2+2.981*2+0.712*4+1.025*2</f>
        <v>78.199999999999989</v>
      </c>
      <c r="J66" s="54">
        <f>I66*0.55*1.25</f>
        <v>53.762499999999996</v>
      </c>
      <c r="K66" s="23">
        <f>2.395*8</f>
        <v>19.16</v>
      </c>
      <c r="L66" s="23">
        <f>K66*0.55*1.25</f>
        <v>13.172499999999999</v>
      </c>
      <c r="M66" s="23">
        <f>L66+J66+R65</f>
        <v>220.187375</v>
      </c>
    </row>
    <row r="67" spans="1:18" s="23" customFormat="1" ht="15">
      <c r="A67" s="126" t="s">
        <v>7</v>
      </c>
      <c r="B67" s="127" t="s">
        <v>232</v>
      </c>
      <c r="C67" s="92" t="s">
        <v>47</v>
      </c>
      <c r="D67" s="93">
        <v>220.2</v>
      </c>
      <c r="E67" s="82"/>
      <c r="F67" s="128"/>
      <c r="G67" s="129">
        <f t="shared" si="1"/>
        <v>0</v>
      </c>
      <c r="J67" s="54"/>
    </row>
    <row r="68" spans="1:18" s="26" customFormat="1">
      <c r="A68" s="78"/>
      <c r="B68" s="130"/>
      <c r="C68" s="92"/>
      <c r="D68" s="93"/>
      <c r="E68" s="82"/>
      <c r="F68" s="83"/>
      <c r="G68" s="96">
        <f t="shared" si="1"/>
        <v>0</v>
      </c>
    </row>
    <row r="69" spans="1:18" s="26" customFormat="1">
      <c r="A69" s="78" t="s">
        <v>48</v>
      </c>
      <c r="B69" s="131" t="s">
        <v>49</v>
      </c>
      <c r="C69" s="92"/>
      <c r="D69" s="93"/>
      <c r="E69" s="82"/>
      <c r="F69" s="83"/>
      <c r="G69" s="84"/>
    </row>
    <row r="70" spans="1:18" s="26" customFormat="1" ht="25.5" customHeight="1">
      <c r="A70" s="78"/>
      <c r="B70" s="132" t="s">
        <v>267</v>
      </c>
      <c r="C70" s="133"/>
      <c r="D70" s="133"/>
      <c r="E70" s="133"/>
      <c r="F70" s="83"/>
      <c r="G70" s="84"/>
    </row>
    <row r="71" spans="1:18" s="26" customFormat="1" ht="25.5" customHeight="1">
      <c r="A71" s="78"/>
      <c r="B71" s="104" t="s">
        <v>268</v>
      </c>
      <c r="C71" s="134"/>
      <c r="D71" s="134"/>
      <c r="E71" s="134"/>
      <c r="F71" s="83"/>
      <c r="G71" s="84"/>
    </row>
    <row r="72" spans="1:18" s="26" customFormat="1" ht="24">
      <c r="A72" s="78" t="s">
        <v>176</v>
      </c>
      <c r="B72" s="135" t="s">
        <v>310</v>
      </c>
      <c r="C72" s="92" t="s">
        <v>44</v>
      </c>
      <c r="D72" s="118">
        <v>285.74</v>
      </c>
      <c r="E72" s="82"/>
      <c r="F72" s="95"/>
      <c r="G72" s="96">
        <f t="shared" ref="G72:G77" si="2">(D72*E72)+(D72*F72)</f>
        <v>0</v>
      </c>
      <c r="I72" s="26">
        <f>19.2*10.75</f>
        <v>206.4</v>
      </c>
    </row>
    <row r="73" spans="1:18" s="26" customFormat="1" ht="38.25" customHeight="1">
      <c r="A73" s="78" t="s">
        <v>177</v>
      </c>
      <c r="B73" s="135" t="s">
        <v>311</v>
      </c>
      <c r="C73" s="92" t="s">
        <v>44</v>
      </c>
      <c r="D73" s="118">
        <f>D72</f>
        <v>285.74</v>
      </c>
      <c r="E73" s="82"/>
      <c r="F73" s="95"/>
      <c r="G73" s="96">
        <f t="shared" si="2"/>
        <v>0</v>
      </c>
    </row>
    <row r="74" spans="1:18" s="26" customFormat="1">
      <c r="A74" s="78">
        <v>2.5</v>
      </c>
      <c r="B74" s="123" t="s">
        <v>51</v>
      </c>
      <c r="C74" s="92"/>
      <c r="D74" s="93"/>
      <c r="E74" s="82"/>
      <c r="F74" s="95"/>
      <c r="G74" s="96">
        <f t="shared" si="2"/>
        <v>0</v>
      </c>
    </row>
    <row r="75" spans="1:18" s="26" customFormat="1" ht="27" customHeight="1">
      <c r="A75" s="78"/>
      <c r="B75" s="136" t="s">
        <v>52</v>
      </c>
      <c r="C75" s="92"/>
      <c r="D75" s="93"/>
      <c r="E75" s="82"/>
      <c r="F75" s="95"/>
      <c r="G75" s="96">
        <f t="shared" si="2"/>
        <v>0</v>
      </c>
    </row>
    <row r="76" spans="1:18" s="26" customFormat="1" ht="24">
      <c r="A76" s="78" t="s">
        <v>176</v>
      </c>
      <c r="B76" s="136" t="s">
        <v>53</v>
      </c>
      <c r="C76" s="92" t="s">
        <v>44</v>
      </c>
      <c r="D76" s="93">
        <f>D95+D72</f>
        <v>438.19</v>
      </c>
      <c r="E76" s="82"/>
      <c r="F76" s="95"/>
      <c r="G76" s="96">
        <f t="shared" si="2"/>
        <v>0</v>
      </c>
      <c r="I76" s="28"/>
      <c r="J76" s="28"/>
    </row>
    <row r="77" spans="1:18" s="26" customFormat="1">
      <c r="A77" s="78"/>
      <c r="B77" s="136"/>
      <c r="C77" s="92"/>
      <c r="D77" s="93"/>
      <c r="E77" s="82"/>
      <c r="F77" s="83"/>
      <c r="G77" s="96">
        <f t="shared" si="2"/>
        <v>0</v>
      </c>
      <c r="I77" s="28"/>
    </row>
    <row r="78" spans="1:18" s="26" customFormat="1">
      <c r="A78" s="78"/>
      <c r="B78" s="136"/>
      <c r="C78" s="92"/>
      <c r="D78" s="93"/>
      <c r="E78" s="82"/>
      <c r="F78" s="83"/>
      <c r="G78" s="84"/>
    </row>
    <row r="79" spans="1:18" s="26" customFormat="1">
      <c r="A79" s="78"/>
      <c r="B79" s="136"/>
      <c r="C79" s="92"/>
      <c r="D79" s="93"/>
      <c r="E79" s="82"/>
      <c r="F79" s="83"/>
      <c r="G79" s="84"/>
    </row>
    <row r="80" spans="1:18" s="26" customFormat="1">
      <c r="A80" s="78"/>
      <c r="B80" s="136"/>
      <c r="C80" s="92"/>
      <c r="D80" s="93"/>
      <c r="E80" s="82"/>
      <c r="F80" s="83"/>
      <c r="G80" s="84"/>
    </row>
    <row r="81" spans="1:18" s="26" customFormat="1">
      <c r="A81" s="78"/>
      <c r="B81" s="136"/>
      <c r="C81" s="92"/>
      <c r="D81" s="93"/>
      <c r="E81" s="82"/>
      <c r="F81" s="83"/>
      <c r="G81" s="84"/>
    </row>
    <row r="82" spans="1:18" s="26" customFormat="1">
      <c r="A82" s="78"/>
      <c r="B82" s="136"/>
      <c r="C82" s="92"/>
      <c r="D82" s="93"/>
      <c r="E82" s="82"/>
      <c r="F82" s="83"/>
      <c r="G82" s="84"/>
    </row>
    <row r="83" spans="1:18" s="26" customFormat="1">
      <c r="A83" s="78"/>
      <c r="B83" s="136"/>
      <c r="C83" s="92"/>
      <c r="D83" s="93"/>
      <c r="E83" s="82"/>
      <c r="F83" s="83"/>
      <c r="G83" s="84"/>
    </row>
    <row r="84" spans="1:18" s="26" customFormat="1">
      <c r="A84" s="78"/>
      <c r="B84" s="136"/>
      <c r="C84" s="92"/>
      <c r="D84" s="93"/>
      <c r="E84" s="82"/>
      <c r="F84" s="83"/>
      <c r="G84" s="84"/>
    </row>
    <row r="85" spans="1:18" s="26" customFormat="1" ht="12.75" thickBot="1">
      <c r="A85" s="78"/>
      <c r="B85" s="136"/>
      <c r="C85" s="92"/>
      <c r="D85" s="93"/>
      <c r="E85" s="82"/>
      <c r="F85" s="83"/>
      <c r="G85" s="84"/>
    </row>
    <row r="86" spans="1:18" s="26" customFormat="1">
      <c r="A86" s="64"/>
      <c r="B86" s="65" t="s">
        <v>54</v>
      </c>
      <c r="C86" s="66"/>
      <c r="D86" s="67"/>
      <c r="E86" s="68"/>
      <c r="F86" s="356"/>
      <c r="G86" s="354"/>
    </row>
    <row r="87" spans="1:18" s="26" customFormat="1" ht="12.75" thickBot="1">
      <c r="A87" s="71"/>
      <c r="B87" s="72" t="s">
        <v>55</v>
      </c>
      <c r="C87" s="73"/>
      <c r="D87" s="74"/>
      <c r="E87" s="75"/>
      <c r="F87" s="357"/>
      <c r="G87" s="355">
        <f>SUM(G59:G86)</f>
        <v>0</v>
      </c>
    </row>
    <row r="88" spans="1:18" s="26" customFormat="1">
      <c r="A88" s="78"/>
      <c r="B88" s="85" t="s">
        <v>56</v>
      </c>
      <c r="C88" s="92"/>
      <c r="D88" s="93"/>
      <c r="E88" s="82"/>
      <c r="F88" s="83"/>
      <c r="G88" s="84"/>
    </row>
    <row r="89" spans="1:18" s="26" customFormat="1">
      <c r="A89" s="78" t="s">
        <v>57</v>
      </c>
      <c r="B89" s="137" t="s">
        <v>58</v>
      </c>
      <c r="C89" s="92"/>
      <c r="D89" s="93"/>
      <c r="E89" s="82"/>
      <c r="F89" s="83"/>
      <c r="G89" s="84"/>
    </row>
    <row r="90" spans="1:18" s="26" customFormat="1" ht="39.75" customHeight="1">
      <c r="A90" s="78"/>
      <c r="B90" s="444" t="s">
        <v>244</v>
      </c>
      <c r="C90" s="444"/>
      <c r="D90" s="444"/>
      <c r="E90" s="444"/>
      <c r="F90" s="133"/>
      <c r="G90" s="138"/>
    </row>
    <row r="91" spans="1:18" s="26" customFormat="1" ht="26.25" customHeight="1">
      <c r="A91" s="78"/>
      <c r="B91" s="444" t="s">
        <v>475</v>
      </c>
      <c r="C91" s="444"/>
      <c r="D91" s="444"/>
      <c r="E91" s="444"/>
      <c r="F91" s="133"/>
      <c r="G91" s="138"/>
    </row>
    <row r="92" spans="1:18" s="26" customFormat="1" ht="24" customHeight="1">
      <c r="A92" s="78"/>
      <c r="B92" s="444" t="s">
        <v>474</v>
      </c>
      <c r="C92" s="444"/>
      <c r="D92" s="444"/>
      <c r="E92" s="444"/>
      <c r="F92" s="133"/>
      <c r="G92" s="138"/>
    </row>
    <row r="93" spans="1:18" s="26" customFormat="1" ht="15" customHeight="1">
      <c r="A93" s="139" t="s">
        <v>62</v>
      </c>
      <c r="B93" s="140" t="s">
        <v>63</v>
      </c>
      <c r="C93" s="141"/>
      <c r="D93" s="142"/>
      <c r="E93" s="143"/>
      <c r="F93" s="144"/>
      <c r="G93" s="145"/>
    </row>
    <row r="94" spans="1:18" s="56" customFormat="1" ht="14.25" customHeight="1">
      <c r="A94" s="100"/>
      <c r="B94" s="123" t="s">
        <v>290</v>
      </c>
      <c r="C94" s="102"/>
      <c r="D94" s="103"/>
      <c r="E94" s="146"/>
      <c r="F94" s="147"/>
      <c r="G94" s="148"/>
      <c r="I94" s="26">
        <f>1.35*1.35*7</f>
        <v>12.757500000000002</v>
      </c>
      <c r="J94" s="26">
        <f>1.45*1.45*4</f>
        <v>8.41</v>
      </c>
      <c r="K94" s="26">
        <f>1.75*1.75*7</f>
        <v>21.4375</v>
      </c>
      <c r="L94" s="26">
        <f>1.65*1.65*5</f>
        <v>13.612499999999999</v>
      </c>
      <c r="M94" s="26">
        <f>1.85*1.85*4</f>
        <v>13.690000000000001</v>
      </c>
      <c r="N94" s="26">
        <f>2.5*2.5*2</f>
        <v>12.5</v>
      </c>
      <c r="O94" s="26">
        <f>2.65*2.65*2</f>
        <v>14.045</v>
      </c>
      <c r="P94" s="26">
        <f>1.1*1.1*2</f>
        <v>2.4200000000000004</v>
      </c>
      <c r="Q94" s="26">
        <f>SUM(I94:P94)</f>
        <v>98.872500000000002</v>
      </c>
      <c r="R94" s="26">
        <f>Q94</f>
        <v>98.872500000000002</v>
      </c>
    </row>
    <row r="95" spans="1:18" s="26" customFormat="1" ht="12" customHeight="1">
      <c r="A95" s="78"/>
      <c r="B95" s="130" t="s">
        <v>304</v>
      </c>
      <c r="C95" s="92" t="s">
        <v>44</v>
      </c>
      <c r="D95" s="93">
        <v>152.44999999999999</v>
      </c>
      <c r="E95" s="82"/>
      <c r="F95" s="95"/>
      <c r="G95" s="96">
        <f t="shared" ref="G95" si="3">(D95*E95)+(D95*F95)</f>
        <v>0</v>
      </c>
      <c r="I95" s="26">
        <f>1.9*2+1.8*2+1.85*4+1.375*2+4.2*3+1.85*2+1.7*6+2.275*2+2.15*6+2.92*2+2.981*2+0.712*4+1.025*2</f>
        <v>78.199999999999989</v>
      </c>
      <c r="J95" s="54">
        <f>I95*0.55</f>
        <v>43.01</v>
      </c>
      <c r="K95" s="23">
        <f>2.395*8</f>
        <v>19.16</v>
      </c>
      <c r="L95" s="23">
        <f>K95*0.55</f>
        <v>10.538</v>
      </c>
      <c r="M95" s="23">
        <f>L95+J95+R94</f>
        <v>152.4205</v>
      </c>
    </row>
    <row r="96" spans="1:18" s="26" customFormat="1" ht="15" customHeight="1">
      <c r="A96" s="149" t="s">
        <v>68</v>
      </c>
      <c r="B96" s="150" t="s">
        <v>13</v>
      </c>
      <c r="C96" s="151"/>
      <c r="D96" s="142"/>
      <c r="E96" s="143"/>
      <c r="F96" s="144"/>
      <c r="G96" s="145"/>
    </row>
    <row r="97" spans="1:17">
      <c r="A97" s="152" t="s">
        <v>161</v>
      </c>
      <c r="B97" s="153" t="s">
        <v>64</v>
      </c>
      <c r="C97" s="154"/>
      <c r="D97" s="155"/>
      <c r="E97" s="156"/>
      <c r="F97" s="157"/>
      <c r="G97" s="158"/>
    </row>
    <row r="98" spans="1:17">
      <c r="A98" s="78"/>
      <c r="B98" s="130" t="s">
        <v>451</v>
      </c>
      <c r="C98" s="92" t="s">
        <v>47</v>
      </c>
      <c r="D98" s="93">
        <v>20.54</v>
      </c>
      <c r="E98" s="82"/>
      <c r="F98" s="95"/>
      <c r="G98" s="96">
        <f t="shared" ref="G98" si="4">(D98*E98)+(D98*F98)</f>
        <v>0</v>
      </c>
      <c r="I98" s="33">
        <f>1.05*1.05*0.3*7</f>
        <v>2.3152499999999998</v>
      </c>
      <c r="J98" s="28">
        <f>1.15*1.15*0.3*4</f>
        <v>1.5869999999999997</v>
      </c>
      <c r="K98" s="26">
        <f>1.45*1.45*0.3*7</f>
        <v>4.4152500000000003</v>
      </c>
      <c r="L98" s="57">
        <f>1.35*1.35*0.3*5</f>
        <v>2.7337500000000006</v>
      </c>
      <c r="M98" s="26">
        <f>1.55*1.55*0.3*4</f>
        <v>2.8830000000000005</v>
      </c>
      <c r="N98" s="57">
        <f>2.2*2.2*0.3*2</f>
        <v>2.9040000000000004</v>
      </c>
      <c r="O98" s="22">
        <f>2.35*2.35*0.3*2</f>
        <v>3.3135000000000003</v>
      </c>
      <c r="P98" s="22">
        <f>0.8*0.8*0.3*2</f>
        <v>0.38400000000000006</v>
      </c>
      <c r="Q98" s="33">
        <f>SUM(I98:P98)</f>
        <v>20.535750000000004</v>
      </c>
    </row>
    <row r="99" spans="1:17">
      <c r="A99" s="78"/>
      <c r="B99" s="130" t="s">
        <v>313</v>
      </c>
      <c r="C99" s="92" t="s">
        <v>47</v>
      </c>
      <c r="D99" s="93">
        <v>10.91</v>
      </c>
      <c r="E99" s="82"/>
      <c r="F99" s="95"/>
      <c r="G99" s="96">
        <f t="shared" ref="G99:G100" si="5">(D99*E99)+(D99*F99)</f>
        <v>0</v>
      </c>
      <c r="I99" s="33">
        <f>25.8*3+3.97*2+4.055*2+1.75*2</f>
        <v>96.95</v>
      </c>
      <c r="J99" s="28">
        <f>I99*0.25*0.45</f>
        <v>10.906875000000001</v>
      </c>
      <c r="K99" s="28"/>
      <c r="L99" s="57"/>
      <c r="M99" s="26"/>
      <c r="N99" s="57"/>
    </row>
    <row r="100" spans="1:17">
      <c r="A100" s="78"/>
      <c r="B100" s="130" t="s">
        <v>314</v>
      </c>
      <c r="C100" s="92" t="s">
        <v>47</v>
      </c>
      <c r="D100" s="93">
        <v>7.3</v>
      </c>
      <c r="E100" s="82"/>
      <c r="F100" s="95"/>
      <c r="G100" s="96">
        <f t="shared" si="5"/>
        <v>0</v>
      </c>
      <c r="I100" s="33">
        <f>3.97*4+4.055*4+1.75*4+25.8</f>
        <v>64.900000000000006</v>
      </c>
      <c r="J100" s="28">
        <f>I100*0.25*0.45</f>
        <v>7.3012500000000005</v>
      </c>
      <c r="K100" s="28"/>
      <c r="L100" s="57"/>
      <c r="M100" s="26"/>
      <c r="N100" s="57"/>
    </row>
    <row r="101" spans="1:17">
      <c r="A101" s="159"/>
      <c r="B101" s="160"/>
      <c r="C101" s="161"/>
      <c r="D101" s="116"/>
      <c r="E101" s="82"/>
      <c r="F101" s="95"/>
      <c r="G101" s="96"/>
    </row>
    <row r="102" spans="1:17">
      <c r="A102" s="152" t="s">
        <v>162</v>
      </c>
      <c r="B102" s="153" t="s">
        <v>67</v>
      </c>
      <c r="C102" s="154"/>
      <c r="D102" s="155"/>
      <c r="E102" s="156"/>
      <c r="F102" s="157"/>
      <c r="G102" s="158"/>
    </row>
    <row r="103" spans="1:17">
      <c r="A103" s="162" t="s">
        <v>166</v>
      </c>
      <c r="B103" s="163" t="s">
        <v>185</v>
      </c>
      <c r="C103" s="164"/>
      <c r="D103" s="165"/>
      <c r="E103" s="166"/>
      <c r="F103" s="167"/>
      <c r="G103" s="168"/>
    </row>
    <row r="104" spans="1:17" ht="13.5">
      <c r="A104" s="159"/>
      <c r="B104" s="160" t="s">
        <v>452</v>
      </c>
      <c r="C104" s="161" t="s">
        <v>151</v>
      </c>
      <c r="D104" s="116">
        <v>5.24</v>
      </c>
      <c r="E104" s="82"/>
      <c r="F104" s="95"/>
      <c r="G104" s="96">
        <f t="shared" ref="G104:G106" si="6">(D104*E104)+(D104*F104)</f>
        <v>0</v>
      </c>
      <c r="I104" s="22">
        <f>0.2*0.2*4.515*29</f>
        <v>5.2374000000000001</v>
      </c>
    </row>
    <row r="105" spans="1:17" ht="13.5">
      <c r="A105" s="159"/>
      <c r="B105" s="160" t="s">
        <v>453</v>
      </c>
      <c r="C105" s="161" t="s">
        <v>151</v>
      </c>
      <c r="D105" s="116">
        <v>1.45</v>
      </c>
      <c r="E105" s="82"/>
      <c r="F105" s="95"/>
      <c r="G105" s="96">
        <f t="shared" si="6"/>
        <v>0</v>
      </c>
      <c r="I105" s="22">
        <f>0.4*0.2*4.515*4</f>
        <v>1.4448000000000001</v>
      </c>
    </row>
    <row r="106" spans="1:17" ht="13.5">
      <c r="A106" s="159"/>
      <c r="B106" s="160" t="s">
        <v>454</v>
      </c>
      <c r="C106" s="161" t="s">
        <v>151</v>
      </c>
      <c r="D106" s="116">
        <v>0.55000000000000004</v>
      </c>
      <c r="E106" s="82"/>
      <c r="F106" s="95"/>
      <c r="G106" s="96">
        <f t="shared" si="6"/>
        <v>0</v>
      </c>
      <c r="I106" s="22">
        <f>0.15*0.15*4.065*6</f>
        <v>0.54877500000000001</v>
      </c>
    </row>
    <row r="107" spans="1:17">
      <c r="A107" s="162" t="s">
        <v>10</v>
      </c>
      <c r="B107" s="163" t="s">
        <v>213</v>
      </c>
      <c r="C107" s="164"/>
      <c r="D107" s="165"/>
      <c r="E107" s="166"/>
      <c r="F107" s="95"/>
      <c r="G107" s="96">
        <f t="shared" ref="G107:G108" si="7">(D107*E107)+(D107*F107)</f>
        <v>0</v>
      </c>
    </row>
    <row r="108" spans="1:17" ht="13.5">
      <c r="A108" s="159"/>
      <c r="B108" s="160" t="s">
        <v>316</v>
      </c>
      <c r="C108" s="161" t="s">
        <v>151</v>
      </c>
      <c r="D108" s="116">
        <v>3.1</v>
      </c>
      <c r="E108" s="82"/>
      <c r="F108" s="95"/>
      <c r="G108" s="96">
        <f t="shared" si="7"/>
        <v>0</v>
      </c>
    </row>
    <row r="109" spans="1:17">
      <c r="A109" s="162" t="s">
        <v>16</v>
      </c>
      <c r="B109" s="163" t="s">
        <v>458</v>
      </c>
      <c r="C109" s="164"/>
      <c r="D109" s="165"/>
      <c r="E109" s="166"/>
      <c r="F109" s="95"/>
      <c r="G109" s="96">
        <f t="shared" ref="G109:G112" si="8">(D109*E109)+(D109*F109)</f>
        <v>0</v>
      </c>
    </row>
    <row r="110" spans="1:17" ht="13.5">
      <c r="A110" s="159"/>
      <c r="B110" s="160" t="s">
        <v>319</v>
      </c>
      <c r="C110" s="161" t="s">
        <v>151</v>
      </c>
      <c r="D110" s="116">
        <v>0.43</v>
      </c>
      <c r="E110" s="82"/>
      <c r="F110" s="95"/>
      <c r="G110" s="96">
        <f t="shared" si="8"/>
        <v>0</v>
      </c>
      <c r="I110" s="22">
        <f>4.02+3</f>
        <v>7.02</v>
      </c>
      <c r="J110" s="22">
        <f>I110*0.2*0.3</f>
        <v>0.42119999999999996</v>
      </c>
    </row>
    <row r="111" spans="1:17" ht="13.5">
      <c r="A111" s="159"/>
      <c r="B111" s="160" t="s">
        <v>320</v>
      </c>
      <c r="C111" s="161" t="s">
        <v>151</v>
      </c>
      <c r="D111" s="116">
        <v>0.25</v>
      </c>
      <c r="E111" s="82"/>
      <c r="F111" s="95"/>
      <c r="G111" s="96">
        <f t="shared" si="8"/>
        <v>0</v>
      </c>
      <c r="I111" s="22">
        <f>4.02</f>
        <v>4.0199999999999996</v>
      </c>
      <c r="J111" s="22">
        <f t="shared" ref="J111" si="9">I111*0.2*0.3</f>
        <v>0.24119999999999997</v>
      </c>
    </row>
    <row r="112" spans="1:17" ht="13.5">
      <c r="A112" s="159"/>
      <c r="B112" s="160" t="s">
        <v>323</v>
      </c>
      <c r="C112" s="161" t="s">
        <v>151</v>
      </c>
      <c r="D112" s="116">
        <v>0.24</v>
      </c>
      <c r="E112" s="82"/>
      <c r="F112" s="95"/>
      <c r="G112" s="96">
        <f t="shared" si="8"/>
        <v>0</v>
      </c>
      <c r="I112" s="22">
        <f>3</f>
        <v>3</v>
      </c>
      <c r="J112" s="22">
        <f>I112*0.2*0.4</f>
        <v>0.24000000000000005</v>
      </c>
    </row>
    <row r="113" spans="1:12">
      <c r="A113" s="162" t="s">
        <v>48</v>
      </c>
      <c r="B113" s="163" t="s">
        <v>460</v>
      </c>
      <c r="C113" s="164"/>
      <c r="D113" s="165"/>
      <c r="E113" s="166"/>
      <c r="F113" s="95"/>
      <c r="G113" s="96">
        <f t="shared" ref="G113:G114" si="10">(D113*E113)+(D113*F113)</f>
        <v>0</v>
      </c>
    </row>
    <row r="114" spans="1:12" ht="13.5">
      <c r="A114" s="159"/>
      <c r="B114" s="160" t="s">
        <v>461</v>
      </c>
      <c r="C114" s="161" t="s">
        <v>151</v>
      </c>
      <c r="D114" s="116">
        <v>3.05</v>
      </c>
      <c r="E114" s="82"/>
      <c r="F114" s="95"/>
      <c r="G114" s="96">
        <f t="shared" si="10"/>
        <v>0</v>
      </c>
      <c r="I114" s="22">
        <f>5.925*3.4</f>
        <v>20.145</v>
      </c>
      <c r="J114" s="22">
        <f>I114*0.15</f>
        <v>3.0217499999999999</v>
      </c>
    </row>
    <row r="115" spans="1:12">
      <c r="A115" s="162" t="s">
        <v>459</v>
      </c>
      <c r="B115" s="163" t="s">
        <v>216</v>
      </c>
      <c r="C115" s="164"/>
      <c r="D115" s="165"/>
      <c r="E115" s="166"/>
      <c r="F115" s="95"/>
      <c r="G115" s="96">
        <f t="shared" ref="G115:G116" si="11">(D115*E115)+(D115*F115)</f>
        <v>0</v>
      </c>
    </row>
    <row r="116" spans="1:12" ht="13.5">
      <c r="A116" s="159"/>
      <c r="B116" s="160" t="s">
        <v>315</v>
      </c>
      <c r="C116" s="161" t="s">
        <v>151</v>
      </c>
      <c r="D116" s="116">
        <v>29.35</v>
      </c>
      <c r="E116" s="82"/>
      <c r="F116" s="95"/>
      <c r="G116" s="96">
        <f t="shared" si="11"/>
        <v>0</v>
      </c>
      <c r="I116" s="22">
        <v>285.73500000000001</v>
      </c>
      <c r="J116" s="22">
        <f>25.8*0.15*2</f>
        <v>7.74</v>
      </c>
      <c r="K116" s="22">
        <f>SUM(I116:J116)</f>
        <v>293.47500000000002</v>
      </c>
      <c r="L116" s="22">
        <f>K116*0.1</f>
        <v>29.347500000000004</v>
      </c>
    </row>
    <row r="117" spans="1:12">
      <c r="A117" s="159"/>
      <c r="B117" s="160"/>
      <c r="C117" s="161"/>
      <c r="D117" s="116"/>
      <c r="E117" s="82"/>
      <c r="F117" s="95"/>
      <c r="G117" s="96"/>
    </row>
    <row r="118" spans="1:12">
      <c r="A118" s="152" t="s">
        <v>57</v>
      </c>
      <c r="B118" s="153" t="s">
        <v>69</v>
      </c>
      <c r="C118" s="154"/>
      <c r="D118" s="155"/>
      <c r="E118" s="156"/>
      <c r="F118" s="157"/>
      <c r="G118" s="158"/>
    </row>
    <row r="119" spans="1:12">
      <c r="A119" s="162" t="s">
        <v>167</v>
      </c>
      <c r="B119" s="163" t="s">
        <v>317</v>
      </c>
      <c r="C119" s="164"/>
      <c r="D119" s="165"/>
      <c r="E119" s="166"/>
      <c r="F119" s="167"/>
      <c r="G119" s="168"/>
    </row>
    <row r="120" spans="1:12" ht="13.5">
      <c r="A120" s="159"/>
      <c r="B120" s="160" t="s">
        <v>319</v>
      </c>
      <c r="C120" s="161" t="s">
        <v>151</v>
      </c>
      <c r="D120" s="116">
        <v>2.74</v>
      </c>
      <c r="E120" s="82"/>
      <c r="F120" s="95"/>
      <c r="G120" s="96">
        <f t="shared" ref="G120:G122" si="12">(D120*E120)+(D120*F120)</f>
        <v>0</v>
      </c>
      <c r="I120" s="22">
        <f>21*2+1.8*2</f>
        <v>45.6</v>
      </c>
      <c r="J120" s="22">
        <f>I120*0.2*0.3</f>
        <v>2.7360000000000002</v>
      </c>
    </row>
    <row r="121" spans="1:12" ht="13.5">
      <c r="A121" s="159"/>
      <c r="B121" s="160" t="s">
        <v>320</v>
      </c>
      <c r="C121" s="161" t="s">
        <v>151</v>
      </c>
      <c r="D121" s="116">
        <v>0.97199999999999998</v>
      </c>
      <c r="E121" s="82"/>
      <c r="F121" s="95"/>
      <c r="G121" s="96">
        <f t="shared" si="12"/>
        <v>0</v>
      </c>
      <c r="I121" s="22">
        <f>4.02*2+4.08*2</f>
        <v>16.2</v>
      </c>
      <c r="J121" s="22">
        <f t="shared" ref="J121:J123" si="13">I121*0.2*0.3</f>
        <v>0.97199999999999998</v>
      </c>
    </row>
    <row r="122" spans="1:12" ht="13.5">
      <c r="A122" s="159"/>
      <c r="B122" s="160" t="s">
        <v>321</v>
      </c>
      <c r="C122" s="161" t="s">
        <v>151</v>
      </c>
      <c r="D122" s="116">
        <v>1.458</v>
      </c>
      <c r="E122" s="82"/>
      <c r="F122" s="95"/>
      <c r="G122" s="96">
        <f t="shared" si="12"/>
        <v>0</v>
      </c>
      <c r="I122" s="22">
        <f>4.02*3+4.08*3</f>
        <v>24.299999999999997</v>
      </c>
      <c r="J122" s="22">
        <f t="shared" si="13"/>
        <v>1.4579999999999997</v>
      </c>
    </row>
    <row r="123" spans="1:12" ht="13.5">
      <c r="A123" s="159"/>
      <c r="B123" s="160" t="s">
        <v>322</v>
      </c>
      <c r="C123" s="161" t="s">
        <v>151</v>
      </c>
      <c r="D123" s="116">
        <v>1.26</v>
      </c>
      <c r="E123" s="82"/>
      <c r="F123" s="95"/>
      <c r="G123" s="96">
        <f t="shared" ref="G123:G127" si="14">(D123*E123)+(D123*F123)</f>
        <v>0</v>
      </c>
      <c r="I123" s="22">
        <v>21</v>
      </c>
      <c r="J123" s="22">
        <f t="shared" si="13"/>
        <v>1.26</v>
      </c>
    </row>
    <row r="124" spans="1:12" ht="13.5">
      <c r="A124" s="159"/>
      <c r="B124" s="160" t="s">
        <v>323</v>
      </c>
      <c r="C124" s="161" t="s">
        <v>151</v>
      </c>
      <c r="D124" s="116">
        <v>0.24</v>
      </c>
      <c r="E124" s="82"/>
      <c r="F124" s="95"/>
      <c r="G124" s="96">
        <f t="shared" si="14"/>
        <v>0</v>
      </c>
      <c r="I124" s="22">
        <v>3</v>
      </c>
      <c r="J124" s="22">
        <f>I124*0.2*0.4</f>
        <v>0.24000000000000005</v>
      </c>
    </row>
    <row r="125" spans="1:12" ht="13.5">
      <c r="A125" s="159"/>
      <c r="B125" s="160" t="s">
        <v>324</v>
      </c>
      <c r="C125" s="161" t="s">
        <v>151</v>
      </c>
      <c r="D125" s="116">
        <v>1.488</v>
      </c>
      <c r="E125" s="82"/>
      <c r="F125" s="95"/>
      <c r="G125" s="96">
        <f t="shared" si="14"/>
        <v>0</v>
      </c>
      <c r="I125" s="22">
        <f>6.2*3</f>
        <v>18.600000000000001</v>
      </c>
      <c r="J125" s="22">
        <f>I125*0.2*0.4</f>
        <v>1.4880000000000004</v>
      </c>
    </row>
    <row r="126" spans="1:12">
      <c r="A126" s="162" t="s">
        <v>68</v>
      </c>
      <c r="B126" s="163" t="s">
        <v>318</v>
      </c>
      <c r="C126" s="164"/>
      <c r="D126" s="165"/>
      <c r="E126" s="166"/>
      <c r="F126" s="95"/>
      <c r="G126" s="96">
        <f t="shared" si="14"/>
        <v>0</v>
      </c>
    </row>
    <row r="127" spans="1:12" ht="13.5">
      <c r="A127" s="159"/>
      <c r="B127" s="160" t="s">
        <v>325</v>
      </c>
      <c r="C127" s="161" t="s">
        <v>151</v>
      </c>
      <c r="D127" s="116">
        <v>37.33</v>
      </c>
      <c r="E127" s="82"/>
      <c r="F127" s="95"/>
      <c r="G127" s="96">
        <f t="shared" si="14"/>
        <v>0</v>
      </c>
      <c r="I127" s="22">
        <f>22.6*8.5</f>
        <v>192.10000000000002</v>
      </c>
      <c r="J127" s="22">
        <f>25.8*2.2</f>
        <v>56.760000000000005</v>
      </c>
      <c r="K127" s="22">
        <f>SUM(I127:J127)</f>
        <v>248.86</v>
      </c>
      <c r="L127" s="22">
        <f>K127*0.15</f>
        <v>37.329000000000001</v>
      </c>
    </row>
    <row r="128" spans="1:12">
      <c r="A128" s="162" t="s">
        <v>72</v>
      </c>
      <c r="B128" s="163" t="s">
        <v>185</v>
      </c>
      <c r="C128" s="164"/>
      <c r="D128" s="165"/>
      <c r="E128" s="166"/>
      <c r="F128" s="167"/>
      <c r="G128" s="168"/>
    </row>
    <row r="129" spans="1:10" ht="13.5">
      <c r="A129" s="159"/>
      <c r="B129" s="160" t="s">
        <v>455</v>
      </c>
      <c r="C129" s="161" t="s">
        <v>151</v>
      </c>
      <c r="D129" s="116">
        <v>4.0599999999999996</v>
      </c>
      <c r="E129" s="82"/>
      <c r="F129" s="95"/>
      <c r="G129" s="96">
        <f t="shared" ref="G129:G133" si="15">(D129*E129)+(D129*F129)</f>
        <v>0</v>
      </c>
      <c r="I129" s="22">
        <f>0.2*0.2*3.5*29</f>
        <v>4.0600000000000005</v>
      </c>
    </row>
    <row r="130" spans="1:10" ht="13.5">
      <c r="A130" s="159"/>
      <c r="B130" s="160" t="s">
        <v>456</v>
      </c>
      <c r="C130" s="161" t="s">
        <v>151</v>
      </c>
      <c r="D130" s="116">
        <v>1.1200000000000001</v>
      </c>
      <c r="E130" s="82"/>
      <c r="F130" s="95"/>
      <c r="G130" s="96">
        <f t="shared" si="15"/>
        <v>0</v>
      </c>
      <c r="I130" s="22">
        <f>0.4*0.2*3.5*4</f>
        <v>1.1200000000000001</v>
      </c>
    </row>
    <row r="131" spans="1:10" ht="13.5">
      <c r="A131" s="159"/>
      <c r="B131" s="160" t="s">
        <v>457</v>
      </c>
      <c r="C131" s="161" t="s">
        <v>151</v>
      </c>
      <c r="D131" s="116">
        <v>0.42</v>
      </c>
      <c r="E131" s="82"/>
      <c r="F131" s="95"/>
      <c r="G131" s="96">
        <f t="shared" si="15"/>
        <v>0</v>
      </c>
      <c r="I131" s="22">
        <f>0.15*0.15*3.05*6</f>
        <v>0.41174999999999995</v>
      </c>
    </row>
    <row r="132" spans="1:10">
      <c r="A132" s="162" t="s">
        <v>101</v>
      </c>
      <c r="B132" s="163" t="s">
        <v>213</v>
      </c>
      <c r="C132" s="164"/>
      <c r="D132" s="165"/>
      <c r="E132" s="166"/>
      <c r="F132" s="95"/>
      <c r="G132" s="96">
        <f t="shared" si="15"/>
        <v>0</v>
      </c>
    </row>
    <row r="133" spans="1:10" ht="13.5">
      <c r="A133" s="159"/>
      <c r="B133" s="160" t="s">
        <v>316</v>
      </c>
      <c r="C133" s="161" t="s">
        <v>151</v>
      </c>
      <c r="D133" s="116">
        <v>2.95</v>
      </c>
      <c r="E133" s="82"/>
      <c r="F133" s="95"/>
      <c r="G133" s="96">
        <f t="shared" si="15"/>
        <v>0</v>
      </c>
    </row>
    <row r="134" spans="1:10">
      <c r="A134" s="162" t="s">
        <v>462</v>
      </c>
      <c r="B134" s="163" t="s">
        <v>458</v>
      </c>
      <c r="C134" s="164"/>
      <c r="D134" s="165"/>
      <c r="E134" s="166"/>
      <c r="F134" s="95"/>
      <c r="G134" s="96">
        <f t="shared" ref="G134:G139" si="16">(D134*E134)+(D134*F134)</f>
        <v>0</v>
      </c>
    </row>
    <row r="135" spans="1:10" ht="13.5">
      <c r="A135" s="159"/>
      <c r="B135" s="160" t="s">
        <v>319</v>
      </c>
      <c r="C135" s="161" t="s">
        <v>151</v>
      </c>
      <c r="D135" s="116">
        <v>0.43</v>
      </c>
      <c r="E135" s="82"/>
      <c r="F135" s="95"/>
      <c r="G135" s="96">
        <f t="shared" si="16"/>
        <v>0</v>
      </c>
      <c r="I135" s="22">
        <f>4.02+3</f>
        <v>7.02</v>
      </c>
      <c r="J135" s="22">
        <f>I135*0.2*0.3</f>
        <v>0.42119999999999996</v>
      </c>
    </row>
    <row r="136" spans="1:10" ht="13.5">
      <c r="A136" s="159"/>
      <c r="B136" s="160" t="s">
        <v>320</v>
      </c>
      <c r="C136" s="161" t="s">
        <v>151</v>
      </c>
      <c r="D136" s="116">
        <v>0.25</v>
      </c>
      <c r="E136" s="82"/>
      <c r="F136" s="95"/>
      <c r="G136" s="96">
        <f t="shared" si="16"/>
        <v>0</v>
      </c>
      <c r="I136" s="22">
        <f>4.02</f>
        <v>4.0199999999999996</v>
      </c>
      <c r="J136" s="22">
        <f t="shared" ref="J136" si="17">I136*0.2*0.3</f>
        <v>0.24119999999999997</v>
      </c>
    </row>
    <row r="137" spans="1:10" ht="14.25" thickBot="1">
      <c r="A137" s="358"/>
      <c r="B137" s="359" t="s">
        <v>323</v>
      </c>
      <c r="C137" s="339" t="s">
        <v>151</v>
      </c>
      <c r="D137" s="360">
        <v>0.24</v>
      </c>
      <c r="E137" s="365"/>
      <c r="F137" s="340"/>
      <c r="G137" s="361">
        <f t="shared" si="16"/>
        <v>0</v>
      </c>
      <c r="I137" s="22">
        <f>3</f>
        <v>3</v>
      </c>
      <c r="J137" s="22">
        <f>I137*0.2*0.4</f>
        <v>0.24000000000000005</v>
      </c>
    </row>
    <row r="138" spans="1:10">
      <c r="A138" s="162" t="s">
        <v>463</v>
      </c>
      <c r="B138" s="163" t="s">
        <v>460</v>
      </c>
      <c r="C138" s="164"/>
      <c r="D138" s="165"/>
      <c r="E138" s="166"/>
      <c r="F138" s="95"/>
      <c r="G138" s="96">
        <f t="shared" si="16"/>
        <v>0</v>
      </c>
    </row>
    <row r="139" spans="1:10" ht="13.5">
      <c r="A139" s="159"/>
      <c r="B139" s="160" t="s">
        <v>461</v>
      </c>
      <c r="C139" s="161" t="s">
        <v>151</v>
      </c>
      <c r="D139" s="116">
        <v>3.05</v>
      </c>
      <c r="E139" s="82"/>
      <c r="F139" s="95"/>
      <c r="G139" s="96">
        <f t="shared" si="16"/>
        <v>0</v>
      </c>
      <c r="I139" s="22">
        <f>5.925*3.4</f>
        <v>20.145</v>
      </c>
      <c r="J139" s="22">
        <f>I139*0.15</f>
        <v>3.0217499999999999</v>
      </c>
    </row>
    <row r="140" spans="1:10">
      <c r="A140" s="159"/>
      <c r="B140" s="160"/>
      <c r="C140" s="161"/>
      <c r="D140" s="116"/>
      <c r="E140" s="82"/>
      <c r="F140" s="95"/>
      <c r="G140" s="96"/>
    </row>
    <row r="141" spans="1:10">
      <c r="A141" s="152" t="s">
        <v>163</v>
      </c>
      <c r="B141" s="153" t="s">
        <v>71</v>
      </c>
      <c r="C141" s="154"/>
      <c r="D141" s="155"/>
      <c r="E141" s="156"/>
      <c r="F141" s="157"/>
      <c r="G141" s="158"/>
    </row>
    <row r="142" spans="1:10">
      <c r="A142" s="162" t="s">
        <v>104</v>
      </c>
      <c r="B142" s="163" t="s">
        <v>317</v>
      </c>
      <c r="C142" s="164"/>
      <c r="D142" s="165"/>
      <c r="E142" s="166"/>
      <c r="F142" s="167"/>
      <c r="G142" s="168"/>
    </row>
    <row r="143" spans="1:10" ht="13.5">
      <c r="A143" s="159"/>
      <c r="B143" s="160" t="s">
        <v>319</v>
      </c>
      <c r="C143" s="161" t="s">
        <v>151</v>
      </c>
      <c r="D143" s="116">
        <v>2.74</v>
      </c>
      <c r="E143" s="82"/>
      <c r="F143" s="95"/>
      <c r="G143" s="96">
        <f t="shared" ref="G143:G148" si="18">(D143*E143)+(D143*F143)</f>
        <v>0</v>
      </c>
      <c r="I143" s="22">
        <f>21*2+1.8*2</f>
        <v>45.6</v>
      </c>
      <c r="J143" s="22">
        <f>I143*0.2*0.3</f>
        <v>2.7360000000000002</v>
      </c>
    </row>
    <row r="144" spans="1:10" ht="13.5">
      <c r="A144" s="159"/>
      <c r="B144" s="160" t="s">
        <v>320</v>
      </c>
      <c r="C144" s="161" t="s">
        <v>151</v>
      </c>
      <c r="D144" s="116">
        <v>0.97199999999999998</v>
      </c>
      <c r="E144" s="82"/>
      <c r="F144" s="95"/>
      <c r="G144" s="96">
        <f t="shared" si="18"/>
        <v>0</v>
      </c>
      <c r="I144" s="22">
        <f>4.02*2+4.08*2</f>
        <v>16.2</v>
      </c>
      <c r="J144" s="22">
        <f t="shared" ref="J144:J146" si="19">I144*0.2*0.3</f>
        <v>0.97199999999999998</v>
      </c>
    </row>
    <row r="145" spans="1:12" ht="13.5">
      <c r="A145" s="159"/>
      <c r="B145" s="160" t="s">
        <v>321</v>
      </c>
      <c r="C145" s="161" t="s">
        <v>151</v>
      </c>
      <c r="D145" s="116">
        <v>1.458</v>
      </c>
      <c r="E145" s="82"/>
      <c r="F145" s="95"/>
      <c r="G145" s="96">
        <f t="shared" si="18"/>
        <v>0</v>
      </c>
      <c r="I145" s="22">
        <f>4.02*3+4.08*3</f>
        <v>24.299999999999997</v>
      </c>
      <c r="J145" s="22">
        <f t="shared" si="19"/>
        <v>1.4579999999999997</v>
      </c>
    </row>
    <row r="146" spans="1:12" ht="13.5">
      <c r="A146" s="159"/>
      <c r="B146" s="160" t="s">
        <v>322</v>
      </c>
      <c r="C146" s="161" t="s">
        <v>151</v>
      </c>
      <c r="D146" s="116">
        <v>1.26</v>
      </c>
      <c r="E146" s="82"/>
      <c r="F146" s="95"/>
      <c r="G146" s="96">
        <f t="shared" si="18"/>
        <v>0</v>
      </c>
      <c r="I146" s="22">
        <v>21</v>
      </c>
      <c r="J146" s="22">
        <f t="shared" si="19"/>
        <v>1.26</v>
      </c>
    </row>
    <row r="147" spans="1:12" ht="13.5">
      <c r="A147" s="159"/>
      <c r="B147" s="160" t="s">
        <v>323</v>
      </c>
      <c r="C147" s="161" t="s">
        <v>151</v>
      </c>
      <c r="D147" s="116">
        <v>0.24</v>
      </c>
      <c r="E147" s="82"/>
      <c r="F147" s="95"/>
      <c r="G147" s="96">
        <f t="shared" si="18"/>
        <v>0</v>
      </c>
      <c r="I147" s="22">
        <v>3</v>
      </c>
      <c r="J147" s="22">
        <f>I147*0.2*0.4</f>
        <v>0.24000000000000005</v>
      </c>
    </row>
    <row r="148" spans="1:12" ht="13.5">
      <c r="A148" s="159"/>
      <c r="B148" s="160" t="s">
        <v>324</v>
      </c>
      <c r="C148" s="161" t="s">
        <v>151</v>
      </c>
      <c r="D148" s="116">
        <v>1.488</v>
      </c>
      <c r="E148" s="82"/>
      <c r="F148" s="95"/>
      <c r="G148" s="96">
        <f t="shared" si="18"/>
        <v>0</v>
      </c>
      <c r="I148" s="22">
        <f>6.2*3</f>
        <v>18.600000000000001</v>
      </c>
      <c r="J148" s="22">
        <f>I148*0.2*0.4</f>
        <v>1.4880000000000004</v>
      </c>
    </row>
    <row r="149" spans="1:12">
      <c r="A149" s="162" t="s">
        <v>144</v>
      </c>
      <c r="B149" s="163" t="s">
        <v>318</v>
      </c>
      <c r="C149" s="164"/>
      <c r="D149" s="165"/>
      <c r="E149" s="166"/>
      <c r="F149" s="95"/>
      <c r="G149" s="96">
        <f t="shared" ref="G149:G150" si="20">(D149*E149)+(D149*F149)</f>
        <v>0</v>
      </c>
    </row>
    <row r="150" spans="1:12" ht="13.5">
      <c r="A150" s="159"/>
      <c r="B150" s="160" t="s">
        <v>325</v>
      </c>
      <c r="C150" s="161" t="s">
        <v>151</v>
      </c>
      <c r="D150" s="116">
        <v>27.1</v>
      </c>
      <c r="E150" s="82"/>
      <c r="F150" s="95"/>
      <c r="G150" s="96">
        <f t="shared" si="20"/>
        <v>0</v>
      </c>
      <c r="I150" s="22">
        <v>180.4</v>
      </c>
      <c r="K150" s="22">
        <f>SUM(I150:J150)</f>
        <v>180.4</v>
      </c>
      <c r="L150" s="22">
        <f>K150*0.15</f>
        <v>27.06</v>
      </c>
    </row>
    <row r="151" spans="1:12">
      <c r="A151" s="162" t="s">
        <v>145</v>
      </c>
      <c r="B151" s="163" t="s">
        <v>185</v>
      </c>
      <c r="C151" s="164"/>
      <c r="D151" s="165"/>
      <c r="E151" s="166"/>
      <c r="F151" s="167"/>
      <c r="G151" s="168"/>
    </row>
    <row r="152" spans="1:12" ht="13.5">
      <c r="A152" s="159"/>
      <c r="B152" s="160" t="s">
        <v>455</v>
      </c>
      <c r="C152" s="161" t="s">
        <v>151</v>
      </c>
      <c r="D152" s="116">
        <v>4.0599999999999996</v>
      </c>
      <c r="E152" s="82"/>
      <c r="F152" s="95"/>
      <c r="G152" s="96">
        <f t="shared" ref="G152:G154" si="21">(D152*E152)+(D152*F152)</f>
        <v>0</v>
      </c>
      <c r="I152" s="22">
        <f>0.2*0.2*3.5*29</f>
        <v>4.0600000000000005</v>
      </c>
    </row>
    <row r="153" spans="1:12" ht="13.5">
      <c r="A153" s="159"/>
      <c r="B153" s="160" t="s">
        <v>456</v>
      </c>
      <c r="C153" s="161" t="s">
        <v>151</v>
      </c>
      <c r="D153" s="116">
        <v>1.1200000000000001</v>
      </c>
      <c r="E153" s="82"/>
      <c r="F153" s="95"/>
      <c r="G153" s="96">
        <f t="shared" si="21"/>
        <v>0</v>
      </c>
      <c r="I153" s="22">
        <f>0.4*0.2*3.5*4</f>
        <v>1.1200000000000001</v>
      </c>
    </row>
    <row r="154" spans="1:12" ht="13.5">
      <c r="A154" s="159"/>
      <c r="B154" s="160" t="s">
        <v>457</v>
      </c>
      <c r="C154" s="161" t="s">
        <v>151</v>
      </c>
      <c r="D154" s="116">
        <v>0.42</v>
      </c>
      <c r="E154" s="82"/>
      <c r="F154" s="95"/>
      <c r="G154" s="96">
        <f t="shared" si="21"/>
        <v>0</v>
      </c>
      <c r="I154" s="22">
        <f>0.15*0.15*3.05*6</f>
        <v>0.41174999999999995</v>
      </c>
    </row>
    <row r="155" spans="1:12">
      <c r="A155" s="152" t="s">
        <v>164</v>
      </c>
      <c r="B155" s="153" t="s">
        <v>293</v>
      </c>
      <c r="C155" s="154"/>
      <c r="D155" s="155"/>
      <c r="E155" s="156"/>
      <c r="F155" s="157"/>
      <c r="G155" s="158"/>
    </row>
    <row r="156" spans="1:12">
      <c r="A156" s="162" t="s">
        <v>110</v>
      </c>
      <c r="B156" s="163" t="s">
        <v>308</v>
      </c>
      <c r="C156" s="164"/>
      <c r="D156" s="165"/>
      <c r="E156" s="166"/>
      <c r="F156" s="167"/>
      <c r="G156" s="168"/>
    </row>
    <row r="157" spans="1:12" ht="13.5">
      <c r="A157" s="159"/>
      <c r="B157" s="160" t="s">
        <v>329</v>
      </c>
      <c r="C157" s="161" t="s">
        <v>151</v>
      </c>
      <c r="D157" s="116">
        <v>1.6739999999999999</v>
      </c>
      <c r="E157" s="82"/>
      <c r="F157" s="95"/>
      <c r="G157" s="96">
        <f t="shared" ref="G157:G159" si="22">(D157*E157)+(D157*F157)</f>
        <v>0</v>
      </c>
      <c r="I157" s="22">
        <f>6.2*3</f>
        <v>18.600000000000001</v>
      </c>
      <c r="J157" s="22">
        <f>I157*0.2*0.45</f>
        <v>1.6740000000000004</v>
      </c>
    </row>
    <row r="158" spans="1:12" ht="13.5">
      <c r="A158" s="159"/>
      <c r="B158" s="160" t="s">
        <v>328</v>
      </c>
      <c r="C158" s="161" t="s">
        <v>151</v>
      </c>
      <c r="D158" s="116">
        <v>0.54</v>
      </c>
      <c r="E158" s="82"/>
      <c r="F158" s="95"/>
      <c r="G158" s="96">
        <f t="shared" si="22"/>
        <v>0</v>
      </c>
      <c r="I158" s="22">
        <f>3*2</f>
        <v>6</v>
      </c>
      <c r="J158" s="22">
        <f>I158*0.2*0.45</f>
        <v>0.54000000000000015</v>
      </c>
    </row>
    <row r="159" spans="1:12" ht="13.5">
      <c r="A159" s="159"/>
      <c r="B159" s="160" t="s">
        <v>327</v>
      </c>
      <c r="C159" s="161" t="s">
        <v>151</v>
      </c>
      <c r="D159" s="116">
        <v>10.512</v>
      </c>
      <c r="E159" s="82"/>
      <c r="F159" s="95"/>
      <c r="G159" s="96">
        <f t="shared" si="22"/>
        <v>0</v>
      </c>
      <c r="I159" s="22">
        <f>3*8*3+4.02*6+4.08*6+1.8*6</f>
        <v>131.4</v>
      </c>
      <c r="J159" s="22">
        <f>I159*0.2*0.4</f>
        <v>10.512</v>
      </c>
    </row>
    <row r="160" spans="1:12">
      <c r="A160" s="159"/>
      <c r="B160" s="160"/>
      <c r="C160" s="161"/>
      <c r="D160" s="116"/>
      <c r="E160" s="82"/>
      <c r="F160" s="95"/>
      <c r="G160" s="96"/>
    </row>
    <row r="161" spans="1:17">
      <c r="A161" s="139" t="s">
        <v>72</v>
      </c>
      <c r="B161" s="169" t="s">
        <v>12</v>
      </c>
      <c r="C161" s="151"/>
      <c r="D161" s="142"/>
      <c r="E161" s="143"/>
      <c r="F161" s="142"/>
      <c r="G161" s="170"/>
      <c r="M161" s="22" t="e">
        <f>#REF!-#REF!</f>
        <v>#REF!</v>
      </c>
    </row>
    <row r="162" spans="1:17" ht="16.5" customHeight="1">
      <c r="A162" s="78"/>
      <c r="B162" s="445" t="s">
        <v>142</v>
      </c>
      <c r="C162" s="445"/>
      <c r="D162" s="445"/>
      <c r="E162" s="445"/>
      <c r="F162" s="104"/>
      <c r="G162" s="171"/>
    </row>
    <row r="163" spans="1:17" ht="38.25" customHeight="1">
      <c r="A163" s="78"/>
      <c r="B163" s="445" t="s">
        <v>73</v>
      </c>
      <c r="C163" s="445"/>
      <c r="D163" s="445"/>
      <c r="E163" s="445"/>
      <c r="F163" s="104"/>
      <c r="G163" s="171"/>
    </row>
    <row r="164" spans="1:17" ht="28.5" customHeight="1">
      <c r="A164" s="78"/>
      <c r="B164" s="445" t="s">
        <v>74</v>
      </c>
      <c r="C164" s="445"/>
      <c r="D164" s="445"/>
      <c r="E164" s="445"/>
      <c r="F164" s="104"/>
      <c r="G164" s="171"/>
    </row>
    <row r="165" spans="1:17" ht="38.25" customHeight="1">
      <c r="A165" s="78"/>
      <c r="B165" s="446" t="s">
        <v>75</v>
      </c>
      <c r="C165" s="446"/>
      <c r="D165" s="446"/>
      <c r="E165" s="446"/>
      <c r="F165" s="99"/>
      <c r="G165" s="172"/>
    </row>
    <row r="166" spans="1:17">
      <c r="A166" s="152" t="s">
        <v>161</v>
      </c>
      <c r="B166" s="153" t="s">
        <v>64</v>
      </c>
      <c r="C166" s="154"/>
      <c r="D166" s="155"/>
      <c r="E166" s="156"/>
      <c r="F166" s="157"/>
      <c r="G166" s="158"/>
    </row>
    <row r="167" spans="1:17" ht="13.5">
      <c r="A167" s="78"/>
      <c r="B167" s="130" t="s">
        <v>312</v>
      </c>
      <c r="C167" s="173" t="s">
        <v>153</v>
      </c>
      <c r="D167" s="93">
        <v>54.9</v>
      </c>
      <c r="E167" s="82"/>
      <c r="F167" s="95"/>
      <c r="G167" s="96">
        <f t="shared" ref="G167:G169" si="23">(D167*E167)+(D167*F167)</f>
        <v>0</v>
      </c>
      <c r="I167" s="33">
        <f>1.05*4*0.3*7</f>
        <v>8.82</v>
      </c>
      <c r="J167" s="28">
        <f>1.15*4*0.3*4</f>
        <v>5.52</v>
      </c>
      <c r="K167" s="26">
        <f>1.45*4*0.3*7</f>
        <v>12.18</v>
      </c>
      <c r="L167" s="57">
        <f>1.35*4*0.3*5</f>
        <v>8.1000000000000014</v>
      </c>
      <c r="M167" s="26">
        <f>1.55*4*0.3*4</f>
        <v>7.4399999999999995</v>
      </c>
      <c r="N167" s="57">
        <f>2.2*4*0.3*2</f>
        <v>5.28</v>
      </c>
      <c r="O167" s="22">
        <f>2.35*4*0.3*2</f>
        <v>5.64</v>
      </c>
      <c r="P167" s="22">
        <f>0.8*4*0.3*2</f>
        <v>1.92</v>
      </c>
      <c r="Q167" s="33">
        <f>SUM(I167:P167)</f>
        <v>54.900000000000006</v>
      </c>
    </row>
    <row r="168" spans="1:17" ht="13.5">
      <c r="A168" s="78"/>
      <c r="B168" s="130" t="s">
        <v>313</v>
      </c>
      <c r="C168" s="173" t="s">
        <v>153</v>
      </c>
      <c r="D168" s="93">
        <v>87.26</v>
      </c>
      <c r="E168" s="82"/>
      <c r="F168" s="95"/>
      <c r="G168" s="96">
        <f t="shared" si="23"/>
        <v>0</v>
      </c>
      <c r="I168" s="33">
        <f>25.8*3+3.97*2+4.055*2+1.75*2</f>
        <v>96.95</v>
      </c>
      <c r="J168" s="28">
        <f>I168*2*0.45</f>
        <v>87.25500000000001</v>
      </c>
      <c r="K168" s="28"/>
      <c r="L168" s="57"/>
      <c r="M168" s="26"/>
      <c r="N168" s="57"/>
    </row>
    <row r="169" spans="1:17" ht="13.5">
      <c r="A169" s="78"/>
      <c r="B169" s="130" t="s">
        <v>314</v>
      </c>
      <c r="C169" s="173" t="s">
        <v>153</v>
      </c>
      <c r="D169" s="93">
        <v>58.41</v>
      </c>
      <c r="E169" s="82"/>
      <c r="F169" s="95"/>
      <c r="G169" s="96">
        <f t="shared" si="23"/>
        <v>0</v>
      </c>
      <c r="I169" s="33">
        <f>3.97*4+4.055*4+1.75*4+25.8</f>
        <v>64.900000000000006</v>
      </c>
      <c r="J169" s="28">
        <f>I169*2*0.45</f>
        <v>58.410000000000004</v>
      </c>
      <c r="K169" s="28"/>
      <c r="L169" s="57"/>
      <c r="M169" s="26"/>
      <c r="N169" s="57"/>
    </row>
    <row r="170" spans="1:17">
      <c r="A170" s="152" t="s">
        <v>162</v>
      </c>
      <c r="B170" s="153" t="s">
        <v>67</v>
      </c>
      <c r="C170" s="154"/>
      <c r="D170" s="155"/>
      <c r="E170" s="156"/>
      <c r="F170" s="157"/>
      <c r="G170" s="158"/>
    </row>
    <row r="171" spans="1:17">
      <c r="A171" s="162" t="s">
        <v>166</v>
      </c>
      <c r="B171" s="163" t="s">
        <v>185</v>
      </c>
      <c r="C171" s="164"/>
      <c r="D171" s="165"/>
      <c r="E171" s="166"/>
      <c r="F171" s="167"/>
      <c r="G171" s="168"/>
    </row>
    <row r="172" spans="1:17" ht="13.5">
      <c r="A172" s="159"/>
      <c r="B172" s="160" t="s">
        <v>464</v>
      </c>
      <c r="C172" s="173" t="s">
        <v>153</v>
      </c>
      <c r="D172" s="116">
        <v>108</v>
      </c>
      <c r="E172" s="82"/>
      <c r="F172" s="95"/>
      <c r="G172" s="96">
        <f t="shared" ref="G172:G182" si="24">(D172*E172)+(D172*F172)</f>
        <v>0</v>
      </c>
      <c r="I172" s="22">
        <f>0.2*4*4.655*29</f>
        <v>107.99600000000001</v>
      </c>
    </row>
    <row r="173" spans="1:17" ht="13.5">
      <c r="A173" s="159"/>
      <c r="B173" s="160" t="s">
        <v>465</v>
      </c>
      <c r="C173" s="173" t="s">
        <v>153</v>
      </c>
      <c r="D173" s="116">
        <v>22.344000000000001</v>
      </c>
      <c r="E173" s="82"/>
      <c r="F173" s="95"/>
      <c r="G173" s="96">
        <f t="shared" si="24"/>
        <v>0</v>
      </c>
      <c r="I173" s="22">
        <f>1.2*4.655*4</f>
        <v>22.344000000000001</v>
      </c>
    </row>
    <row r="174" spans="1:17" ht="13.5">
      <c r="A174" s="159"/>
      <c r="B174" s="160" t="s">
        <v>466</v>
      </c>
      <c r="C174" s="173" t="s">
        <v>153</v>
      </c>
      <c r="D174" s="116">
        <v>15.14</v>
      </c>
      <c r="E174" s="82"/>
      <c r="F174" s="95"/>
      <c r="G174" s="96">
        <f t="shared" si="24"/>
        <v>0</v>
      </c>
      <c r="I174" s="22">
        <f>0.6*4.205*6</f>
        <v>15.138000000000002</v>
      </c>
    </row>
    <row r="175" spans="1:17">
      <c r="A175" s="162" t="s">
        <v>10</v>
      </c>
      <c r="B175" s="163" t="s">
        <v>213</v>
      </c>
      <c r="C175" s="164"/>
      <c r="D175" s="165"/>
      <c r="E175" s="166"/>
      <c r="F175" s="95"/>
      <c r="G175" s="96">
        <f t="shared" si="24"/>
        <v>0</v>
      </c>
    </row>
    <row r="176" spans="1:17" ht="13.5">
      <c r="A176" s="159"/>
      <c r="B176" s="160" t="s">
        <v>316</v>
      </c>
      <c r="C176" s="173" t="s">
        <v>153</v>
      </c>
      <c r="D176" s="116">
        <v>28.5</v>
      </c>
      <c r="E176" s="82"/>
      <c r="F176" s="95"/>
      <c r="G176" s="96">
        <f t="shared" si="24"/>
        <v>0</v>
      </c>
    </row>
    <row r="177" spans="1:10">
      <c r="A177" s="162" t="s">
        <v>16</v>
      </c>
      <c r="B177" s="163" t="s">
        <v>458</v>
      </c>
      <c r="C177" s="164"/>
      <c r="D177" s="165"/>
      <c r="E177" s="166"/>
      <c r="F177" s="95"/>
      <c r="G177" s="96">
        <f t="shared" si="24"/>
        <v>0</v>
      </c>
    </row>
    <row r="178" spans="1:10" ht="13.5">
      <c r="A178" s="159"/>
      <c r="B178" s="160" t="s">
        <v>319</v>
      </c>
      <c r="C178" s="173" t="s">
        <v>153</v>
      </c>
      <c r="D178" s="116">
        <v>7.3710000000000004</v>
      </c>
      <c r="E178" s="82"/>
      <c r="F178" s="95"/>
      <c r="G178" s="96">
        <f t="shared" si="24"/>
        <v>0</v>
      </c>
      <c r="I178" s="22">
        <f>4.02+3</f>
        <v>7.02</v>
      </c>
      <c r="J178" s="22">
        <f>I178*1.05</f>
        <v>7.3709999999999996</v>
      </c>
    </row>
    <row r="179" spans="1:10" ht="13.5">
      <c r="A179" s="159"/>
      <c r="B179" s="160" t="s">
        <v>320</v>
      </c>
      <c r="C179" s="173" t="s">
        <v>153</v>
      </c>
      <c r="D179" s="116">
        <v>4.2210000000000001</v>
      </c>
      <c r="E179" s="82"/>
      <c r="F179" s="95"/>
      <c r="G179" s="96">
        <f t="shared" si="24"/>
        <v>0</v>
      </c>
      <c r="I179" s="22">
        <f>4.02</f>
        <v>4.0199999999999996</v>
      </c>
      <c r="J179" s="22">
        <f>I179*1.05</f>
        <v>4.2210000000000001</v>
      </c>
    </row>
    <row r="180" spans="1:10" ht="13.5">
      <c r="A180" s="159"/>
      <c r="B180" s="160" t="s">
        <v>323</v>
      </c>
      <c r="C180" s="173" t="s">
        <v>153</v>
      </c>
      <c r="D180" s="116">
        <v>3.3</v>
      </c>
      <c r="E180" s="82"/>
      <c r="F180" s="95"/>
      <c r="G180" s="96">
        <f t="shared" si="24"/>
        <v>0</v>
      </c>
      <c r="I180" s="22">
        <f>3</f>
        <v>3</v>
      </c>
      <c r="J180" s="22">
        <f>I180*1.1</f>
        <v>3.3000000000000003</v>
      </c>
    </row>
    <row r="181" spans="1:10">
      <c r="A181" s="162" t="s">
        <v>48</v>
      </c>
      <c r="B181" s="163" t="s">
        <v>460</v>
      </c>
      <c r="C181" s="164"/>
      <c r="D181" s="165"/>
      <c r="E181" s="166"/>
      <c r="F181" s="95"/>
      <c r="G181" s="96">
        <f t="shared" si="24"/>
        <v>0</v>
      </c>
    </row>
    <row r="182" spans="1:10" ht="13.5">
      <c r="A182" s="159"/>
      <c r="B182" s="160" t="s">
        <v>461</v>
      </c>
      <c r="C182" s="173" t="s">
        <v>153</v>
      </c>
      <c r="D182" s="116">
        <v>20.655000000000001</v>
      </c>
      <c r="E182" s="82"/>
      <c r="F182" s="95"/>
      <c r="G182" s="96">
        <f t="shared" si="24"/>
        <v>0</v>
      </c>
      <c r="I182" s="22">
        <f>5.925*3.4</f>
        <v>20.145</v>
      </c>
      <c r="J182" s="22">
        <f>I182*0.15</f>
        <v>3.0217499999999999</v>
      </c>
    </row>
    <row r="183" spans="1:10">
      <c r="A183" s="159"/>
      <c r="B183" s="160"/>
      <c r="C183" s="173"/>
      <c r="D183" s="116"/>
      <c r="E183" s="82"/>
      <c r="F183" s="95"/>
      <c r="G183" s="96"/>
    </row>
    <row r="184" spans="1:10">
      <c r="A184" s="159"/>
      <c r="B184" s="160"/>
      <c r="C184" s="173"/>
      <c r="D184" s="116"/>
      <c r="E184" s="82"/>
      <c r="F184" s="95"/>
      <c r="G184" s="96"/>
    </row>
    <row r="185" spans="1:10">
      <c r="A185" s="159"/>
      <c r="B185" s="160"/>
      <c r="C185" s="173"/>
      <c r="D185" s="116"/>
      <c r="E185" s="82"/>
      <c r="F185" s="95"/>
      <c r="G185" s="96"/>
    </row>
    <row r="186" spans="1:10" ht="12.75" thickBot="1">
      <c r="A186" s="358"/>
      <c r="B186" s="359"/>
      <c r="C186" s="400"/>
      <c r="D186" s="360"/>
      <c r="E186" s="365"/>
      <c r="F186" s="340"/>
      <c r="G186" s="361"/>
    </row>
    <row r="187" spans="1:10">
      <c r="A187" s="159"/>
      <c r="B187" s="160"/>
      <c r="C187" s="173"/>
      <c r="D187" s="116"/>
      <c r="E187" s="82"/>
      <c r="F187" s="95"/>
      <c r="G187" s="96"/>
    </row>
    <row r="188" spans="1:10">
      <c r="A188" s="152" t="s">
        <v>57</v>
      </c>
      <c r="B188" s="153" t="s">
        <v>69</v>
      </c>
      <c r="C188" s="154"/>
      <c r="D188" s="155"/>
      <c r="E188" s="156"/>
      <c r="F188" s="157"/>
      <c r="G188" s="158"/>
    </row>
    <row r="189" spans="1:10">
      <c r="A189" s="162" t="s">
        <v>167</v>
      </c>
      <c r="B189" s="163" t="s">
        <v>317</v>
      </c>
      <c r="C189" s="164"/>
      <c r="D189" s="165"/>
      <c r="E189" s="166"/>
      <c r="F189" s="167"/>
      <c r="G189" s="168"/>
    </row>
    <row r="190" spans="1:10" ht="13.5">
      <c r="A190" s="159"/>
      <c r="B190" s="160" t="s">
        <v>319</v>
      </c>
      <c r="C190" s="173" t="s">
        <v>153</v>
      </c>
      <c r="D190" s="116">
        <v>47.88</v>
      </c>
      <c r="E190" s="82"/>
      <c r="F190" s="95"/>
      <c r="G190" s="96">
        <f t="shared" ref="G190:G197" si="25">(D190*E190)+(D190*F190)</f>
        <v>0</v>
      </c>
      <c r="I190" s="22">
        <f>21*2+1.8*2</f>
        <v>45.6</v>
      </c>
      <c r="J190" s="22">
        <f>I190*1.05</f>
        <v>47.88</v>
      </c>
    </row>
    <row r="191" spans="1:10" ht="13.5">
      <c r="A191" s="159"/>
      <c r="B191" s="160" t="s">
        <v>320</v>
      </c>
      <c r="C191" s="173" t="s">
        <v>153</v>
      </c>
      <c r="D191" s="116">
        <v>17.010000000000002</v>
      </c>
      <c r="E191" s="82"/>
      <c r="F191" s="95"/>
      <c r="G191" s="96">
        <f t="shared" si="25"/>
        <v>0</v>
      </c>
      <c r="I191" s="22">
        <f>4.02*2+4.08*2</f>
        <v>16.2</v>
      </c>
      <c r="J191" s="22">
        <f>I191*1.05</f>
        <v>17.010000000000002</v>
      </c>
    </row>
    <row r="192" spans="1:10" ht="13.5">
      <c r="A192" s="159"/>
      <c r="B192" s="160" t="s">
        <v>321</v>
      </c>
      <c r="C192" s="173" t="s">
        <v>153</v>
      </c>
      <c r="D192" s="116">
        <v>21.87</v>
      </c>
      <c r="E192" s="82"/>
      <c r="F192" s="95"/>
      <c r="G192" s="96">
        <f t="shared" si="25"/>
        <v>0</v>
      </c>
      <c r="I192" s="22">
        <f>4.02*3+4.08*3</f>
        <v>24.299999999999997</v>
      </c>
      <c r="J192" s="22">
        <f>I192*0.9</f>
        <v>21.869999999999997</v>
      </c>
    </row>
    <row r="193" spans="1:11" ht="13.5">
      <c r="A193" s="159"/>
      <c r="B193" s="160" t="s">
        <v>322</v>
      </c>
      <c r="C193" s="173" t="s">
        <v>153</v>
      </c>
      <c r="D193" s="116">
        <v>18.899999999999999</v>
      </c>
      <c r="E193" s="82"/>
      <c r="F193" s="95"/>
      <c r="G193" s="96">
        <f t="shared" si="25"/>
        <v>0</v>
      </c>
      <c r="I193" s="22">
        <v>21</v>
      </c>
      <c r="J193" s="22">
        <f>I193*0.9</f>
        <v>18.900000000000002</v>
      </c>
    </row>
    <row r="194" spans="1:11" ht="13.5">
      <c r="A194" s="159"/>
      <c r="B194" s="160" t="s">
        <v>323</v>
      </c>
      <c r="C194" s="173" t="s">
        <v>153</v>
      </c>
      <c r="D194" s="116">
        <v>3.3</v>
      </c>
      <c r="E194" s="82"/>
      <c r="F194" s="95"/>
      <c r="G194" s="96">
        <f t="shared" si="25"/>
        <v>0</v>
      </c>
      <c r="I194" s="22">
        <v>3</v>
      </c>
      <c r="J194" s="22">
        <f>I194*1.1</f>
        <v>3.3000000000000003</v>
      </c>
    </row>
    <row r="195" spans="1:11" ht="13.5">
      <c r="A195" s="159"/>
      <c r="B195" s="160" t="s">
        <v>324</v>
      </c>
      <c r="C195" s="173" t="s">
        <v>153</v>
      </c>
      <c r="D195" s="116">
        <v>20.46</v>
      </c>
      <c r="E195" s="82"/>
      <c r="F195" s="95"/>
      <c r="G195" s="96">
        <f t="shared" si="25"/>
        <v>0</v>
      </c>
      <c r="I195" s="22">
        <f>6.2*3</f>
        <v>18.600000000000001</v>
      </c>
      <c r="J195" s="22">
        <f>I195*1.1</f>
        <v>20.460000000000004</v>
      </c>
    </row>
    <row r="196" spans="1:11">
      <c r="A196" s="162" t="s">
        <v>68</v>
      </c>
      <c r="B196" s="163" t="s">
        <v>318</v>
      </c>
      <c r="C196" s="164"/>
      <c r="D196" s="165"/>
      <c r="E196" s="166"/>
      <c r="F196" s="95"/>
      <c r="G196" s="96">
        <f t="shared" si="25"/>
        <v>0</v>
      </c>
    </row>
    <row r="197" spans="1:11" ht="13.5">
      <c r="A197" s="159"/>
      <c r="B197" s="160" t="s">
        <v>325</v>
      </c>
      <c r="C197" s="173" t="s">
        <v>153</v>
      </c>
      <c r="D197" s="116">
        <v>248.9</v>
      </c>
      <c r="E197" s="82"/>
      <c r="F197" s="95"/>
      <c r="G197" s="96">
        <f t="shared" si="25"/>
        <v>0</v>
      </c>
      <c r="I197" s="22">
        <f>22.6*8.5</f>
        <v>192.10000000000002</v>
      </c>
      <c r="J197" s="22">
        <f>25.8*2.2</f>
        <v>56.760000000000005</v>
      </c>
      <c r="K197" s="22">
        <f>SUM(I197:J197)</f>
        <v>248.86</v>
      </c>
    </row>
    <row r="198" spans="1:11">
      <c r="A198" s="162" t="s">
        <v>72</v>
      </c>
      <c r="B198" s="163" t="s">
        <v>185</v>
      </c>
      <c r="C198" s="164"/>
      <c r="D198" s="165"/>
      <c r="E198" s="166"/>
      <c r="F198" s="167"/>
      <c r="G198" s="168"/>
    </row>
    <row r="199" spans="1:11" ht="13.5">
      <c r="A199" s="159"/>
      <c r="B199" s="160" t="s">
        <v>468</v>
      </c>
      <c r="C199" s="173" t="s">
        <v>153</v>
      </c>
      <c r="D199" s="116">
        <v>81.2</v>
      </c>
      <c r="E199" s="82"/>
      <c r="F199" s="95"/>
      <c r="G199" s="96">
        <f t="shared" ref="G199:G203" si="26">(D199*E199)+(D199*F199)</f>
        <v>0</v>
      </c>
      <c r="I199" s="22">
        <f>0.8*3.5*29</f>
        <v>81.2</v>
      </c>
    </row>
    <row r="200" spans="1:11" ht="13.5">
      <c r="A200" s="159"/>
      <c r="B200" s="160" t="s">
        <v>456</v>
      </c>
      <c r="C200" s="173" t="s">
        <v>153</v>
      </c>
      <c r="D200" s="116">
        <v>16.8</v>
      </c>
      <c r="E200" s="82"/>
      <c r="F200" s="95"/>
      <c r="G200" s="96">
        <f t="shared" si="26"/>
        <v>0</v>
      </c>
      <c r="I200" s="22">
        <f>1.2*3.5*4</f>
        <v>16.8</v>
      </c>
    </row>
    <row r="201" spans="1:11" ht="13.5">
      <c r="A201" s="159"/>
      <c r="B201" s="160" t="s">
        <v>467</v>
      </c>
      <c r="C201" s="173" t="s">
        <v>153</v>
      </c>
      <c r="D201" s="116">
        <v>10.98</v>
      </c>
      <c r="E201" s="82"/>
      <c r="F201" s="95"/>
      <c r="G201" s="96">
        <f t="shared" si="26"/>
        <v>0</v>
      </c>
      <c r="I201" s="22">
        <f>0.6*3.05*6</f>
        <v>10.979999999999999</v>
      </c>
    </row>
    <row r="202" spans="1:11">
      <c r="A202" s="162" t="s">
        <v>101</v>
      </c>
      <c r="B202" s="163" t="s">
        <v>213</v>
      </c>
      <c r="C202" s="164"/>
      <c r="D202" s="165"/>
      <c r="E202" s="166"/>
      <c r="F202" s="95"/>
      <c r="G202" s="96">
        <f t="shared" si="26"/>
        <v>0</v>
      </c>
    </row>
    <row r="203" spans="1:11" ht="13.5">
      <c r="A203" s="159"/>
      <c r="B203" s="160" t="s">
        <v>316</v>
      </c>
      <c r="C203" s="173" t="s">
        <v>153</v>
      </c>
      <c r="D203" s="116">
        <v>24.5</v>
      </c>
      <c r="E203" s="82"/>
      <c r="F203" s="95"/>
      <c r="G203" s="96">
        <f t="shared" si="26"/>
        <v>0</v>
      </c>
      <c r="I203" s="22">
        <f>19.4*0.56</f>
        <v>10.864000000000001</v>
      </c>
      <c r="J203" s="22">
        <f>214.37+I203</f>
        <v>225.23400000000001</v>
      </c>
      <c r="K203" s="22">
        <f>J203*0.1</f>
        <v>22.523400000000002</v>
      </c>
    </row>
    <row r="204" spans="1:11">
      <c r="A204" s="162" t="s">
        <v>462</v>
      </c>
      <c r="B204" s="163" t="s">
        <v>458</v>
      </c>
      <c r="C204" s="164"/>
      <c r="D204" s="165"/>
      <c r="E204" s="166"/>
      <c r="F204" s="95"/>
      <c r="G204" s="96">
        <f t="shared" ref="G204:G209" si="27">(D204*E204)+(D204*F204)</f>
        <v>0</v>
      </c>
    </row>
    <row r="205" spans="1:11" ht="13.5">
      <c r="A205" s="159"/>
      <c r="B205" s="160" t="s">
        <v>319</v>
      </c>
      <c r="C205" s="173" t="s">
        <v>153</v>
      </c>
      <c r="D205" s="116">
        <v>7.3710000000000004</v>
      </c>
      <c r="E205" s="82"/>
      <c r="F205" s="95"/>
      <c r="G205" s="96">
        <f t="shared" si="27"/>
        <v>0</v>
      </c>
      <c r="I205" s="22">
        <f>4.02+3</f>
        <v>7.02</v>
      </c>
      <c r="J205" s="22">
        <f>I205*1.05</f>
        <v>7.3709999999999996</v>
      </c>
    </row>
    <row r="206" spans="1:11" ht="13.5">
      <c r="A206" s="159"/>
      <c r="B206" s="160" t="s">
        <v>320</v>
      </c>
      <c r="C206" s="173" t="s">
        <v>153</v>
      </c>
      <c r="D206" s="116">
        <v>4.2210000000000001</v>
      </c>
      <c r="E206" s="82"/>
      <c r="F206" s="95"/>
      <c r="G206" s="96">
        <f t="shared" si="27"/>
        <v>0</v>
      </c>
      <c r="I206" s="22">
        <f>4.02</f>
        <v>4.0199999999999996</v>
      </c>
      <c r="J206" s="22">
        <f>I206*1.05</f>
        <v>4.2210000000000001</v>
      </c>
    </row>
    <row r="207" spans="1:11" ht="13.5">
      <c r="A207" s="159"/>
      <c r="B207" s="160" t="s">
        <v>323</v>
      </c>
      <c r="C207" s="173" t="s">
        <v>153</v>
      </c>
      <c r="D207" s="116">
        <v>3.3</v>
      </c>
      <c r="E207" s="82"/>
      <c r="F207" s="95"/>
      <c r="G207" s="96">
        <f t="shared" si="27"/>
        <v>0</v>
      </c>
      <c r="I207" s="22">
        <f>3</f>
        <v>3</v>
      </c>
      <c r="J207" s="22">
        <f>I207*1.1</f>
        <v>3.3000000000000003</v>
      </c>
    </row>
    <row r="208" spans="1:11">
      <c r="A208" s="162" t="s">
        <v>463</v>
      </c>
      <c r="B208" s="163" t="s">
        <v>460</v>
      </c>
      <c r="C208" s="164"/>
      <c r="D208" s="165"/>
      <c r="E208" s="166"/>
      <c r="F208" s="95"/>
      <c r="G208" s="96">
        <f t="shared" si="27"/>
        <v>0</v>
      </c>
    </row>
    <row r="209" spans="1:12" ht="13.5">
      <c r="A209" s="159"/>
      <c r="B209" s="160" t="s">
        <v>461</v>
      </c>
      <c r="C209" s="173" t="s">
        <v>153</v>
      </c>
      <c r="D209" s="116">
        <v>20.655000000000001</v>
      </c>
      <c r="E209" s="82"/>
      <c r="F209" s="95"/>
      <c r="G209" s="96">
        <f t="shared" si="27"/>
        <v>0</v>
      </c>
      <c r="I209" s="22">
        <f>5.925*3.4</f>
        <v>20.145</v>
      </c>
      <c r="J209" s="22">
        <f>I209*0.15</f>
        <v>3.0217499999999999</v>
      </c>
    </row>
    <row r="210" spans="1:12">
      <c r="A210" s="159"/>
      <c r="B210" s="160"/>
      <c r="C210" s="161"/>
      <c r="D210" s="116"/>
      <c r="E210" s="82"/>
      <c r="F210" s="95"/>
      <c r="G210" s="96"/>
    </row>
    <row r="211" spans="1:12">
      <c r="A211" s="152" t="s">
        <v>163</v>
      </c>
      <c r="B211" s="153" t="s">
        <v>71</v>
      </c>
      <c r="C211" s="154"/>
      <c r="D211" s="155"/>
      <c r="E211" s="156"/>
      <c r="F211" s="157"/>
      <c r="G211" s="158"/>
    </row>
    <row r="212" spans="1:12">
      <c r="A212" s="162" t="s">
        <v>104</v>
      </c>
      <c r="B212" s="163" t="s">
        <v>317</v>
      </c>
      <c r="C212" s="164"/>
      <c r="D212" s="165"/>
      <c r="E212" s="166"/>
      <c r="F212" s="167"/>
      <c r="G212" s="168"/>
    </row>
    <row r="213" spans="1:12" ht="13.5">
      <c r="A213" s="159"/>
      <c r="B213" s="160" t="s">
        <v>319</v>
      </c>
      <c r="C213" s="173" t="s">
        <v>153</v>
      </c>
      <c r="D213" s="116">
        <v>47.88</v>
      </c>
      <c r="E213" s="82"/>
      <c r="F213" s="95"/>
      <c r="G213" s="96">
        <f t="shared" ref="G213:G218" si="28">(D213*E213)+(D213*F213)</f>
        <v>0</v>
      </c>
      <c r="I213" s="22">
        <f>21*2+1.8*2</f>
        <v>45.6</v>
      </c>
      <c r="J213" s="22">
        <f>I213*1.05</f>
        <v>47.88</v>
      </c>
    </row>
    <row r="214" spans="1:12" ht="13.5">
      <c r="A214" s="159"/>
      <c r="B214" s="160" t="s">
        <v>320</v>
      </c>
      <c r="C214" s="173" t="s">
        <v>153</v>
      </c>
      <c r="D214" s="116">
        <v>17.010000000000002</v>
      </c>
      <c r="E214" s="82"/>
      <c r="F214" s="95"/>
      <c r="G214" s="96">
        <f t="shared" si="28"/>
        <v>0</v>
      </c>
      <c r="I214" s="22">
        <f>4.02*2+4.08*2</f>
        <v>16.2</v>
      </c>
      <c r="J214" s="22">
        <f>I214*1.05</f>
        <v>17.010000000000002</v>
      </c>
    </row>
    <row r="215" spans="1:12" ht="13.5">
      <c r="A215" s="159"/>
      <c r="B215" s="160" t="s">
        <v>321</v>
      </c>
      <c r="C215" s="173" t="s">
        <v>153</v>
      </c>
      <c r="D215" s="116">
        <v>21.87</v>
      </c>
      <c r="E215" s="82"/>
      <c r="F215" s="95"/>
      <c r="G215" s="96">
        <f t="shared" si="28"/>
        <v>0</v>
      </c>
      <c r="I215" s="22">
        <f>4.02*3+4.08*3</f>
        <v>24.299999999999997</v>
      </c>
      <c r="J215" s="22">
        <f>I215*0.9</f>
        <v>21.869999999999997</v>
      </c>
    </row>
    <row r="216" spans="1:12" ht="13.5">
      <c r="A216" s="159"/>
      <c r="B216" s="160" t="s">
        <v>322</v>
      </c>
      <c r="C216" s="173" t="s">
        <v>153</v>
      </c>
      <c r="D216" s="116">
        <v>18.899999999999999</v>
      </c>
      <c r="E216" s="82"/>
      <c r="F216" s="95"/>
      <c r="G216" s="96">
        <f t="shared" si="28"/>
        <v>0</v>
      </c>
      <c r="I216" s="22">
        <v>21</v>
      </c>
      <c r="J216" s="22">
        <f>I216*0.9</f>
        <v>18.900000000000002</v>
      </c>
    </row>
    <row r="217" spans="1:12" ht="13.5">
      <c r="A217" s="159"/>
      <c r="B217" s="160" t="s">
        <v>323</v>
      </c>
      <c r="C217" s="173" t="s">
        <v>153</v>
      </c>
      <c r="D217" s="116">
        <v>3.3</v>
      </c>
      <c r="E217" s="82"/>
      <c r="F217" s="95"/>
      <c r="G217" s="96">
        <f t="shared" si="28"/>
        <v>0</v>
      </c>
      <c r="I217" s="22">
        <v>3</v>
      </c>
      <c r="J217" s="22">
        <f>I217*1.1</f>
        <v>3.3000000000000003</v>
      </c>
    </row>
    <row r="218" spans="1:12" ht="13.5">
      <c r="A218" s="159"/>
      <c r="B218" s="160" t="s">
        <v>324</v>
      </c>
      <c r="C218" s="173" t="s">
        <v>153</v>
      </c>
      <c r="D218" s="116">
        <v>20.46</v>
      </c>
      <c r="E218" s="82"/>
      <c r="F218" s="95"/>
      <c r="G218" s="96">
        <f t="shared" si="28"/>
        <v>0</v>
      </c>
      <c r="I218" s="22">
        <f>6.2*3</f>
        <v>18.600000000000001</v>
      </c>
      <c r="J218" s="22">
        <f>I218*1.1</f>
        <v>20.460000000000004</v>
      </c>
    </row>
    <row r="219" spans="1:12">
      <c r="A219" s="159"/>
      <c r="B219" s="160"/>
      <c r="C219" s="173"/>
      <c r="D219" s="116"/>
      <c r="E219" s="82"/>
      <c r="F219" s="95"/>
      <c r="G219" s="96"/>
    </row>
    <row r="220" spans="1:12">
      <c r="A220" s="162" t="s">
        <v>144</v>
      </c>
      <c r="B220" s="163" t="s">
        <v>318</v>
      </c>
      <c r="C220" s="164"/>
      <c r="D220" s="165"/>
      <c r="E220" s="166"/>
      <c r="F220" s="95"/>
      <c r="G220" s="96">
        <f t="shared" ref="G220:G221" si="29">(D220*E220)+(D220*F220)</f>
        <v>0</v>
      </c>
    </row>
    <row r="221" spans="1:12" ht="13.5">
      <c r="A221" s="159"/>
      <c r="B221" s="160" t="s">
        <v>325</v>
      </c>
      <c r="C221" s="173" t="s">
        <v>153</v>
      </c>
      <c r="D221" s="116">
        <v>248.9</v>
      </c>
      <c r="E221" s="82"/>
      <c r="F221" s="95"/>
      <c r="G221" s="96">
        <f t="shared" si="29"/>
        <v>0</v>
      </c>
      <c r="I221" s="22">
        <f>22.6*8.5</f>
        <v>192.10000000000002</v>
      </c>
      <c r="J221" s="22">
        <f>25.8*2.2</f>
        <v>56.760000000000005</v>
      </c>
      <c r="K221" s="22">
        <f>SUM(I221:J221)</f>
        <v>248.86</v>
      </c>
      <c r="L221" s="22">
        <f>K221*0.15</f>
        <v>37.329000000000001</v>
      </c>
    </row>
    <row r="222" spans="1:12">
      <c r="A222" s="159"/>
      <c r="B222" s="160"/>
      <c r="C222" s="173"/>
      <c r="D222" s="116"/>
      <c r="E222" s="82"/>
      <c r="F222" s="95"/>
      <c r="G222" s="96"/>
    </row>
    <row r="223" spans="1:12">
      <c r="A223" s="162" t="s">
        <v>145</v>
      </c>
      <c r="B223" s="163" t="s">
        <v>185</v>
      </c>
      <c r="C223" s="164"/>
      <c r="D223" s="165"/>
      <c r="E223" s="166"/>
      <c r="F223" s="167"/>
      <c r="G223" s="168"/>
    </row>
    <row r="224" spans="1:12" ht="13.5">
      <c r="A224" s="159"/>
      <c r="B224" s="160" t="s">
        <v>468</v>
      </c>
      <c r="C224" s="173" t="s">
        <v>153</v>
      </c>
      <c r="D224" s="116">
        <v>81.2</v>
      </c>
      <c r="E224" s="82"/>
      <c r="F224" s="95"/>
      <c r="G224" s="96">
        <f t="shared" ref="G224:G226" si="30">(D224*E224)+(D224*F224)</f>
        <v>0</v>
      </c>
      <c r="I224" s="22">
        <f>0.8*3.5*29</f>
        <v>81.2</v>
      </c>
    </row>
    <row r="225" spans="1:10" ht="13.5">
      <c r="A225" s="159"/>
      <c r="B225" s="160" t="s">
        <v>456</v>
      </c>
      <c r="C225" s="173" t="s">
        <v>153</v>
      </c>
      <c r="D225" s="116">
        <v>16.8</v>
      </c>
      <c r="E225" s="82"/>
      <c r="F225" s="95"/>
      <c r="G225" s="96">
        <f t="shared" si="30"/>
        <v>0</v>
      </c>
      <c r="I225" s="22">
        <f>1.2*3.5*4</f>
        <v>16.8</v>
      </c>
    </row>
    <row r="226" spans="1:10" ht="13.5">
      <c r="A226" s="159"/>
      <c r="B226" s="160" t="s">
        <v>469</v>
      </c>
      <c r="C226" s="173" t="s">
        <v>153</v>
      </c>
      <c r="D226" s="116">
        <v>11.16</v>
      </c>
      <c r="E226" s="82"/>
      <c r="F226" s="95"/>
      <c r="G226" s="96">
        <f t="shared" si="30"/>
        <v>0</v>
      </c>
      <c r="I226" s="22">
        <f>0.6*3.1*6</f>
        <v>11.16</v>
      </c>
    </row>
    <row r="227" spans="1:10">
      <c r="A227" s="159"/>
      <c r="B227" s="160"/>
      <c r="C227" s="161"/>
      <c r="D227" s="116"/>
      <c r="E227" s="82"/>
      <c r="F227" s="95"/>
      <c r="G227" s="96"/>
    </row>
    <row r="228" spans="1:10">
      <c r="A228" s="152" t="s">
        <v>164</v>
      </c>
      <c r="B228" s="153" t="s">
        <v>293</v>
      </c>
      <c r="C228" s="154"/>
      <c r="D228" s="155"/>
      <c r="E228" s="156"/>
      <c r="F228" s="157"/>
      <c r="G228" s="158"/>
    </row>
    <row r="229" spans="1:10">
      <c r="A229" s="162" t="s">
        <v>110</v>
      </c>
      <c r="B229" s="163" t="s">
        <v>308</v>
      </c>
      <c r="C229" s="164"/>
      <c r="D229" s="165"/>
      <c r="E229" s="166"/>
      <c r="F229" s="167"/>
      <c r="G229" s="168"/>
    </row>
    <row r="230" spans="1:10" ht="13.5">
      <c r="A230" s="159"/>
      <c r="B230" s="160" t="s">
        <v>329</v>
      </c>
      <c r="C230" s="173" t="s">
        <v>153</v>
      </c>
      <c r="D230" s="116">
        <v>22.32</v>
      </c>
      <c r="E230" s="82"/>
      <c r="F230" s="95"/>
      <c r="G230" s="96">
        <f t="shared" ref="G230:G232" si="31">(D230*E230)+(D230*F230)</f>
        <v>0</v>
      </c>
      <c r="I230" s="22">
        <f>6.2*3</f>
        <v>18.600000000000001</v>
      </c>
      <c r="J230" s="22">
        <f>I230*1.2</f>
        <v>22.32</v>
      </c>
    </row>
    <row r="231" spans="1:10" ht="13.5">
      <c r="A231" s="159"/>
      <c r="B231" s="160" t="s">
        <v>328</v>
      </c>
      <c r="C231" s="173" t="s">
        <v>153</v>
      </c>
      <c r="D231" s="116">
        <v>7.2</v>
      </c>
      <c r="E231" s="82"/>
      <c r="F231" s="95"/>
      <c r="G231" s="96">
        <f t="shared" si="31"/>
        <v>0</v>
      </c>
      <c r="I231" s="22">
        <f>3*2</f>
        <v>6</v>
      </c>
      <c r="J231" s="22">
        <f>I231*1.2</f>
        <v>7.1999999999999993</v>
      </c>
    </row>
    <row r="232" spans="1:10" ht="13.5">
      <c r="A232" s="159"/>
      <c r="B232" s="160" t="s">
        <v>327</v>
      </c>
      <c r="C232" s="173" t="s">
        <v>153</v>
      </c>
      <c r="D232" s="116">
        <v>144.54</v>
      </c>
      <c r="E232" s="82"/>
      <c r="F232" s="95"/>
      <c r="G232" s="96">
        <f t="shared" si="31"/>
        <v>0</v>
      </c>
      <c r="I232" s="22">
        <f>24*3+4.02*6+4.08*6+1.8*6</f>
        <v>131.4</v>
      </c>
      <c r="J232" s="22">
        <f>I232*1.1</f>
        <v>144.54000000000002</v>
      </c>
    </row>
    <row r="233" spans="1:10">
      <c r="A233" s="159"/>
      <c r="B233" s="160"/>
      <c r="C233" s="173"/>
      <c r="D233" s="116"/>
      <c r="E233" s="82"/>
      <c r="F233" s="95"/>
      <c r="G233" s="96"/>
    </row>
    <row r="234" spans="1:10">
      <c r="A234" s="159"/>
      <c r="B234" s="160"/>
      <c r="C234" s="173"/>
      <c r="D234" s="116"/>
      <c r="E234" s="82"/>
      <c r="F234" s="95"/>
      <c r="G234" s="96"/>
    </row>
    <row r="235" spans="1:10">
      <c r="A235" s="159"/>
      <c r="B235" s="160"/>
      <c r="C235" s="173"/>
      <c r="D235" s="116"/>
      <c r="E235" s="82"/>
      <c r="F235" s="95"/>
      <c r="G235" s="96"/>
    </row>
    <row r="236" spans="1:10">
      <c r="A236" s="159"/>
      <c r="B236" s="160"/>
      <c r="C236" s="173"/>
      <c r="D236" s="116"/>
      <c r="E236" s="82"/>
      <c r="F236" s="95"/>
      <c r="G236" s="96"/>
    </row>
    <row r="237" spans="1:10">
      <c r="A237" s="159"/>
      <c r="B237" s="160"/>
      <c r="C237" s="173"/>
      <c r="D237" s="116"/>
      <c r="E237" s="82"/>
      <c r="F237" s="95"/>
      <c r="G237" s="96"/>
    </row>
    <row r="238" spans="1:10">
      <c r="A238" s="159"/>
      <c r="B238" s="160"/>
      <c r="C238" s="173"/>
      <c r="D238" s="116"/>
      <c r="E238" s="82"/>
      <c r="F238" s="95"/>
      <c r="G238" s="96"/>
    </row>
    <row r="239" spans="1:10">
      <c r="A239" s="159"/>
      <c r="B239" s="160"/>
      <c r="C239" s="173"/>
      <c r="D239" s="116"/>
      <c r="E239" s="82"/>
      <c r="F239" s="95"/>
      <c r="G239" s="96"/>
    </row>
    <row r="240" spans="1:10">
      <c r="A240" s="159"/>
      <c r="B240" s="160"/>
      <c r="C240" s="173"/>
      <c r="D240" s="116"/>
      <c r="E240" s="82"/>
      <c r="F240" s="95"/>
      <c r="G240" s="96"/>
    </row>
    <row r="241" spans="1:12" ht="12.75" thickBot="1">
      <c r="A241" s="358"/>
      <c r="B241" s="359"/>
      <c r="C241" s="400"/>
      <c r="D241" s="360"/>
      <c r="E241" s="365"/>
      <c r="F241" s="340"/>
      <c r="G241" s="361"/>
    </row>
    <row r="242" spans="1:12">
      <c r="A242" s="159"/>
      <c r="B242" s="160"/>
      <c r="C242" s="173"/>
      <c r="D242" s="116"/>
      <c r="E242" s="82"/>
      <c r="F242" s="95"/>
      <c r="G242" s="96"/>
    </row>
    <row r="243" spans="1:12">
      <c r="A243" s="139" t="s">
        <v>101</v>
      </c>
      <c r="B243" s="169" t="s">
        <v>11</v>
      </c>
      <c r="C243" s="151"/>
      <c r="D243" s="142"/>
      <c r="E243" s="143"/>
      <c r="F243" s="142"/>
      <c r="G243" s="170"/>
    </row>
    <row r="244" spans="1:12" ht="39.75" customHeight="1">
      <c r="A244" s="126"/>
      <c r="B244" s="447" t="s">
        <v>102</v>
      </c>
      <c r="C244" s="447"/>
      <c r="D244" s="447"/>
      <c r="E244" s="447"/>
      <c r="F244" s="99"/>
      <c r="G244" s="172"/>
    </row>
    <row r="245" spans="1:12" ht="29.25" customHeight="1">
      <c r="A245" s="100"/>
      <c r="B245" s="447" t="s">
        <v>103</v>
      </c>
      <c r="C245" s="447"/>
      <c r="D245" s="447"/>
      <c r="E245" s="447"/>
      <c r="F245" s="99"/>
      <c r="G245" s="172"/>
    </row>
    <row r="246" spans="1:12" ht="42" customHeight="1">
      <c r="A246" s="126"/>
      <c r="B246" s="447" t="s">
        <v>309</v>
      </c>
      <c r="C246" s="447"/>
      <c r="D246" s="447"/>
      <c r="E246" s="447"/>
      <c r="F246" s="99"/>
      <c r="G246" s="172"/>
    </row>
    <row r="247" spans="1:12">
      <c r="A247" s="152" t="s">
        <v>104</v>
      </c>
      <c r="B247" s="153" t="s">
        <v>245</v>
      </c>
      <c r="C247" s="174"/>
      <c r="D247" s="175"/>
      <c r="E247" s="176"/>
      <c r="F247" s="177"/>
      <c r="G247" s="178"/>
    </row>
    <row r="248" spans="1:12">
      <c r="A248" s="152" t="s">
        <v>176</v>
      </c>
      <c r="B248" s="153" t="s">
        <v>64</v>
      </c>
      <c r="C248" s="174"/>
      <c r="D248" s="175"/>
      <c r="E248" s="176"/>
      <c r="F248" s="177"/>
      <c r="G248" s="178"/>
    </row>
    <row r="249" spans="1:12">
      <c r="A249" s="159"/>
      <c r="B249" s="179" t="s">
        <v>330</v>
      </c>
      <c r="C249" s="161" t="s">
        <v>143</v>
      </c>
      <c r="D249" s="116">
        <f>I252/1000</f>
        <v>1.6151040000000001</v>
      </c>
      <c r="E249" s="117"/>
      <c r="F249" s="95"/>
      <c r="G249" s="96">
        <f t="shared" ref="G249:G252" si="32">(D249*E249)+(D249*F249)</f>
        <v>0</v>
      </c>
    </row>
    <row r="250" spans="1:12">
      <c r="A250" s="159"/>
      <c r="B250" s="160" t="s">
        <v>246</v>
      </c>
      <c r="C250" s="161" t="s">
        <v>8</v>
      </c>
      <c r="D250" s="116">
        <v>90</v>
      </c>
      <c r="E250" s="117"/>
      <c r="F250" s="95"/>
      <c r="G250" s="96">
        <f t="shared" si="32"/>
        <v>0</v>
      </c>
      <c r="I250" s="33">
        <f>D250*1.58*6</f>
        <v>853.2</v>
      </c>
      <c r="K250" s="33">
        <f>44+46</f>
        <v>90</v>
      </c>
    </row>
    <row r="251" spans="1:12">
      <c r="A251" s="159"/>
      <c r="B251" s="160" t="s">
        <v>247</v>
      </c>
      <c r="C251" s="161" t="s">
        <v>8</v>
      </c>
      <c r="D251" s="116">
        <v>143</v>
      </c>
      <c r="E251" s="117"/>
      <c r="F251" s="95"/>
      <c r="G251" s="96">
        <f t="shared" si="32"/>
        <v>0</v>
      </c>
      <c r="I251" s="33">
        <f>D251*0.888*6</f>
        <v>761.904</v>
      </c>
      <c r="J251" s="22">
        <f>23+16+47+23+30+4</f>
        <v>143</v>
      </c>
      <c r="K251" s="33"/>
    </row>
    <row r="252" spans="1:12">
      <c r="A252" s="159"/>
      <c r="B252" s="160" t="s">
        <v>14</v>
      </c>
      <c r="C252" s="161" t="s">
        <v>9</v>
      </c>
      <c r="D252" s="116">
        <f>D249*20</f>
        <v>32.302080000000004</v>
      </c>
      <c r="E252" s="117"/>
      <c r="F252" s="95"/>
      <c r="G252" s="96">
        <f t="shared" si="32"/>
        <v>0</v>
      </c>
      <c r="I252" s="33">
        <f>SUM(I249:I251)</f>
        <v>1615.104</v>
      </c>
      <c r="J252" s="33"/>
    </row>
    <row r="253" spans="1:12">
      <c r="A253" s="159"/>
      <c r="B253" s="179" t="s">
        <v>331</v>
      </c>
      <c r="C253" s="161" t="s">
        <v>143</v>
      </c>
      <c r="D253" s="116">
        <f>I256/1000</f>
        <v>1.085904</v>
      </c>
      <c r="E253" s="117"/>
      <c r="F253" s="95"/>
      <c r="G253" s="96">
        <f t="shared" ref="G253:G256" si="33">(D253*E253)+(D253*F253)</f>
        <v>0</v>
      </c>
      <c r="J253" s="33"/>
    </row>
    <row r="254" spans="1:12">
      <c r="A254" s="159"/>
      <c r="B254" s="160" t="s">
        <v>246</v>
      </c>
      <c r="C254" s="161" t="s">
        <v>8</v>
      </c>
      <c r="D254" s="116">
        <v>96</v>
      </c>
      <c r="E254" s="117"/>
      <c r="F254" s="95"/>
      <c r="G254" s="96">
        <f t="shared" si="33"/>
        <v>0</v>
      </c>
      <c r="I254" s="33">
        <f>D254*1.58*6</f>
        <v>910.08</v>
      </c>
      <c r="J254" s="33">
        <v>98.8</v>
      </c>
      <c r="K254" s="51">
        <f>J254/0.15</f>
        <v>658.66666666666663</v>
      </c>
      <c r="L254" s="51">
        <f>K254/5</f>
        <v>131.73333333333332</v>
      </c>
    </row>
    <row r="255" spans="1:12">
      <c r="A255" s="159"/>
      <c r="B255" s="160" t="s">
        <v>249</v>
      </c>
      <c r="C255" s="161" t="s">
        <v>8</v>
      </c>
      <c r="D255" s="116">
        <v>132</v>
      </c>
      <c r="E255" s="117"/>
      <c r="F255" s="95"/>
      <c r="G255" s="96">
        <f t="shared" si="33"/>
        <v>0</v>
      </c>
      <c r="I255" s="33">
        <f>0.222*D255*6</f>
        <v>175.82400000000001</v>
      </c>
      <c r="J255" s="33"/>
    </row>
    <row r="256" spans="1:12">
      <c r="A256" s="159"/>
      <c r="B256" s="160" t="s">
        <v>14</v>
      </c>
      <c r="C256" s="161" t="s">
        <v>9</v>
      </c>
      <c r="D256" s="116">
        <f>D253*20</f>
        <v>21.71808</v>
      </c>
      <c r="E256" s="117"/>
      <c r="F256" s="95"/>
      <c r="G256" s="96">
        <f t="shared" si="33"/>
        <v>0</v>
      </c>
      <c r="I256" s="33">
        <f>SUM(I254:I255)</f>
        <v>1085.904</v>
      </c>
      <c r="J256" s="33"/>
    </row>
    <row r="257" spans="1:14">
      <c r="A257" s="159"/>
      <c r="B257" s="179" t="s">
        <v>332</v>
      </c>
      <c r="C257" s="161" t="s">
        <v>143</v>
      </c>
      <c r="D257" s="116">
        <f>I260/1000</f>
        <v>0.84200399999999997</v>
      </c>
      <c r="E257" s="117"/>
      <c r="F257" s="95"/>
      <c r="G257" s="96">
        <f t="shared" ref="G257:G260" si="34">(D257*E257)+(D257*F257)</f>
        <v>0</v>
      </c>
      <c r="J257" s="33"/>
    </row>
    <row r="258" spans="1:14">
      <c r="A258" s="159"/>
      <c r="B258" s="160" t="s">
        <v>246</v>
      </c>
      <c r="C258" s="161" t="s">
        <v>8</v>
      </c>
      <c r="D258" s="116">
        <v>78</v>
      </c>
      <c r="E258" s="117"/>
      <c r="F258" s="95"/>
      <c r="G258" s="96">
        <f t="shared" si="34"/>
        <v>0</v>
      </c>
      <c r="I258" s="33">
        <f>D258*1.58*6</f>
        <v>739.44</v>
      </c>
      <c r="J258" s="33">
        <v>68.599999999999994</v>
      </c>
      <c r="K258" s="51">
        <f>J258/0.15</f>
        <v>457.33333333333331</v>
      </c>
      <c r="L258" s="51">
        <f>K258/6</f>
        <v>76.222222222222214</v>
      </c>
    </row>
    <row r="259" spans="1:14">
      <c r="A259" s="159"/>
      <c r="B259" s="160" t="s">
        <v>249</v>
      </c>
      <c r="C259" s="161" t="s">
        <v>8</v>
      </c>
      <c r="D259" s="116">
        <v>77</v>
      </c>
      <c r="E259" s="117"/>
      <c r="F259" s="95"/>
      <c r="G259" s="96">
        <f t="shared" si="34"/>
        <v>0</v>
      </c>
      <c r="I259" s="33">
        <f>0.222*D259*6</f>
        <v>102.56400000000001</v>
      </c>
      <c r="J259" s="33"/>
    </row>
    <row r="260" spans="1:14">
      <c r="A260" s="159"/>
      <c r="B260" s="160" t="s">
        <v>14</v>
      </c>
      <c r="C260" s="161" t="s">
        <v>9</v>
      </c>
      <c r="D260" s="116">
        <f>D257*20</f>
        <v>16.84008</v>
      </c>
      <c r="E260" s="117"/>
      <c r="F260" s="95"/>
      <c r="G260" s="96">
        <f t="shared" si="34"/>
        <v>0</v>
      </c>
      <c r="I260" s="33">
        <f>SUM(I258:I259)</f>
        <v>842.00400000000002</v>
      </c>
      <c r="J260" s="33"/>
    </row>
    <row r="261" spans="1:14">
      <c r="A261" s="152" t="s">
        <v>144</v>
      </c>
      <c r="B261" s="153" t="s">
        <v>67</v>
      </c>
      <c r="C261" s="174"/>
      <c r="D261" s="175"/>
      <c r="E261" s="176"/>
      <c r="F261" s="177"/>
      <c r="G261" s="178">
        <f t="shared" ref="G261" si="35">(D261*E261)+(D261*F261)</f>
        <v>0</v>
      </c>
    </row>
    <row r="262" spans="1:14">
      <c r="A262" s="180" t="s">
        <v>176</v>
      </c>
      <c r="B262" s="181" t="s">
        <v>185</v>
      </c>
      <c r="C262" s="182"/>
      <c r="D262" s="183"/>
      <c r="E262" s="184"/>
      <c r="F262" s="95"/>
      <c r="G262" s="96"/>
    </row>
    <row r="263" spans="1:14">
      <c r="A263" s="159" t="s">
        <v>199</v>
      </c>
      <c r="B263" s="160" t="s">
        <v>470</v>
      </c>
      <c r="C263" s="161" t="s">
        <v>143</v>
      </c>
      <c r="D263" s="116">
        <f>I266/1000</f>
        <v>1.2235560000000001</v>
      </c>
      <c r="E263" s="117"/>
      <c r="F263" s="95"/>
      <c r="G263" s="96">
        <f t="shared" ref="G263" si="36">(D263*E263)+(D263*F263)</f>
        <v>0</v>
      </c>
    </row>
    <row r="264" spans="1:14">
      <c r="A264" s="162"/>
      <c r="B264" s="160" t="s">
        <v>246</v>
      </c>
      <c r="C264" s="161" t="s">
        <v>8</v>
      </c>
      <c r="D264" s="116">
        <v>116</v>
      </c>
      <c r="E264" s="117"/>
      <c r="F264" s="95"/>
      <c r="G264" s="96">
        <f t="shared" ref="G264:G266" si="37">(D264*E264)+(D264*F264)</f>
        <v>0</v>
      </c>
      <c r="I264" s="33">
        <f>D264*1.58*6</f>
        <v>1099.68</v>
      </c>
      <c r="J264" s="22">
        <f>4*29</f>
        <v>116</v>
      </c>
      <c r="L264" s="22">
        <f>5.3/0.15</f>
        <v>35.333333333333336</v>
      </c>
      <c r="M264" s="22">
        <f>35*29</f>
        <v>1015</v>
      </c>
      <c r="N264" s="22">
        <f>M264/11</f>
        <v>92.272727272727266</v>
      </c>
    </row>
    <row r="265" spans="1:14">
      <c r="A265" s="159"/>
      <c r="B265" s="160" t="s">
        <v>249</v>
      </c>
      <c r="C265" s="161" t="s">
        <v>8</v>
      </c>
      <c r="D265" s="116">
        <v>93</v>
      </c>
      <c r="E265" s="117"/>
      <c r="F265" s="95"/>
      <c r="G265" s="96">
        <f t="shared" si="37"/>
        <v>0</v>
      </c>
      <c r="I265" s="33">
        <f>0.222*D265*6</f>
        <v>123.876</v>
      </c>
    </row>
    <row r="266" spans="1:14">
      <c r="A266" s="159"/>
      <c r="B266" s="160" t="s">
        <v>14</v>
      </c>
      <c r="C266" s="161" t="s">
        <v>9</v>
      </c>
      <c r="D266" s="116">
        <f>D263*20</f>
        <v>24.471120000000003</v>
      </c>
      <c r="E266" s="117"/>
      <c r="F266" s="95"/>
      <c r="G266" s="96">
        <f t="shared" si="37"/>
        <v>0</v>
      </c>
      <c r="I266" s="33">
        <f>SUM(I264:I265)</f>
        <v>1223.556</v>
      </c>
      <c r="J266" s="33"/>
    </row>
    <row r="267" spans="1:14">
      <c r="A267" s="159" t="s">
        <v>200</v>
      </c>
      <c r="B267" s="160" t="s">
        <v>471</v>
      </c>
      <c r="C267" s="161" t="s">
        <v>143</v>
      </c>
      <c r="D267" s="116">
        <f>I270/1000</f>
        <v>0.26348400000000005</v>
      </c>
      <c r="E267" s="117"/>
      <c r="F267" s="95"/>
      <c r="G267" s="96">
        <f t="shared" ref="G267:G274" si="38">(D267*E267)+(D267*F267)</f>
        <v>0</v>
      </c>
      <c r="I267" s="33"/>
      <c r="J267" s="33"/>
    </row>
    <row r="268" spans="1:14">
      <c r="A268" s="159"/>
      <c r="B268" s="160" t="s">
        <v>246</v>
      </c>
      <c r="C268" s="161" t="s">
        <v>8</v>
      </c>
      <c r="D268" s="116">
        <v>24</v>
      </c>
      <c r="E268" s="117"/>
      <c r="F268" s="95"/>
      <c r="G268" s="96">
        <f t="shared" si="38"/>
        <v>0</v>
      </c>
      <c r="I268" s="33">
        <f>D268*1.58*6</f>
        <v>227.52</v>
      </c>
      <c r="J268" s="22">
        <v>44</v>
      </c>
    </row>
    <row r="269" spans="1:14">
      <c r="A269" s="159"/>
      <c r="B269" s="160" t="s">
        <v>249</v>
      </c>
      <c r="C269" s="161" t="s">
        <v>8</v>
      </c>
      <c r="D269" s="116">
        <v>27</v>
      </c>
      <c r="E269" s="117"/>
      <c r="F269" s="95"/>
      <c r="G269" s="96">
        <f t="shared" si="38"/>
        <v>0</v>
      </c>
      <c r="I269" s="33">
        <f>0.222*D269*6</f>
        <v>35.963999999999999</v>
      </c>
    </row>
    <row r="270" spans="1:14">
      <c r="A270" s="159"/>
      <c r="B270" s="160" t="s">
        <v>14</v>
      </c>
      <c r="C270" s="161" t="s">
        <v>9</v>
      </c>
      <c r="D270" s="116">
        <f>D267*20</f>
        <v>5.269680000000001</v>
      </c>
      <c r="E270" s="117"/>
      <c r="F270" s="95"/>
      <c r="G270" s="96">
        <f t="shared" si="38"/>
        <v>0</v>
      </c>
      <c r="I270" s="33">
        <f>SUM(I268:I269)</f>
        <v>263.48400000000004</v>
      </c>
      <c r="J270" s="33"/>
    </row>
    <row r="271" spans="1:14">
      <c r="A271" s="159" t="s">
        <v>202</v>
      </c>
      <c r="B271" s="160" t="s">
        <v>472</v>
      </c>
      <c r="C271" s="161" t="s">
        <v>143</v>
      </c>
      <c r="D271" s="116">
        <f>I274/1000</f>
        <v>6.9888000000000006E-2</v>
      </c>
      <c r="E271" s="117"/>
      <c r="F271" s="95"/>
      <c r="G271" s="96">
        <f t="shared" si="38"/>
        <v>0</v>
      </c>
      <c r="I271" s="33"/>
      <c r="J271" s="33"/>
    </row>
    <row r="272" spans="1:14">
      <c r="A272" s="159"/>
      <c r="B272" s="160" t="s">
        <v>248</v>
      </c>
      <c r="C272" s="161" t="s">
        <v>8</v>
      </c>
      <c r="D272" s="116">
        <v>16</v>
      </c>
      <c r="E272" s="117"/>
      <c r="F272" s="95"/>
      <c r="G272" s="96">
        <f t="shared" si="38"/>
        <v>0</v>
      </c>
      <c r="I272" s="33">
        <f>D272*0.617*6</f>
        <v>59.231999999999999</v>
      </c>
      <c r="J272" s="33">
        <f>1.5*6</f>
        <v>9</v>
      </c>
      <c r="K272" s="51">
        <f>D272/3</f>
        <v>5.333333333333333</v>
      </c>
      <c r="L272" s="51">
        <f>K272*4</f>
        <v>21.333333333333332</v>
      </c>
    </row>
    <row r="273" spans="1:13">
      <c r="A273" s="159"/>
      <c r="B273" s="160" t="s">
        <v>249</v>
      </c>
      <c r="C273" s="161" t="s">
        <v>8</v>
      </c>
      <c r="D273" s="116">
        <v>8</v>
      </c>
      <c r="E273" s="117"/>
      <c r="F273" s="95"/>
      <c r="G273" s="96">
        <f t="shared" si="38"/>
        <v>0</v>
      </c>
      <c r="I273" s="33">
        <f>0.222*D273*6</f>
        <v>10.656000000000001</v>
      </c>
      <c r="J273" s="33"/>
    </row>
    <row r="274" spans="1:13">
      <c r="A274" s="159"/>
      <c r="B274" s="160" t="s">
        <v>14</v>
      </c>
      <c r="C274" s="161" t="s">
        <v>9</v>
      </c>
      <c r="D274" s="116">
        <f>D271*20</f>
        <v>1.3977600000000001</v>
      </c>
      <c r="E274" s="117"/>
      <c r="F274" s="95"/>
      <c r="G274" s="96">
        <f t="shared" si="38"/>
        <v>0</v>
      </c>
      <c r="I274" s="33">
        <f>SUM(I272:I273)</f>
        <v>69.888000000000005</v>
      </c>
      <c r="J274" s="33"/>
    </row>
    <row r="275" spans="1:13">
      <c r="A275" s="180" t="s">
        <v>177</v>
      </c>
      <c r="B275" s="181" t="s">
        <v>213</v>
      </c>
      <c r="C275" s="182" t="s">
        <v>143</v>
      </c>
      <c r="D275" s="183">
        <f>I277/1000</f>
        <v>0.42943200000000004</v>
      </c>
      <c r="E275" s="184"/>
      <c r="F275" s="95"/>
      <c r="G275" s="96">
        <f t="shared" ref="G275:G277" si="39">(D275*E275)+(D275*F275)</f>
        <v>0</v>
      </c>
      <c r="H275" s="41"/>
      <c r="I275" s="36"/>
    </row>
    <row r="276" spans="1:13">
      <c r="A276" s="185" t="s">
        <v>188</v>
      </c>
      <c r="B276" s="160" t="s">
        <v>248</v>
      </c>
      <c r="C276" s="186" t="s">
        <v>8</v>
      </c>
      <c r="D276" s="187">
        <v>116</v>
      </c>
      <c r="E276" s="188"/>
      <c r="F276" s="189"/>
      <c r="G276" s="96">
        <f t="shared" si="39"/>
        <v>0</v>
      </c>
      <c r="H276" s="41"/>
      <c r="I276" s="33">
        <f>0.617*D276*6</f>
        <v>429.43200000000002</v>
      </c>
    </row>
    <row r="277" spans="1:13">
      <c r="A277" s="185"/>
      <c r="B277" s="190" t="s">
        <v>14</v>
      </c>
      <c r="C277" s="186" t="s">
        <v>9</v>
      </c>
      <c r="D277" s="187">
        <f>D275*20</f>
        <v>8.5886400000000016</v>
      </c>
      <c r="E277" s="188"/>
      <c r="F277" s="189"/>
      <c r="G277" s="96">
        <f t="shared" si="39"/>
        <v>0</v>
      </c>
      <c r="H277" s="41"/>
      <c r="I277" s="33">
        <f>SUM(I275:I276)</f>
        <v>429.43200000000002</v>
      </c>
    </row>
    <row r="278" spans="1:13">
      <c r="A278" s="162" t="s">
        <v>189</v>
      </c>
      <c r="B278" s="163" t="s">
        <v>231</v>
      </c>
      <c r="C278" s="164" t="s">
        <v>143</v>
      </c>
      <c r="D278" s="165">
        <f>I280/1000</f>
        <v>1.3586340000000001</v>
      </c>
      <c r="E278" s="166"/>
      <c r="F278" s="95"/>
      <c r="G278" s="96">
        <f t="shared" ref="G278:G280" si="40">(D278*E278)+(D278*F278)</f>
        <v>0</v>
      </c>
    </row>
    <row r="279" spans="1:13">
      <c r="A279" s="162"/>
      <c r="B279" s="160" t="s">
        <v>248</v>
      </c>
      <c r="C279" s="161" t="s">
        <v>8</v>
      </c>
      <c r="D279" s="116">
        <v>367</v>
      </c>
      <c r="E279" s="117"/>
      <c r="F279" s="95"/>
      <c r="G279" s="96">
        <f t="shared" si="40"/>
        <v>0</v>
      </c>
      <c r="I279" s="33">
        <f>0.617*D279*6</f>
        <v>1358.634</v>
      </c>
      <c r="J279" s="22">
        <v>285.73500000000001</v>
      </c>
      <c r="K279" s="22">
        <f>J279*7*110%</f>
        <v>2200.1595000000002</v>
      </c>
      <c r="L279" s="22">
        <f>K279/6</f>
        <v>366.69325000000003</v>
      </c>
    </row>
    <row r="280" spans="1:13">
      <c r="A280" s="159"/>
      <c r="B280" s="160" t="s">
        <v>14</v>
      </c>
      <c r="C280" s="161" t="s">
        <v>9</v>
      </c>
      <c r="D280" s="116">
        <f>D278*20</f>
        <v>27.172680000000003</v>
      </c>
      <c r="E280" s="117"/>
      <c r="F280" s="95"/>
      <c r="G280" s="96">
        <f t="shared" si="40"/>
        <v>0</v>
      </c>
      <c r="I280" s="33">
        <f>SUM(I278:I279)</f>
        <v>1358.634</v>
      </c>
    </row>
    <row r="281" spans="1:13">
      <c r="A281" s="180" t="s">
        <v>190</v>
      </c>
      <c r="B281" s="181" t="s">
        <v>458</v>
      </c>
      <c r="C281" s="182"/>
      <c r="D281" s="183"/>
      <c r="E281" s="184"/>
      <c r="F281" s="95"/>
      <c r="G281" s="96"/>
    </row>
    <row r="282" spans="1:13">
      <c r="A282" s="159" t="s">
        <v>199</v>
      </c>
      <c r="B282" s="160" t="s">
        <v>319</v>
      </c>
      <c r="C282" s="161" t="s">
        <v>143</v>
      </c>
      <c r="D282" s="116">
        <f>I285/1000</f>
        <v>9.0492000000000003E-2</v>
      </c>
      <c r="E282" s="117"/>
      <c r="F282" s="95"/>
      <c r="G282" s="96">
        <f t="shared" ref="G282:G296" si="41">(D282*E282)+(D282*F282)</f>
        <v>0</v>
      </c>
    </row>
    <row r="283" spans="1:13">
      <c r="A283" s="162"/>
      <c r="B283" s="160" t="s">
        <v>246</v>
      </c>
      <c r="C283" s="161" t="s">
        <v>8</v>
      </c>
      <c r="D283" s="116">
        <v>8</v>
      </c>
      <c r="E283" s="117"/>
      <c r="F283" s="95"/>
      <c r="G283" s="96">
        <f t="shared" si="41"/>
        <v>0</v>
      </c>
      <c r="I283" s="33">
        <f>D283*1.58*6</f>
        <v>75.84</v>
      </c>
      <c r="J283" s="22">
        <f>19.4*2+10.7+2.2</f>
        <v>51.7</v>
      </c>
      <c r="L283" s="22">
        <f>J283/0.15</f>
        <v>344.66666666666669</v>
      </c>
      <c r="M283" s="22">
        <f>L283/5</f>
        <v>68.933333333333337</v>
      </c>
    </row>
    <row r="284" spans="1:13">
      <c r="A284" s="159"/>
      <c r="B284" s="160" t="s">
        <v>249</v>
      </c>
      <c r="C284" s="161" t="s">
        <v>8</v>
      </c>
      <c r="D284" s="116">
        <v>11</v>
      </c>
      <c r="E284" s="117"/>
      <c r="F284" s="95"/>
      <c r="G284" s="96">
        <f t="shared" si="41"/>
        <v>0</v>
      </c>
      <c r="I284" s="33">
        <f>0.222*D284*6</f>
        <v>14.652000000000001</v>
      </c>
    </row>
    <row r="285" spans="1:13">
      <c r="A285" s="159"/>
      <c r="B285" s="160" t="s">
        <v>14</v>
      </c>
      <c r="C285" s="161" t="s">
        <v>9</v>
      </c>
      <c r="D285" s="116">
        <f>D282*20</f>
        <v>1.8098400000000001</v>
      </c>
      <c r="E285" s="117"/>
      <c r="F285" s="95"/>
      <c r="G285" s="96">
        <f t="shared" si="41"/>
        <v>0</v>
      </c>
      <c r="I285" s="33">
        <f>SUM(I283:I284)</f>
        <v>90.492000000000004</v>
      </c>
      <c r="J285" s="33"/>
    </row>
    <row r="286" spans="1:13">
      <c r="A286" s="159" t="s">
        <v>200</v>
      </c>
      <c r="B286" s="160" t="s">
        <v>334</v>
      </c>
      <c r="C286" s="161" t="s">
        <v>143</v>
      </c>
      <c r="D286" s="116">
        <f>I289/1000</f>
        <v>6.4871999999999999E-2</v>
      </c>
      <c r="E286" s="117"/>
      <c r="F286" s="95"/>
      <c r="G286" s="96">
        <f t="shared" si="41"/>
        <v>0</v>
      </c>
      <c r="I286" s="33"/>
      <c r="J286" s="33"/>
    </row>
    <row r="287" spans="1:13">
      <c r="A287" s="159"/>
      <c r="B287" s="160" t="s">
        <v>246</v>
      </c>
      <c r="C287" s="161" t="s">
        <v>8</v>
      </c>
      <c r="D287" s="116">
        <v>6</v>
      </c>
      <c r="E287" s="117"/>
      <c r="F287" s="95"/>
      <c r="G287" s="96">
        <f t="shared" si="41"/>
        <v>0</v>
      </c>
      <c r="I287" s="33">
        <f>D287*1.58*6</f>
        <v>56.88</v>
      </c>
      <c r="J287" s="22">
        <f>8.7*2+4.42</f>
        <v>21.82</v>
      </c>
      <c r="K287" s="22">
        <f>J287/0.15</f>
        <v>145.46666666666667</v>
      </c>
      <c r="L287" s="22">
        <f>K287/5</f>
        <v>29.093333333333334</v>
      </c>
    </row>
    <row r="288" spans="1:13">
      <c r="A288" s="159"/>
      <c r="B288" s="160" t="s">
        <v>249</v>
      </c>
      <c r="C288" s="161" t="s">
        <v>8</v>
      </c>
      <c r="D288" s="116">
        <v>6</v>
      </c>
      <c r="E288" s="117"/>
      <c r="F288" s="95"/>
      <c r="G288" s="96">
        <f t="shared" si="41"/>
        <v>0</v>
      </c>
      <c r="I288" s="33">
        <f>0.222*D288*6</f>
        <v>7.9920000000000009</v>
      </c>
    </row>
    <row r="289" spans="1:13">
      <c r="A289" s="159"/>
      <c r="B289" s="160" t="s">
        <v>14</v>
      </c>
      <c r="C289" s="161" t="s">
        <v>9</v>
      </c>
      <c r="D289" s="116">
        <f>D286*20</f>
        <v>1.2974399999999999</v>
      </c>
      <c r="E289" s="117"/>
      <c r="F289" s="95"/>
      <c r="G289" s="96">
        <f t="shared" si="41"/>
        <v>0</v>
      </c>
      <c r="I289" s="33">
        <f>SUM(I287:I288)</f>
        <v>64.872</v>
      </c>
      <c r="J289" s="33"/>
    </row>
    <row r="290" spans="1:13">
      <c r="A290" s="159" t="s">
        <v>202</v>
      </c>
      <c r="B290" s="160" t="s">
        <v>339</v>
      </c>
      <c r="C290" s="161" t="s">
        <v>143</v>
      </c>
      <c r="D290" s="116">
        <f>I293/1000</f>
        <v>6.7248000000000002E-2</v>
      </c>
      <c r="E290" s="117"/>
      <c r="F290" s="95"/>
      <c r="G290" s="96">
        <f t="shared" si="41"/>
        <v>0</v>
      </c>
      <c r="I290" s="33"/>
      <c r="J290" s="33"/>
    </row>
    <row r="291" spans="1:13">
      <c r="A291" s="159"/>
      <c r="B291" s="160" t="s">
        <v>341</v>
      </c>
      <c r="C291" s="161" t="s">
        <v>8</v>
      </c>
      <c r="D291" s="116">
        <v>4</v>
      </c>
      <c r="E291" s="117"/>
      <c r="F291" s="95"/>
      <c r="G291" s="96">
        <f t="shared" si="41"/>
        <v>0</v>
      </c>
      <c r="I291" s="33">
        <f>D291*2.469*6</f>
        <v>59.256</v>
      </c>
      <c r="J291" s="33">
        <v>6.6</v>
      </c>
      <c r="K291" s="22">
        <f>(J291/0.15)</f>
        <v>44</v>
      </c>
      <c r="L291" s="22">
        <f>K291/4</f>
        <v>11</v>
      </c>
    </row>
    <row r="292" spans="1:13">
      <c r="A292" s="159"/>
      <c r="B292" s="160" t="s">
        <v>249</v>
      </c>
      <c r="C292" s="161" t="s">
        <v>8</v>
      </c>
      <c r="D292" s="116">
        <v>6</v>
      </c>
      <c r="E292" s="117"/>
      <c r="F292" s="95"/>
      <c r="G292" s="96">
        <f t="shared" si="41"/>
        <v>0</v>
      </c>
      <c r="I292" s="33">
        <f>0.222*D292*6</f>
        <v>7.9920000000000009</v>
      </c>
      <c r="J292" s="33"/>
    </row>
    <row r="293" spans="1:13" ht="12.75" thickBot="1">
      <c r="A293" s="358"/>
      <c r="B293" s="359" t="s">
        <v>14</v>
      </c>
      <c r="C293" s="339" t="s">
        <v>9</v>
      </c>
      <c r="D293" s="360">
        <f>D290*20</f>
        <v>1.3449599999999999</v>
      </c>
      <c r="E293" s="341"/>
      <c r="F293" s="340"/>
      <c r="G293" s="361">
        <f t="shared" si="41"/>
        <v>0</v>
      </c>
      <c r="I293" s="33">
        <f>SUM(I291:I292)</f>
        <v>67.248000000000005</v>
      </c>
      <c r="J293" s="33"/>
    </row>
    <row r="294" spans="1:13">
      <c r="A294" s="180" t="s">
        <v>191</v>
      </c>
      <c r="B294" s="181" t="s">
        <v>473</v>
      </c>
      <c r="C294" s="182" t="s">
        <v>143</v>
      </c>
      <c r="D294" s="183">
        <f>I296/1000</f>
        <v>0.34798800000000002</v>
      </c>
      <c r="E294" s="184"/>
      <c r="F294" s="95"/>
      <c r="G294" s="96">
        <f t="shared" si="41"/>
        <v>0</v>
      </c>
      <c r="H294" s="41"/>
      <c r="I294" s="36"/>
      <c r="K294" s="22">
        <f>5.925*3.4</f>
        <v>20.145</v>
      </c>
      <c r="L294" s="22">
        <f>K294*14*2</f>
        <v>564.05999999999995</v>
      </c>
      <c r="M294" s="22">
        <f>L294/6</f>
        <v>94.009999999999991</v>
      </c>
    </row>
    <row r="295" spans="1:13">
      <c r="A295" s="185" t="s">
        <v>188</v>
      </c>
      <c r="B295" s="160" t="s">
        <v>248</v>
      </c>
      <c r="C295" s="186" t="s">
        <v>8</v>
      </c>
      <c r="D295" s="187">
        <v>94</v>
      </c>
      <c r="E295" s="188"/>
      <c r="F295" s="189"/>
      <c r="G295" s="96">
        <f t="shared" si="41"/>
        <v>0</v>
      </c>
      <c r="H295" s="41"/>
      <c r="I295" s="33">
        <f>0.617*D295*6</f>
        <v>347.988</v>
      </c>
    </row>
    <row r="296" spans="1:13">
      <c r="A296" s="185"/>
      <c r="B296" s="190" t="s">
        <v>14</v>
      </c>
      <c r="C296" s="186" t="s">
        <v>9</v>
      </c>
      <c r="D296" s="187">
        <f>D294*20</f>
        <v>6.9597600000000002</v>
      </c>
      <c r="E296" s="188"/>
      <c r="F296" s="189"/>
      <c r="G296" s="96">
        <f t="shared" si="41"/>
        <v>0</v>
      </c>
      <c r="H296" s="41"/>
      <c r="I296" s="33">
        <f>SUM(I294:I295)</f>
        <v>347.988</v>
      </c>
    </row>
    <row r="297" spans="1:13">
      <c r="A297" s="159"/>
      <c r="B297" s="160"/>
      <c r="C297" s="161"/>
      <c r="D297" s="116"/>
      <c r="E297" s="117"/>
      <c r="F297" s="95"/>
      <c r="G297" s="96"/>
      <c r="I297" s="33"/>
    </row>
    <row r="298" spans="1:13">
      <c r="A298" s="152" t="s">
        <v>145</v>
      </c>
      <c r="B298" s="153" t="s">
        <v>69</v>
      </c>
      <c r="C298" s="174"/>
      <c r="D298" s="175"/>
      <c r="E298" s="176"/>
      <c r="F298" s="177"/>
      <c r="G298" s="178">
        <f t="shared" ref="G298" si="42">(D298*E298)+(D298*F298)</f>
        <v>0</v>
      </c>
    </row>
    <row r="299" spans="1:13">
      <c r="A299" s="180" t="s">
        <v>176</v>
      </c>
      <c r="B299" s="181" t="s">
        <v>333</v>
      </c>
      <c r="C299" s="182"/>
      <c r="D299" s="183"/>
      <c r="E299" s="184"/>
      <c r="F299" s="95"/>
      <c r="G299" s="96"/>
    </row>
    <row r="300" spans="1:13">
      <c r="A300" s="159" t="s">
        <v>199</v>
      </c>
      <c r="B300" s="160" t="s">
        <v>319</v>
      </c>
      <c r="C300" s="161" t="s">
        <v>143</v>
      </c>
      <c r="D300" s="116">
        <f>I303/1000</f>
        <v>0.49273199999999995</v>
      </c>
      <c r="E300" s="117"/>
      <c r="F300" s="95"/>
      <c r="G300" s="96">
        <f t="shared" ref="G300:G328" si="43">(D300*E300)+(D300*F300)</f>
        <v>0</v>
      </c>
    </row>
    <row r="301" spans="1:13">
      <c r="A301" s="162"/>
      <c r="B301" s="160" t="s">
        <v>246</v>
      </c>
      <c r="C301" s="161" t="s">
        <v>8</v>
      </c>
      <c r="D301" s="116">
        <v>42</v>
      </c>
      <c r="E301" s="117"/>
      <c r="F301" s="95"/>
      <c r="G301" s="96">
        <f t="shared" si="43"/>
        <v>0</v>
      </c>
      <c r="I301" s="33">
        <f>D301*1.58*6</f>
        <v>398.15999999999997</v>
      </c>
      <c r="J301" s="22">
        <f>19.4*2+10.7+2.2</f>
        <v>51.7</v>
      </c>
      <c r="L301" s="22">
        <f>J301/0.15</f>
        <v>344.66666666666669</v>
      </c>
      <c r="M301" s="22">
        <f>L301/5</f>
        <v>68.933333333333337</v>
      </c>
    </row>
    <row r="302" spans="1:13">
      <c r="A302" s="159"/>
      <c r="B302" s="160" t="s">
        <v>249</v>
      </c>
      <c r="C302" s="161" t="s">
        <v>8</v>
      </c>
      <c r="D302" s="116">
        <v>71</v>
      </c>
      <c r="E302" s="117"/>
      <c r="F302" s="95"/>
      <c r="G302" s="96">
        <f t="shared" si="43"/>
        <v>0</v>
      </c>
      <c r="I302" s="33">
        <f>0.222*D302*6</f>
        <v>94.572000000000003</v>
      </c>
    </row>
    <row r="303" spans="1:13">
      <c r="A303" s="159"/>
      <c r="B303" s="160" t="s">
        <v>14</v>
      </c>
      <c r="C303" s="161" t="s">
        <v>9</v>
      </c>
      <c r="D303" s="116">
        <f>D300*20</f>
        <v>9.8546399999999998</v>
      </c>
      <c r="E303" s="117"/>
      <c r="F303" s="95"/>
      <c r="G303" s="96">
        <f t="shared" si="43"/>
        <v>0</v>
      </c>
      <c r="I303" s="33">
        <f>SUM(I301:I302)</f>
        <v>492.73199999999997</v>
      </c>
      <c r="J303" s="33"/>
    </row>
    <row r="304" spans="1:13">
      <c r="A304" s="159" t="s">
        <v>200</v>
      </c>
      <c r="B304" s="160" t="s">
        <v>334</v>
      </c>
      <c r="C304" s="161" t="s">
        <v>143</v>
      </c>
      <c r="D304" s="116">
        <f>I307/1000</f>
        <v>0.29740800000000001</v>
      </c>
      <c r="E304" s="117"/>
      <c r="F304" s="95"/>
      <c r="G304" s="96">
        <f t="shared" ref="G304:G311" si="44">(D304*E304)+(D304*F304)</f>
        <v>0</v>
      </c>
      <c r="I304" s="33"/>
      <c r="J304" s="33"/>
    </row>
    <row r="305" spans="1:12">
      <c r="A305" s="159"/>
      <c r="B305" s="160" t="s">
        <v>246</v>
      </c>
      <c r="C305" s="161" t="s">
        <v>8</v>
      </c>
      <c r="D305" s="116">
        <v>28</v>
      </c>
      <c r="E305" s="117"/>
      <c r="F305" s="95"/>
      <c r="G305" s="96">
        <f t="shared" si="44"/>
        <v>0</v>
      </c>
      <c r="I305" s="33">
        <f>D305*1.58*6</f>
        <v>265.44</v>
      </c>
      <c r="J305" s="22">
        <f>8.7*2+4.42</f>
        <v>21.82</v>
      </c>
      <c r="K305" s="22">
        <f>J305/0.15</f>
        <v>145.46666666666667</v>
      </c>
      <c r="L305" s="22">
        <f>K305/5</f>
        <v>29.093333333333334</v>
      </c>
    </row>
    <row r="306" spans="1:12">
      <c r="A306" s="159"/>
      <c r="B306" s="160" t="s">
        <v>249</v>
      </c>
      <c r="C306" s="161" t="s">
        <v>8</v>
      </c>
      <c r="D306" s="116">
        <v>24</v>
      </c>
      <c r="E306" s="117"/>
      <c r="F306" s="95"/>
      <c r="G306" s="96">
        <f t="shared" si="44"/>
        <v>0</v>
      </c>
      <c r="I306" s="33">
        <f>0.222*D306*6</f>
        <v>31.968000000000004</v>
      </c>
    </row>
    <row r="307" spans="1:12">
      <c r="A307" s="159"/>
      <c r="B307" s="160" t="s">
        <v>14</v>
      </c>
      <c r="C307" s="161" t="s">
        <v>9</v>
      </c>
      <c r="D307" s="116">
        <f>D304*20</f>
        <v>5.9481599999999997</v>
      </c>
      <c r="E307" s="117"/>
      <c r="F307" s="95"/>
      <c r="G307" s="96">
        <f t="shared" si="44"/>
        <v>0</v>
      </c>
      <c r="I307" s="33">
        <f>SUM(I305:I306)</f>
        <v>297.40800000000002</v>
      </c>
      <c r="J307" s="33"/>
    </row>
    <row r="308" spans="1:12">
      <c r="A308" s="159" t="s">
        <v>202</v>
      </c>
      <c r="B308" s="160" t="s">
        <v>335</v>
      </c>
      <c r="C308" s="161" t="s">
        <v>143</v>
      </c>
      <c r="D308" s="116">
        <f>I311/1000</f>
        <v>0.67098599999999997</v>
      </c>
      <c r="E308" s="117"/>
      <c r="F308" s="95"/>
      <c r="G308" s="96">
        <f t="shared" si="44"/>
        <v>0</v>
      </c>
      <c r="I308" s="33"/>
      <c r="J308" s="33"/>
    </row>
    <row r="309" spans="1:12">
      <c r="A309" s="159"/>
      <c r="B309" s="160" t="s">
        <v>341</v>
      </c>
      <c r="C309" s="161" t="s">
        <v>8</v>
      </c>
      <c r="D309" s="116">
        <v>39</v>
      </c>
      <c r="E309" s="117"/>
      <c r="F309" s="95"/>
      <c r="G309" s="96">
        <f t="shared" si="44"/>
        <v>0</v>
      </c>
      <c r="I309" s="33">
        <f>D309*2.469*6</f>
        <v>577.74599999999998</v>
      </c>
      <c r="J309" s="22">
        <f>8.7*3</f>
        <v>26.099999999999998</v>
      </c>
      <c r="K309" s="22">
        <f>(J309/0.15)*2</f>
        <v>348</v>
      </c>
      <c r="L309" s="22">
        <f>K309/5</f>
        <v>69.599999999999994</v>
      </c>
    </row>
    <row r="310" spans="1:12">
      <c r="A310" s="159"/>
      <c r="B310" s="160" t="s">
        <v>249</v>
      </c>
      <c r="C310" s="161" t="s">
        <v>8</v>
      </c>
      <c r="D310" s="116">
        <v>70</v>
      </c>
      <c r="E310" s="117"/>
      <c r="F310" s="95"/>
      <c r="G310" s="96">
        <f t="shared" si="44"/>
        <v>0</v>
      </c>
      <c r="I310" s="33">
        <f>0.222*D310*6</f>
        <v>93.240000000000009</v>
      </c>
      <c r="J310" s="33"/>
    </row>
    <row r="311" spans="1:12">
      <c r="A311" s="159"/>
      <c r="B311" s="160" t="s">
        <v>14</v>
      </c>
      <c r="C311" s="161" t="s">
        <v>9</v>
      </c>
      <c r="D311" s="116">
        <f>D308*20</f>
        <v>13.41972</v>
      </c>
      <c r="E311" s="117"/>
      <c r="F311" s="95"/>
      <c r="G311" s="96">
        <f t="shared" si="44"/>
        <v>0</v>
      </c>
      <c r="I311" s="33">
        <f>SUM(I309:I310)</f>
        <v>670.98599999999999</v>
      </c>
      <c r="J311" s="33"/>
    </row>
    <row r="312" spans="1:12">
      <c r="A312" s="159" t="s">
        <v>201</v>
      </c>
      <c r="B312" s="160" t="s">
        <v>338</v>
      </c>
      <c r="C312" s="161" t="s">
        <v>143</v>
      </c>
      <c r="D312" s="116">
        <f>I316/1000</f>
        <v>0.35545800000000005</v>
      </c>
      <c r="E312" s="117"/>
      <c r="F312" s="95"/>
      <c r="G312" s="96">
        <f t="shared" ref="G312:G325" si="45">(D312*E312)+(D312*F312)</f>
        <v>0</v>
      </c>
      <c r="I312" s="33"/>
      <c r="J312" s="33"/>
    </row>
    <row r="313" spans="1:12">
      <c r="A313" s="159"/>
      <c r="B313" s="160" t="s">
        <v>341</v>
      </c>
      <c r="C313" s="161" t="s">
        <v>8</v>
      </c>
      <c r="D313" s="116">
        <v>11</v>
      </c>
      <c r="E313" s="117"/>
      <c r="F313" s="95"/>
      <c r="G313" s="96">
        <f t="shared" ref="G313:G314" si="46">(D313*E313)+(D313*F313)</f>
        <v>0</v>
      </c>
      <c r="I313" s="33">
        <f>D313*2.469*6</f>
        <v>162.95400000000001</v>
      </c>
      <c r="J313" s="22">
        <v>19.399999999999999</v>
      </c>
      <c r="K313" s="22">
        <f>(J313/0.1)*2</f>
        <v>387.99999999999994</v>
      </c>
      <c r="L313" s="22">
        <f>K313/5</f>
        <v>77.599999999999994</v>
      </c>
    </row>
    <row r="314" spans="1:12">
      <c r="A314" s="159"/>
      <c r="B314" s="160" t="s">
        <v>246</v>
      </c>
      <c r="C314" s="161" t="s">
        <v>8</v>
      </c>
      <c r="D314" s="116">
        <v>13</v>
      </c>
      <c r="E314" s="117"/>
      <c r="F314" s="95"/>
      <c r="G314" s="96">
        <f t="shared" si="46"/>
        <v>0</v>
      </c>
      <c r="I314" s="33">
        <f>D314*1.58*6</f>
        <v>123.24</v>
      </c>
      <c r="J314" s="33"/>
    </row>
    <row r="315" spans="1:12">
      <c r="A315" s="159"/>
      <c r="B315" s="160" t="s">
        <v>249</v>
      </c>
      <c r="C315" s="161" t="s">
        <v>8</v>
      </c>
      <c r="D315" s="116">
        <v>52</v>
      </c>
      <c r="E315" s="117"/>
      <c r="F315" s="95"/>
      <c r="G315" s="96">
        <f t="shared" si="45"/>
        <v>0</v>
      </c>
      <c r="I315" s="33">
        <f>0.222*D315*6</f>
        <v>69.26400000000001</v>
      </c>
      <c r="J315" s="33"/>
    </row>
    <row r="316" spans="1:12">
      <c r="A316" s="159"/>
      <c r="B316" s="160" t="s">
        <v>14</v>
      </c>
      <c r="C316" s="161" t="s">
        <v>9</v>
      </c>
      <c r="D316" s="116">
        <f>D312*20</f>
        <v>7.109160000000001</v>
      </c>
      <c r="E316" s="117"/>
      <c r="F316" s="95"/>
      <c r="G316" s="96">
        <f t="shared" si="45"/>
        <v>0</v>
      </c>
      <c r="I316" s="33">
        <f>SUM(I313:I315)</f>
        <v>355.45800000000003</v>
      </c>
      <c r="J316" s="33"/>
    </row>
    <row r="317" spans="1:12">
      <c r="A317" s="159" t="s">
        <v>336</v>
      </c>
      <c r="B317" s="160" t="s">
        <v>339</v>
      </c>
      <c r="C317" s="161" t="s">
        <v>143</v>
      </c>
      <c r="D317" s="116">
        <f>I320/1000</f>
        <v>8.2061999999999996E-2</v>
      </c>
      <c r="E317" s="117"/>
      <c r="F317" s="95"/>
      <c r="G317" s="96">
        <f t="shared" si="45"/>
        <v>0</v>
      </c>
      <c r="I317" s="33"/>
      <c r="J317" s="33"/>
    </row>
    <row r="318" spans="1:12">
      <c r="A318" s="159"/>
      <c r="B318" s="160" t="s">
        <v>341</v>
      </c>
      <c r="C318" s="161" t="s">
        <v>8</v>
      </c>
      <c r="D318" s="116">
        <v>5</v>
      </c>
      <c r="E318" s="117"/>
      <c r="F318" s="95"/>
      <c r="G318" s="96">
        <f t="shared" si="45"/>
        <v>0</v>
      </c>
      <c r="I318" s="33">
        <f>D318*2.469*6</f>
        <v>74.069999999999993</v>
      </c>
      <c r="J318" s="33">
        <v>6.6</v>
      </c>
      <c r="K318" s="22">
        <f>(J318/0.15)</f>
        <v>44</v>
      </c>
      <c r="L318" s="22">
        <f>K318/4</f>
        <v>11</v>
      </c>
    </row>
    <row r="319" spans="1:12">
      <c r="A319" s="159"/>
      <c r="B319" s="160" t="s">
        <v>249</v>
      </c>
      <c r="C319" s="161" t="s">
        <v>8</v>
      </c>
      <c r="D319" s="116">
        <v>6</v>
      </c>
      <c r="E319" s="117"/>
      <c r="F319" s="95"/>
      <c r="G319" s="96">
        <f t="shared" si="45"/>
        <v>0</v>
      </c>
      <c r="I319" s="33">
        <f>0.222*D319*6</f>
        <v>7.9920000000000009</v>
      </c>
      <c r="J319" s="33"/>
    </row>
    <row r="320" spans="1:12">
      <c r="A320" s="159"/>
      <c r="B320" s="160" t="s">
        <v>14</v>
      </c>
      <c r="C320" s="161" t="s">
        <v>9</v>
      </c>
      <c r="D320" s="116">
        <f>D317*20</f>
        <v>1.6412399999999998</v>
      </c>
      <c r="E320" s="117"/>
      <c r="F320" s="95"/>
      <c r="G320" s="96">
        <f t="shared" si="45"/>
        <v>0</v>
      </c>
      <c r="I320" s="33">
        <f>SUM(I318:I319)</f>
        <v>82.061999999999998</v>
      </c>
      <c r="J320" s="33"/>
    </row>
    <row r="321" spans="1:14">
      <c r="A321" s="159" t="s">
        <v>337</v>
      </c>
      <c r="B321" s="160" t="s">
        <v>340</v>
      </c>
      <c r="C321" s="161" t="s">
        <v>143</v>
      </c>
      <c r="D321" s="116">
        <f>I325/1000</f>
        <v>0.53006400000000009</v>
      </c>
      <c r="E321" s="117"/>
      <c r="F321" s="95"/>
      <c r="G321" s="96">
        <f t="shared" si="45"/>
        <v>0</v>
      </c>
      <c r="I321" s="33"/>
      <c r="J321" s="33"/>
    </row>
    <row r="322" spans="1:14">
      <c r="A322" s="159"/>
      <c r="B322" s="160" t="s">
        <v>341</v>
      </c>
      <c r="C322" s="161" t="s">
        <v>8</v>
      </c>
      <c r="D322" s="116">
        <v>22</v>
      </c>
      <c r="E322" s="117"/>
      <c r="F322" s="95"/>
      <c r="G322" s="96">
        <f t="shared" ref="G322:G323" si="47">(D322*E322)+(D322*F322)</f>
        <v>0</v>
      </c>
      <c r="I322" s="33">
        <f t="shared" ref="I322" si="48">D322*2.469*6</f>
        <v>325.90800000000002</v>
      </c>
      <c r="J322" s="33">
        <v>12.9</v>
      </c>
      <c r="K322" s="22">
        <f>(J322/0.1)</f>
        <v>129</v>
      </c>
      <c r="L322" s="22">
        <f>K322/4</f>
        <v>32.25</v>
      </c>
    </row>
    <row r="323" spans="1:14">
      <c r="A323" s="159"/>
      <c r="B323" s="160" t="s">
        <v>342</v>
      </c>
      <c r="C323" s="161" t="s">
        <v>8</v>
      </c>
      <c r="D323" s="116">
        <v>6</v>
      </c>
      <c r="E323" s="117"/>
      <c r="F323" s="95"/>
      <c r="G323" s="96">
        <f t="shared" si="47"/>
        <v>0</v>
      </c>
      <c r="I323" s="33">
        <f>D323*3.858*6</f>
        <v>138.88800000000001</v>
      </c>
      <c r="J323" s="33"/>
    </row>
    <row r="324" spans="1:14">
      <c r="A324" s="159"/>
      <c r="B324" s="160" t="s">
        <v>249</v>
      </c>
      <c r="C324" s="161" t="s">
        <v>8</v>
      </c>
      <c r="D324" s="116">
        <v>49</v>
      </c>
      <c r="E324" s="117"/>
      <c r="F324" s="95"/>
      <c r="G324" s="96">
        <f t="shared" si="45"/>
        <v>0</v>
      </c>
      <c r="I324" s="33">
        <f>0.222*D324*6</f>
        <v>65.268000000000001</v>
      </c>
      <c r="J324" s="33"/>
    </row>
    <row r="325" spans="1:14">
      <c r="A325" s="159"/>
      <c r="B325" s="160" t="s">
        <v>14</v>
      </c>
      <c r="C325" s="161" t="s">
        <v>9</v>
      </c>
      <c r="D325" s="116">
        <f>D321*20</f>
        <v>10.601280000000003</v>
      </c>
      <c r="E325" s="117"/>
      <c r="F325" s="95"/>
      <c r="G325" s="96">
        <f t="shared" si="45"/>
        <v>0</v>
      </c>
      <c r="I325" s="33">
        <f>SUM(I322:I324)</f>
        <v>530.06400000000008</v>
      </c>
      <c r="J325" s="33"/>
    </row>
    <row r="326" spans="1:14">
      <c r="A326" s="180" t="s">
        <v>177</v>
      </c>
      <c r="B326" s="181" t="s">
        <v>318</v>
      </c>
      <c r="C326" s="182" t="s">
        <v>143</v>
      </c>
      <c r="D326" s="183">
        <f>I328/1000</f>
        <v>3.7649340000000002</v>
      </c>
      <c r="E326" s="184"/>
      <c r="F326" s="95"/>
      <c r="G326" s="96">
        <f t="shared" si="43"/>
        <v>0</v>
      </c>
      <c r="H326" s="41"/>
      <c r="I326" s="36"/>
      <c r="K326" s="22">
        <f>248.87*14</f>
        <v>3484.1800000000003</v>
      </c>
      <c r="L326" s="22">
        <f>K326*75%</f>
        <v>2613.1350000000002</v>
      </c>
      <c r="M326" s="22">
        <f>SUM(K326:L326)</f>
        <v>6097.3150000000005</v>
      </c>
      <c r="N326" s="22">
        <f>M326/6</f>
        <v>1016.2191666666668</v>
      </c>
    </row>
    <row r="327" spans="1:14">
      <c r="A327" s="185" t="s">
        <v>188</v>
      </c>
      <c r="B327" s="160" t="s">
        <v>248</v>
      </c>
      <c r="C327" s="186" t="s">
        <v>8</v>
      </c>
      <c r="D327" s="187">
        <v>1017</v>
      </c>
      <c r="E327" s="188"/>
      <c r="F327" s="189"/>
      <c r="G327" s="96">
        <f t="shared" si="43"/>
        <v>0</v>
      </c>
      <c r="H327" s="41"/>
      <c r="I327" s="33">
        <f>0.617*D327*6</f>
        <v>3764.9340000000002</v>
      </c>
    </row>
    <row r="328" spans="1:14">
      <c r="A328" s="185"/>
      <c r="B328" s="190" t="s">
        <v>14</v>
      </c>
      <c r="C328" s="186" t="s">
        <v>9</v>
      </c>
      <c r="D328" s="187">
        <f>D326*20</f>
        <v>75.298680000000004</v>
      </c>
      <c r="E328" s="188"/>
      <c r="F328" s="189"/>
      <c r="G328" s="96">
        <f t="shared" si="43"/>
        <v>0</v>
      </c>
      <c r="H328" s="41"/>
      <c r="I328" s="33">
        <f>SUM(I326:I327)</f>
        <v>3764.9340000000002</v>
      </c>
    </row>
    <row r="329" spans="1:14">
      <c r="A329" s="180" t="s">
        <v>189</v>
      </c>
      <c r="B329" s="181" t="s">
        <v>185</v>
      </c>
      <c r="C329" s="182"/>
      <c r="D329" s="183"/>
      <c r="E329" s="184"/>
      <c r="F329" s="95"/>
      <c r="G329" s="96"/>
    </row>
    <row r="330" spans="1:14">
      <c r="A330" s="159" t="s">
        <v>199</v>
      </c>
      <c r="B330" s="160" t="s">
        <v>470</v>
      </c>
      <c r="C330" s="161" t="s">
        <v>143</v>
      </c>
      <c r="D330" s="116">
        <f>I333/1000</f>
        <v>0.91000800000000004</v>
      </c>
      <c r="E330" s="117"/>
      <c r="F330" s="95"/>
      <c r="G330" s="96">
        <f t="shared" ref="G330:G344" si="49">(D330*E330)+(D330*F330)</f>
        <v>0</v>
      </c>
    </row>
    <row r="331" spans="1:14">
      <c r="A331" s="162"/>
      <c r="B331" s="160" t="s">
        <v>246</v>
      </c>
      <c r="C331" s="161" t="s">
        <v>8</v>
      </c>
      <c r="D331" s="116">
        <v>87</v>
      </c>
      <c r="E331" s="117"/>
      <c r="F331" s="95"/>
      <c r="G331" s="96">
        <f t="shared" si="49"/>
        <v>0</v>
      </c>
      <c r="I331" s="33">
        <f>D331*1.58*6</f>
        <v>824.76</v>
      </c>
      <c r="J331" s="22">
        <f>1.5*2*29</f>
        <v>87</v>
      </c>
      <c r="L331" s="22">
        <f>3.5/0.15</f>
        <v>23.333333333333336</v>
      </c>
      <c r="M331" s="22">
        <f>24*29</f>
        <v>696</v>
      </c>
      <c r="N331" s="22">
        <f>M331/11</f>
        <v>63.272727272727273</v>
      </c>
    </row>
    <row r="332" spans="1:14">
      <c r="A332" s="159"/>
      <c r="B332" s="160" t="s">
        <v>249</v>
      </c>
      <c r="C332" s="161" t="s">
        <v>8</v>
      </c>
      <c r="D332" s="116">
        <v>64</v>
      </c>
      <c r="E332" s="117"/>
      <c r="F332" s="95"/>
      <c r="G332" s="96">
        <f t="shared" si="49"/>
        <v>0</v>
      </c>
      <c r="I332" s="33">
        <f>0.222*D332*6</f>
        <v>85.248000000000005</v>
      </c>
    </row>
    <row r="333" spans="1:14">
      <c r="A333" s="159"/>
      <c r="B333" s="160" t="s">
        <v>14</v>
      </c>
      <c r="C333" s="161" t="s">
        <v>9</v>
      </c>
      <c r="D333" s="116">
        <f>D330*20</f>
        <v>18.20016</v>
      </c>
      <c r="E333" s="117"/>
      <c r="F333" s="95"/>
      <c r="G333" s="96">
        <f t="shared" si="49"/>
        <v>0</v>
      </c>
      <c r="I333" s="33">
        <f>SUM(I331:I332)</f>
        <v>910.00800000000004</v>
      </c>
      <c r="J333" s="33"/>
    </row>
    <row r="334" spans="1:14">
      <c r="A334" s="159" t="s">
        <v>200</v>
      </c>
      <c r="B334" s="160" t="s">
        <v>471</v>
      </c>
      <c r="C334" s="161" t="s">
        <v>143</v>
      </c>
      <c r="D334" s="116">
        <f>I337/1000</f>
        <v>0.26481600000000005</v>
      </c>
      <c r="E334" s="117"/>
      <c r="F334" s="95"/>
      <c r="G334" s="96">
        <f t="shared" si="49"/>
        <v>0</v>
      </c>
      <c r="I334" s="33"/>
      <c r="J334" s="33"/>
    </row>
    <row r="335" spans="1:14">
      <c r="A335" s="159"/>
      <c r="B335" s="160" t="s">
        <v>246</v>
      </c>
      <c r="C335" s="161" t="s">
        <v>8</v>
      </c>
      <c r="D335" s="116">
        <v>24</v>
      </c>
      <c r="E335" s="117"/>
      <c r="F335" s="95"/>
      <c r="G335" s="96">
        <f t="shared" si="49"/>
        <v>0</v>
      </c>
      <c r="I335" s="33">
        <f>D335*1.58*6</f>
        <v>227.52</v>
      </c>
      <c r="J335" s="22">
        <f>1.5*4*4</f>
        <v>24</v>
      </c>
      <c r="K335" s="22">
        <f>24*3</f>
        <v>72</v>
      </c>
      <c r="L335" s="22">
        <f>K335/6</f>
        <v>12</v>
      </c>
      <c r="M335" s="22">
        <f>K335/8</f>
        <v>9</v>
      </c>
    </row>
    <row r="336" spans="1:14">
      <c r="A336" s="159"/>
      <c r="B336" s="160" t="s">
        <v>249</v>
      </c>
      <c r="C336" s="161" t="s">
        <v>8</v>
      </c>
      <c r="D336" s="116">
        <v>28</v>
      </c>
      <c r="E336" s="117"/>
      <c r="F336" s="95"/>
      <c r="G336" s="96">
        <f t="shared" si="49"/>
        <v>0</v>
      </c>
      <c r="I336" s="33">
        <f>0.222*D336*6</f>
        <v>37.295999999999999</v>
      </c>
      <c r="J336" s="51">
        <f>D336/3</f>
        <v>9.3333333333333339</v>
      </c>
      <c r="K336" s="51">
        <f>J336*4</f>
        <v>37.333333333333336</v>
      </c>
    </row>
    <row r="337" spans="1:10">
      <c r="A337" s="159"/>
      <c r="B337" s="160" t="s">
        <v>14</v>
      </c>
      <c r="C337" s="161" t="s">
        <v>9</v>
      </c>
      <c r="D337" s="116">
        <f>D334*20</f>
        <v>5.2963200000000015</v>
      </c>
      <c r="E337" s="117"/>
      <c r="F337" s="95"/>
      <c r="G337" s="96">
        <f t="shared" si="49"/>
        <v>0</v>
      </c>
      <c r="I337" s="33">
        <f>SUM(I335:I336)</f>
        <v>264.81600000000003</v>
      </c>
      <c r="J337" s="33"/>
    </row>
    <row r="338" spans="1:10">
      <c r="A338" s="159" t="s">
        <v>202</v>
      </c>
      <c r="B338" s="160" t="s">
        <v>472</v>
      </c>
      <c r="C338" s="161" t="s">
        <v>143</v>
      </c>
      <c r="D338" s="116">
        <f>I341/1000</f>
        <v>7.7292E-2</v>
      </c>
      <c r="E338" s="117"/>
      <c r="F338" s="95"/>
      <c r="G338" s="96">
        <f t="shared" si="49"/>
        <v>0</v>
      </c>
      <c r="I338" s="33"/>
      <c r="J338" s="33"/>
    </row>
    <row r="339" spans="1:10">
      <c r="A339" s="159"/>
      <c r="B339" s="160" t="s">
        <v>248</v>
      </c>
      <c r="C339" s="161" t="s">
        <v>8</v>
      </c>
      <c r="D339" s="116">
        <v>18</v>
      </c>
      <c r="E339" s="117"/>
      <c r="F339" s="95"/>
      <c r="G339" s="96">
        <f t="shared" si="49"/>
        <v>0</v>
      </c>
      <c r="I339" s="33">
        <f>D339*0.617*6</f>
        <v>66.635999999999996</v>
      </c>
      <c r="J339" s="33">
        <f>3*6</f>
        <v>18</v>
      </c>
    </row>
    <row r="340" spans="1:10">
      <c r="A340" s="159"/>
      <c r="B340" s="160" t="s">
        <v>249</v>
      </c>
      <c r="C340" s="161" t="s">
        <v>8</v>
      </c>
      <c r="D340" s="116">
        <v>8</v>
      </c>
      <c r="E340" s="117"/>
      <c r="F340" s="95"/>
      <c r="G340" s="96">
        <f t="shared" si="49"/>
        <v>0</v>
      </c>
      <c r="I340" s="33">
        <f>0.222*D340*6</f>
        <v>10.656000000000001</v>
      </c>
      <c r="J340" s="33"/>
    </row>
    <row r="341" spans="1:10">
      <c r="A341" s="159"/>
      <c r="B341" s="160" t="s">
        <v>14</v>
      </c>
      <c r="C341" s="161" t="s">
        <v>9</v>
      </c>
      <c r="D341" s="116">
        <f>D338*20</f>
        <v>1.5458400000000001</v>
      </c>
      <c r="E341" s="117"/>
      <c r="F341" s="95"/>
      <c r="G341" s="96">
        <f t="shared" si="49"/>
        <v>0</v>
      </c>
      <c r="I341" s="33">
        <f>SUM(I339:I340)</f>
        <v>77.292000000000002</v>
      </c>
      <c r="J341" s="33">
        <f>1.25*6</f>
        <v>7.5</v>
      </c>
    </row>
    <row r="342" spans="1:10">
      <c r="A342" s="180" t="s">
        <v>190</v>
      </c>
      <c r="B342" s="181" t="s">
        <v>213</v>
      </c>
      <c r="C342" s="182" t="s">
        <v>143</v>
      </c>
      <c r="D342" s="183">
        <f>I344/1000</f>
        <v>0.39981599999999995</v>
      </c>
      <c r="E342" s="184"/>
      <c r="F342" s="95"/>
      <c r="G342" s="96">
        <f t="shared" si="49"/>
        <v>0</v>
      </c>
      <c r="H342" s="41"/>
      <c r="I342" s="36"/>
    </row>
    <row r="343" spans="1:10">
      <c r="A343" s="185" t="s">
        <v>188</v>
      </c>
      <c r="B343" s="160" t="s">
        <v>248</v>
      </c>
      <c r="C343" s="186" t="s">
        <v>8</v>
      </c>
      <c r="D343" s="187">
        <v>108</v>
      </c>
      <c r="E343" s="188"/>
      <c r="F343" s="189"/>
      <c r="G343" s="96">
        <f t="shared" si="49"/>
        <v>0</v>
      </c>
      <c r="H343" s="41"/>
      <c r="I343" s="33">
        <f>0.617*D343*6</f>
        <v>399.81599999999997</v>
      </c>
    </row>
    <row r="344" spans="1:10">
      <c r="A344" s="185"/>
      <c r="B344" s="190" t="s">
        <v>14</v>
      </c>
      <c r="C344" s="186" t="s">
        <v>9</v>
      </c>
      <c r="D344" s="187">
        <f>D342*20</f>
        <v>7.996319999999999</v>
      </c>
      <c r="E344" s="188"/>
      <c r="F344" s="189"/>
      <c r="G344" s="96">
        <f t="shared" si="49"/>
        <v>0</v>
      </c>
      <c r="H344" s="41"/>
      <c r="I344" s="33">
        <f>SUM(I342:I343)</f>
        <v>399.81599999999997</v>
      </c>
    </row>
    <row r="345" spans="1:10">
      <c r="A345" s="185"/>
      <c r="B345" s="190"/>
      <c r="C345" s="186"/>
      <c r="D345" s="187"/>
      <c r="E345" s="188"/>
      <c r="F345" s="189"/>
      <c r="G345" s="96"/>
      <c r="H345" s="41"/>
      <c r="I345" s="33"/>
    </row>
    <row r="346" spans="1:10">
      <c r="A346" s="185"/>
      <c r="B346" s="190"/>
      <c r="C346" s="186"/>
      <c r="D346" s="187"/>
      <c r="E346" s="188"/>
      <c r="F346" s="189"/>
      <c r="G346" s="96"/>
      <c r="H346" s="41"/>
      <c r="I346" s="33"/>
    </row>
    <row r="347" spans="1:10">
      <c r="A347" s="185"/>
      <c r="B347" s="190"/>
      <c r="C347" s="186"/>
      <c r="D347" s="187"/>
      <c r="E347" s="188"/>
      <c r="F347" s="189"/>
      <c r="G347" s="96"/>
      <c r="H347" s="41"/>
      <c r="I347" s="33"/>
    </row>
    <row r="348" spans="1:10">
      <c r="A348" s="185"/>
      <c r="B348" s="190"/>
      <c r="C348" s="186"/>
      <c r="D348" s="187"/>
      <c r="E348" s="188"/>
      <c r="F348" s="189"/>
      <c r="G348" s="96"/>
      <c r="H348" s="41"/>
      <c r="I348" s="33"/>
    </row>
    <row r="349" spans="1:10">
      <c r="A349" s="185"/>
      <c r="B349" s="190"/>
      <c r="C349" s="186"/>
      <c r="D349" s="187"/>
      <c r="E349" s="188"/>
      <c r="F349" s="189"/>
      <c r="G349" s="96"/>
      <c r="H349" s="41"/>
      <c r="I349" s="33"/>
    </row>
    <row r="350" spans="1:10">
      <c r="A350" s="185"/>
      <c r="B350" s="190"/>
      <c r="C350" s="186"/>
      <c r="D350" s="187"/>
      <c r="E350" s="188"/>
      <c r="F350" s="189"/>
      <c r="G350" s="96"/>
      <c r="H350" s="41"/>
      <c r="I350" s="33"/>
    </row>
    <row r="351" spans="1:10">
      <c r="A351" s="185"/>
      <c r="B351" s="190"/>
      <c r="C351" s="186"/>
      <c r="D351" s="187"/>
      <c r="E351" s="188"/>
      <c r="F351" s="189"/>
      <c r="G351" s="96"/>
      <c r="H351" s="41"/>
      <c r="I351" s="33"/>
    </row>
    <row r="352" spans="1:10" ht="12.75" thickBot="1">
      <c r="A352" s="401"/>
      <c r="B352" s="402"/>
      <c r="C352" s="403"/>
      <c r="D352" s="404"/>
      <c r="E352" s="370"/>
      <c r="F352" s="371"/>
      <c r="G352" s="361"/>
      <c r="H352" s="41"/>
      <c r="I352" s="33"/>
    </row>
    <row r="353" spans="1:13">
      <c r="A353" s="185"/>
      <c r="B353" s="190"/>
      <c r="C353" s="186"/>
      <c r="D353" s="187"/>
      <c r="E353" s="188"/>
      <c r="F353" s="189"/>
      <c r="G353" s="96"/>
      <c r="H353" s="41"/>
      <c r="I353" s="33"/>
    </row>
    <row r="354" spans="1:13">
      <c r="A354" s="152" t="s">
        <v>326</v>
      </c>
      <c r="B354" s="153" t="s">
        <v>71</v>
      </c>
      <c r="C354" s="174"/>
      <c r="D354" s="175"/>
      <c r="E354" s="176"/>
      <c r="F354" s="177"/>
      <c r="G354" s="178">
        <f t="shared" ref="G354" si="50">(D354*E354)+(D354*F354)</f>
        <v>0</v>
      </c>
    </row>
    <row r="355" spans="1:13">
      <c r="A355" s="180" t="s">
        <v>176</v>
      </c>
      <c r="B355" s="181" t="s">
        <v>333</v>
      </c>
      <c r="C355" s="182"/>
      <c r="D355" s="183"/>
      <c r="E355" s="184"/>
      <c r="F355" s="95"/>
      <c r="G355" s="96"/>
    </row>
    <row r="356" spans="1:13">
      <c r="A356" s="159" t="s">
        <v>199</v>
      </c>
      <c r="B356" s="160" t="s">
        <v>319</v>
      </c>
      <c r="C356" s="161" t="s">
        <v>143</v>
      </c>
      <c r="D356" s="116">
        <f>I359/1000</f>
        <v>0.49273199999999995</v>
      </c>
      <c r="E356" s="117"/>
      <c r="F356" s="95"/>
      <c r="G356" s="96">
        <f t="shared" ref="G356:G384" si="51">(D356*E356)+(D356*F356)</f>
        <v>0</v>
      </c>
    </row>
    <row r="357" spans="1:13">
      <c r="A357" s="162"/>
      <c r="B357" s="160" t="s">
        <v>246</v>
      </c>
      <c r="C357" s="161" t="s">
        <v>8</v>
      </c>
      <c r="D357" s="116">
        <v>42</v>
      </c>
      <c r="E357" s="117"/>
      <c r="F357" s="95"/>
      <c r="G357" s="96">
        <f t="shared" si="51"/>
        <v>0</v>
      </c>
      <c r="I357" s="33">
        <f>D357*1.58*6</f>
        <v>398.15999999999997</v>
      </c>
      <c r="J357" s="22">
        <f>19.4*2+10.7+2.2</f>
        <v>51.7</v>
      </c>
      <c r="L357" s="22">
        <f>J357/0.15</f>
        <v>344.66666666666669</v>
      </c>
      <c r="M357" s="22">
        <f>L357/5</f>
        <v>68.933333333333337</v>
      </c>
    </row>
    <row r="358" spans="1:13">
      <c r="A358" s="159"/>
      <c r="B358" s="160" t="s">
        <v>249</v>
      </c>
      <c r="C358" s="161" t="s">
        <v>8</v>
      </c>
      <c r="D358" s="116">
        <v>71</v>
      </c>
      <c r="E358" s="117"/>
      <c r="F358" s="95"/>
      <c r="G358" s="96">
        <f t="shared" si="51"/>
        <v>0</v>
      </c>
      <c r="I358" s="33">
        <f>0.222*D358*6</f>
        <v>94.572000000000003</v>
      </c>
    </row>
    <row r="359" spans="1:13">
      <c r="A359" s="159"/>
      <c r="B359" s="160" t="s">
        <v>14</v>
      </c>
      <c r="C359" s="161" t="s">
        <v>9</v>
      </c>
      <c r="D359" s="116">
        <f>D356*20</f>
        <v>9.8546399999999998</v>
      </c>
      <c r="E359" s="117"/>
      <c r="F359" s="95"/>
      <c r="G359" s="96">
        <f t="shared" si="51"/>
        <v>0</v>
      </c>
      <c r="I359" s="33">
        <f>SUM(I357:I358)</f>
        <v>492.73199999999997</v>
      </c>
      <c r="J359" s="33"/>
    </row>
    <row r="360" spans="1:13">
      <c r="A360" s="159" t="s">
        <v>200</v>
      </c>
      <c r="B360" s="160" t="s">
        <v>334</v>
      </c>
      <c r="C360" s="161" t="s">
        <v>143</v>
      </c>
      <c r="D360" s="116">
        <f>I363/1000</f>
        <v>0.29740800000000001</v>
      </c>
      <c r="E360" s="117"/>
      <c r="F360" s="95"/>
      <c r="G360" s="96">
        <f t="shared" si="51"/>
        <v>0</v>
      </c>
      <c r="I360" s="33"/>
      <c r="J360" s="33"/>
    </row>
    <row r="361" spans="1:13">
      <c r="A361" s="159"/>
      <c r="B361" s="160" t="s">
        <v>246</v>
      </c>
      <c r="C361" s="161" t="s">
        <v>8</v>
      </c>
      <c r="D361" s="116">
        <v>28</v>
      </c>
      <c r="E361" s="117"/>
      <c r="F361" s="95"/>
      <c r="G361" s="96">
        <f t="shared" si="51"/>
        <v>0</v>
      </c>
      <c r="I361" s="33">
        <f>D361*1.58*6</f>
        <v>265.44</v>
      </c>
      <c r="J361" s="22">
        <f>8.7*2+4.42</f>
        <v>21.82</v>
      </c>
      <c r="K361" s="22">
        <f>J361/0.15</f>
        <v>145.46666666666667</v>
      </c>
      <c r="L361" s="22">
        <f>K361/5</f>
        <v>29.093333333333334</v>
      </c>
    </row>
    <row r="362" spans="1:13">
      <c r="A362" s="159"/>
      <c r="B362" s="160" t="s">
        <v>249</v>
      </c>
      <c r="C362" s="161" t="s">
        <v>8</v>
      </c>
      <c r="D362" s="116">
        <v>24</v>
      </c>
      <c r="E362" s="117"/>
      <c r="F362" s="95"/>
      <c r="G362" s="96">
        <f t="shared" si="51"/>
        <v>0</v>
      </c>
      <c r="I362" s="33">
        <f>0.222*D362*6</f>
        <v>31.968000000000004</v>
      </c>
    </row>
    <row r="363" spans="1:13">
      <c r="A363" s="159"/>
      <c r="B363" s="160" t="s">
        <v>14</v>
      </c>
      <c r="C363" s="161" t="s">
        <v>9</v>
      </c>
      <c r="D363" s="116">
        <f>D360*20</f>
        <v>5.9481599999999997</v>
      </c>
      <c r="E363" s="117"/>
      <c r="F363" s="95"/>
      <c r="G363" s="96">
        <f t="shared" si="51"/>
        <v>0</v>
      </c>
      <c r="I363" s="33">
        <f>SUM(I361:I362)</f>
        <v>297.40800000000002</v>
      </c>
      <c r="J363" s="33"/>
    </row>
    <row r="364" spans="1:13">
      <c r="A364" s="159" t="s">
        <v>202</v>
      </c>
      <c r="B364" s="160" t="s">
        <v>335</v>
      </c>
      <c r="C364" s="161" t="s">
        <v>143</v>
      </c>
      <c r="D364" s="116">
        <f>I367/1000</f>
        <v>0.67098599999999997</v>
      </c>
      <c r="E364" s="117"/>
      <c r="F364" s="95"/>
      <c r="G364" s="96">
        <f t="shared" si="51"/>
        <v>0</v>
      </c>
      <c r="I364" s="33"/>
      <c r="J364" s="33"/>
    </row>
    <row r="365" spans="1:13">
      <c r="A365" s="159"/>
      <c r="B365" s="160" t="s">
        <v>341</v>
      </c>
      <c r="C365" s="161" t="s">
        <v>8</v>
      </c>
      <c r="D365" s="116">
        <v>39</v>
      </c>
      <c r="E365" s="117"/>
      <c r="F365" s="95"/>
      <c r="G365" s="96">
        <f t="shared" si="51"/>
        <v>0</v>
      </c>
      <c r="I365" s="33">
        <f>D365*2.469*6</f>
        <v>577.74599999999998</v>
      </c>
      <c r="J365" s="22">
        <f>8.7*3</f>
        <v>26.099999999999998</v>
      </c>
      <c r="K365" s="22">
        <f>(J365/0.15)*2</f>
        <v>348</v>
      </c>
      <c r="L365" s="22">
        <f>K365/5</f>
        <v>69.599999999999994</v>
      </c>
    </row>
    <row r="366" spans="1:13">
      <c r="A366" s="159"/>
      <c r="B366" s="160" t="s">
        <v>249</v>
      </c>
      <c r="C366" s="161" t="s">
        <v>8</v>
      </c>
      <c r="D366" s="116">
        <v>70</v>
      </c>
      <c r="E366" s="117"/>
      <c r="F366" s="95"/>
      <c r="G366" s="96">
        <f t="shared" si="51"/>
        <v>0</v>
      </c>
      <c r="I366" s="33">
        <f>0.222*D366*6</f>
        <v>93.240000000000009</v>
      </c>
      <c r="J366" s="33"/>
    </row>
    <row r="367" spans="1:13">
      <c r="A367" s="159"/>
      <c r="B367" s="160" t="s">
        <v>14</v>
      </c>
      <c r="C367" s="161" t="s">
        <v>9</v>
      </c>
      <c r="D367" s="116">
        <f>D364*20</f>
        <v>13.41972</v>
      </c>
      <c r="E367" s="117"/>
      <c r="F367" s="95"/>
      <c r="G367" s="96">
        <f t="shared" si="51"/>
        <v>0</v>
      </c>
      <c r="I367" s="33">
        <f>SUM(I365:I366)</f>
        <v>670.98599999999999</v>
      </c>
      <c r="J367" s="33"/>
    </row>
    <row r="368" spans="1:13">
      <c r="A368" s="159" t="s">
        <v>201</v>
      </c>
      <c r="B368" s="160" t="s">
        <v>338</v>
      </c>
      <c r="C368" s="161" t="s">
        <v>143</v>
      </c>
      <c r="D368" s="116">
        <f>I372/1000</f>
        <v>0.35545800000000005</v>
      </c>
      <c r="E368" s="117"/>
      <c r="F368" s="95"/>
      <c r="G368" s="96">
        <f t="shared" si="51"/>
        <v>0</v>
      </c>
      <c r="I368" s="33"/>
      <c r="J368" s="33"/>
    </row>
    <row r="369" spans="1:17">
      <c r="A369" s="159"/>
      <c r="B369" s="160" t="s">
        <v>341</v>
      </c>
      <c r="C369" s="161" t="s">
        <v>8</v>
      </c>
      <c r="D369" s="116">
        <v>11</v>
      </c>
      <c r="E369" s="117"/>
      <c r="F369" s="95"/>
      <c r="G369" s="96">
        <f t="shared" si="51"/>
        <v>0</v>
      </c>
      <c r="I369" s="33">
        <f>D369*2.469*6</f>
        <v>162.95400000000001</v>
      </c>
      <c r="J369" s="22">
        <v>19.399999999999999</v>
      </c>
      <c r="K369" s="22">
        <f>(J369/0.1)*2</f>
        <v>387.99999999999994</v>
      </c>
      <c r="L369" s="22">
        <f>K369/5</f>
        <v>77.599999999999994</v>
      </c>
    </row>
    <row r="370" spans="1:17">
      <c r="A370" s="159"/>
      <c r="B370" s="160" t="s">
        <v>246</v>
      </c>
      <c r="C370" s="161" t="s">
        <v>8</v>
      </c>
      <c r="D370" s="116">
        <v>13</v>
      </c>
      <c r="E370" s="117"/>
      <c r="F370" s="95"/>
      <c r="G370" s="96">
        <f t="shared" si="51"/>
        <v>0</v>
      </c>
      <c r="I370" s="33">
        <f>D370*1.58*6</f>
        <v>123.24</v>
      </c>
      <c r="J370" s="33"/>
    </row>
    <row r="371" spans="1:17">
      <c r="A371" s="159"/>
      <c r="B371" s="160" t="s">
        <v>249</v>
      </c>
      <c r="C371" s="161" t="s">
        <v>8</v>
      </c>
      <c r="D371" s="116">
        <v>52</v>
      </c>
      <c r="E371" s="117"/>
      <c r="F371" s="95"/>
      <c r="G371" s="96">
        <f t="shared" si="51"/>
        <v>0</v>
      </c>
      <c r="I371" s="33">
        <f>0.222*D371*6</f>
        <v>69.26400000000001</v>
      </c>
      <c r="J371" s="33"/>
    </row>
    <row r="372" spans="1:17">
      <c r="A372" s="159"/>
      <c r="B372" s="160" t="s">
        <v>14</v>
      </c>
      <c r="C372" s="161" t="s">
        <v>9</v>
      </c>
      <c r="D372" s="116">
        <f>D368*20</f>
        <v>7.109160000000001</v>
      </c>
      <c r="E372" s="117"/>
      <c r="F372" s="95"/>
      <c r="G372" s="96">
        <f t="shared" si="51"/>
        <v>0</v>
      </c>
      <c r="I372" s="33">
        <f>SUM(I369:I371)</f>
        <v>355.45800000000003</v>
      </c>
      <c r="J372" s="33"/>
    </row>
    <row r="373" spans="1:17">
      <c r="A373" s="159" t="s">
        <v>336</v>
      </c>
      <c r="B373" s="160" t="s">
        <v>339</v>
      </c>
      <c r="C373" s="161" t="s">
        <v>143</v>
      </c>
      <c r="D373" s="116">
        <f>I376/1000</f>
        <v>8.2061999999999996E-2</v>
      </c>
      <c r="E373" s="117"/>
      <c r="F373" s="95"/>
      <c r="G373" s="96">
        <f t="shared" si="51"/>
        <v>0</v>
      </c>
      <c r="I373" s="33"/>
      <c r="J373" s="33"/>
    </row>
    <row r="374" spans="1:17">
      <c r="A374" s="159"/>
      <c r="B374" s="160" t="s">
        <v>341</v>
      </c>
      <c r="C374" s="161" t="s">
        <v>8</v>
      </c>
      <c r="D374" s="116">
        <v>5</v>
      </c>
      <c r="E374" s="117"/>
      <c r="F374" s="95"/>
      <c r="G374" s="96">
        <f t="shared" si="51"/>
        <v>0</v>
      </c>
      <c r="I374" s="33">
        <f>D374*2.469*6</f>
        <v>74.069999999999993</v>
      </c>
      <c r="J374" s="33">
        <v>6.6</v>
      </c>
      <c r="K374" s="22">
        <f>(J374/0.15)</f>
        <v>44</v>
      </c>
      <c r="L374" s="22">
        <f>K374/4</f>
        <v>11</v>
      </c>
    </row>
    <row r="375" spans="1:17">
      <c r="A375" s="159"/>
      <c r="B375" s="160" t="s">
        <v>249</v>
      </c>
      <c r="C375" s="161" t="s">
        <v>8</v>
      </c>
      <c r="D375" s="116">
        <v>6</v>
      </c>
      <c r="E375" s="117"/>
      <c r="F375" s="95"/>
      <c r="G375" s="96">
        <f t="shared" si="51"/>
        <v>0</v>
      </c>
      <c r="I375" s="33">
        <f>0.222*D375*6</f>
        <v>7.9920000000000009</v>
      </c>
      <c r="J375" s="33"/>
    </row>
    <row r="376" spans="1:17">
      <c r="A376" s="159"/>
      <c r="B376" s="160" t="s">
        <v>14</v>
      </c>
      <c r="C376" s="161" t="s">
        <v>9</v>
      </c>
      <c r="D376" s="116">
        <f>D373*20</f>
        <v>1.6412399999999998</v>
      </c>
      <c r="E376" s="117"/>
      <c r="F376" s="95"/>
      <c r="G376" s="96">
        <f t="shared" si="51"/>
        <v>0</v>
      </c>
      <c r="I376" s="33">
        <f>SUM(I374:I375)</f>
        <v>82.061999999999998</v>
      </c>
      <c r="J376" s="33"/>
    </row>
    <row r="377" spans="1:17">
      <c r="A377" s="159" t="s">
        <v>337</v>
      </c>
      <c r="B377" s="160" t="s">
        <v>340</v>
      </c>
      <c r="C377" s="161" t="s">
        <v>143</v>
      </c>
      <c r="D377" s="116">
        <f>I381/1000</f>
        <v>0.53006400000000009</v>
      </c>
      <c r="E377" s="117"/>
      <c r="F377" s="95"/>
      <c r="G377" s="96">
        <f t="shared" si="51"/>
        <v>0</v>
      </c>
      <c r="I377" s="33"/>
      <c r="J377" s="33"/>
    </row>
    <row r="378" spans="1:17">
      <c r="A378" s="159"/>
      <c r="B378" s="160" t="s">
        <v>341</v>
      </c>
      <c r="C378" s="161" t="s">
        <v>8</v>
      </c>
      <c r="D378" s="116">
        <v>22</v>
      </c>
      <c r="E378" s="117"/>
      <c r="F378" s="95"/>
      <c r="G378" s="96">
        <f t="shared" si="51"/>
        <v>0</v>
      </c>
      <c r="I378" s="33">
        <f t="shared" ref="I378" si="52">D378*2.469*6</f>
        <v>325.90800000000002</v>
      </c>
      <c r="J378" s="33">
        <v>12.9</v>
      </c>
      <c r="K378" s="22">
        <f>(J378/0.1)</f>
        <v>129</v>
      </c>
      <c r="L378" s="22">
        <f>K378/4</f>
        <v>32.25</v>
      </c>
    </row>
    <row r="379" spans="1:17">
      <c r="A379" s="159"/>
      <c r="B379" s="160" t="s">
        <v>342</v>
      </c>
      <c r="C379" s="161" t="s">
        <v>8</v>
      </c>
      <c r="D379" s="116">
        <v>6</v>
      </c>
      <c r="E379" s="117"/>
      <c r="F379" s="95"/>
      <c r="G379" s="96">
        <f t="shared" si="51"/>
        <v>0</v>
      </c>
      <c r="I379" s="33">
        <f>D379*3.858*6</f>
        <v>138.88800000000001</v>
      </c>
      <c r="J379" s="33"/>
    </row>
    <row r="380" spans="1:17">
      <c r="A380" s="159"/>
      <c r="B380" s="160" t="s">
        <v>249</v>
      </c>
      <c r="C380" s="161" t="s">
        <v>8</v>
      </c>
      <c r="D380" s="116">
        <v>49</v>
      </c>
      <c r="E380" s="117"/>
      <c r="F380" s="95"/>
      <c r="G380" s="96">
        <f t="shared" si="51"/>
        <v>0</v>
      </c>
      <c r="I380" s="33">
        <f>0.222*D380*6</f>
        <v>65.268000000000001</v>
      </c>
      <c r="J380" s="33"/>
    </row>
    <row r="381" spans="1:17">
      <c r="A381" s="159"/>
      <c r="B381" s="160" t="s">
        <v>14</v>
      </c>
      <c r="C381" s="161" t="s">
        <v>9</v>
      </c>
      <c r="D381" s="116">
        <f>D377*20</f>
        <v>10.601280000000003</v>
      </c>
      <c r="E381" s="117"/>
      <c r="F381" s="95"/>
      <c r="G381" s="96">
        <f t="shared" si="51"/>
        <v>0</v>
      </c>
      <c r="I381" s="33">
        <f>SUM(I378:I380)</f>
        <v>530.06400000000008</v>
      </c>
      <c r="J381" s="33"/>
    </row>
    <row r="382" spans="1:17">
      <c r="A382" s="180" t="s">
        <v>177</v>
      </c>
      <c r="B382" s="181" t="s">
        <v>318</v>
      </c>
      <c r="C382" s="182" t="s">
        <v>143</v>
      </c>
      <c r="D382" s="183">
        <f>I384/1000</f>
        <v>3.7649340000000002</v>
      </c>
      <c r="E382" s="184"/>
      <c r="F382" s="95"/>
      <c r="G382" s="96">
        <f t="shared" si="51"/>
        <v>0</v>
      </c>
      <c r="H382" s="41"/>
      <c r="I382" s="36"/>
      <c r="K382" s="22">
        <f>248.87*14</f>
        <v>3484.1800000000003</v>
      </c>
      <c r="L382" s="22">
        <f>K382*75%</f>
        <v>2613.1350000000002</v>
      </c>
      <c r="M382" s="22">
        <f>SUM(K382:L382)</f>
        <v>6097.3150000000005</v>
      </c>
      <c r="N382" s="22">
        <f>M382/6</f>
        <v>1016.2191666666668</v>
      </c>
      <c r="P382" s="22">
        <f>SUM(N382:O382)</f>
        <v>1016.2191666666668</v>
      </c>
      <c r="Q382" s="22">
        <f>P382/6</f>
        <v>169.36986111111113</v>
      </c>
    </row>
    <row r="383" spans="1:17">
      <c r="A383" s="185" t="s">
        <v>188</v>
      </c>
      <c r="B383" s="160" t="s">
        <v>248</v>
      </c>
      <c r="C383" s="186" t="s">
        <v>8</v>
      </c>
      <c r="D383" s="187">
        <v>1017</v>
      </c>
      <c r="E383" s="188"/>
      <c r="F383" s="189"/>
      <c r="G383" s="96">
        <f t="shared" si="51"/>
        <v>0</v>
      </c>
      <c r="H383" s="41"/>
      <c r="I383" s="33">
        <f>0.617*D383*6</f>
        <v>3764.9340000000002</v>
      </c>
    </row>
    <row r="384" spans="1:17">
      <c r="A384" s="185"/>
      <c r="B384" s="190" t="s">
        <v>14</v>
      </c>
      <c r="C384" s="186" t="s">
        <v>9</v>
      </c>
      <c r="D384" s="187">
        <f>D382*20</f>
        <v>75.298680000000004</v>
      </c>
      <c r="E384" s="188"/>
      <c r="F384" s="189"/>
      <c r="G384" s="96">
        <f t="shared" si="51"/>
        <v>0</v>
      </c>
      <c r="H384" s="41"/>
      <c r="I384" s="33">
        <f>SUM(I382:I383)</f>
        <v>3764.9340000000002</v>
      </c>
    </row>
    <row r="385" spans="1:14">
      <c r="A385" s="180" t="s">
        <v>189</v>
      </c>
      <c r="B385" s="181" t="s">
        <v>185</v>
      </c>
      <c r="C385" s="182"/>
      <c r="D385" s="183"/>
      <c r="E385" s="184"/>
      <c r="F385" s="95"/>
      <c r="G385" s="96"/>
    </row>
    <row r="386" spans="1:14">
      <c r="A386" s="159" t="s">
        <v>199</v>
      </c>
      <c r="B386" s="160" t="s">
        <v>470</v>
      </c>
      <c r="C386" s="161" t="s">
        <v>143</v>
      </c>
      <c r="D386" s="116">
        <f>I389/1000</f>
        <v>0.91000800000000004</v>
      </c>
      <c r="E386" s="117"/>
      <c r="F386" s="95"/>
      <c r="G386" s="96">
        <f t="shared" ref="G386:G397" si="53">(D386*E386)+(D386*F386)</f>
        <v>0</v>
      </c>
    </row>
    <row r="387" spans="1:14">
      <c r="A387" s="162"/>
      <c r="B387" s="160" t="s">
        <v>246</v>
      </c>
      <c r="C387" s="161" t="s">
        <v>8</v>
      </c>
      <c r="D387" s="116">
        <v>87</v>
      </c>
      <c r="E387" s="117"/>
      <c r="F387" s="95"/>
      <c r="G387" s="96">
        <f t="shared" si="53"/>
        <v>0</v>
      </c>
      <c r="I387" s="33">
        <f>D387*1.58*6</f>
        <v>824.76</v>
      </c>
      <c r="J387" s="22">
        <f>1.5*2*29</f>
        <v>87</v>
      </c>
      <c r="L387" s="22">
        <f>3.5/0.15</f>
        <v>23.333333333333336</v>
      </c>
      <c r="M387" s="22">
        <f>24*29</f>
        <v>696</v>
      </c>
      <c r="N387" s="22">
        <f>M387/11</f>
        <v>63.272727272727273</v>
      </c>
    </row>
    <row r="388" spans="1:14">
      <c r="A388" s="159"/>
      <c r="B388" s="160" t="s">
        <v>249</v>
      </c>
      <c r="C388" s="161" t="s">
        <v>8</v>
      </c>
      <c r="D388" s="116">
        <v>64</v>
      </c>
      <c r="E388" s="117"/>
      <c r="F388" s="95"/>
      <c r="G388" s="96">
        <f t="shared" si="53"/>
        <v>0</v>
      </c>
      <c r="I388" s="33">
        <f>0.222*D388*6</f>
        <v>85.248000000000005</v>
      </c>
    </row>
    <row r="389" spans="1:14">
      <c r="A389" s="159"/>
      <c r="B389" s="160" t="s">
        <v>14</v>
      </c>
      <c r="C389" s="161" t="s">
        <v>9</v>
      </c>
      <c r="D389" s="116">
        <f>D386*20</f>
        <v>18.20016</v>
      </c>
      <c r="E389" s="117"/>
      <c r="F389" s="95"/>
      <c r="G389" s="96">
        <f t="shared" si="53"/>
        <v>0</v>
      </c>
      <c r="I389" s="33">
        <f>SUM(I387:I388)</f>
        <v>910.00800000000004</v>
      </c>
      <c r="J389" s="33"/>
    </row>
    <row r="390" spans="1:14">
      <c r="A390" s="159" t="s">
        <v>200</v>
      </c>
      <c r="B390" s="160" t="s">
        <v>471</v>
      </c>
      <c r="C390" s="161" t="s">
        <v>143</v>
      </c>
      <c r="D390" s="116">
        <f>I393/1000</f>
        <v>0.26481600000000005</v>
      </c>
      <c r="E390" s="117"/>
      <c r="F390" s="95"/>
      <c r="G390" s="96">
        <f t="shared" si="53"/>
        <v>0</v>
      </c>
      <c r="I390" s="33"/>
      <c r="J390" s="33"/>
    </row>
    <row r="391" spans="1:14">
      <c r="A391" s="159"/>
      <c r="B391" s="160" t="s">
        <v>246</v>
      </c>
      <c r="C391" s="161" t="s">
        <v>8</v>
      </c>
      <c r="D391" s="116">
        <v>24</v>
      </c>
      <c r="E391" s="117"/>
      <c r="F391" s="95"/>
      <c r="G391" s="96">
        <f t="shared" si="53"/>
        <v>0</v>
      </c>
      <c r="I391" s="33">
        <f>D391*1.58*6</f>
        <v>227.52</v>
      </c>
      <c r="J391" s="22">
        <f>1.5*4*4</f>
        <v>24</v>
      </c>
      <c r="K391" s="22">
        <f>24*3</f>
        <v>72</v>
      </c>
      <c r="L391" s="22">
        <f>K391/6</f>
        <v>12</v>
      </c>
      <c r="M391" s="22">
        <f>K391/8</f>
        <v>9</v>
      </c>
    </row>
    <row r="392" spans="1:14">
      <c r="A392" s="159"/>
      <c r="B392" s="160" t="s">
        <v>249</v>
      </c>
      <c r="C392" s="161" t="s">
        <v>8</v>
      </c>
      <c r="D392" s="116">
        <v>28</v>
      </c>
      <c r="E392" s="117"/>
      <c r="F392" s="95"/>
      <c r="G392" s="96">
        <f t="shared" si="53"/>
        <v>0</v>
      </c>
      <c r="I392" s="33">
        <f>0.222*D392*6</f>
        <v>37.295999999999999</v>
      </c>
      <c r="J392" s="51">
        <f>D392/3</f>
        <v>9.3333333333333339</v>
      </c>
      <c r="K392" s="51">
        <f>J392*4</f>
        <v>37.333333333333336</v>
      </c>
    </row>
    <row r="393" spans="1:14">
      <c r="A393" s="159"/>
      <c r="B393" s="160" t="s">
        <v>14</v>
      </c>
      <c r="C393" s="161" t="s">
        <v>9</v>
      </c>
      <c r="D393" s="116">
        <f>D390*20</f>
        <v>5.2963200000000015</v>
      </c>
      <c r="E393" s="117"/>
      <c r="F393" s="95"/>
      <c r="G393" s="96">
        <f t="shared" si="53"/>
        <v>0</v>
      </c>
      <c r="I393" s="33">
        <f>SUM(I391:I392)</f>
        <v>264.81600000000003</v>
      </c>
      <c r="J393" s="33"/>
    </row>
    <row r="394" spans="1:14">
      <c r="A394" s="159" t="s">
        <v>202</v>
      </c>
      <c r="B394" s="160" t="s">
        <v>472</v>
      </c>
      <c r="C394" s="161" t="s">
        <v>143</v>
      </c>
      <c r="D394" s="116">
        <f>I397/1000</f>
        <v>7.7292E-2</v>
      </c>
      <c r="E394" s="117"/>
      <c r="F394" s="95"/>
      <c r="G394" s="96">
        <f t="shared" si="53"/>
        <v>0</v>
      </c>
      <c r="I394" s="33"/>
      <c r="J394" s="33"/>
    </row>
    <row r="395" spans="1:14">
      <c r="A395" s="159"/>
      <c r="B395" s="160" t="s">
        <v>248</v>
      </c>
      <c r="C395" s="161" t="s">
        <v>8</v>
      </c>
      <c r="D395" s="116">
        <v>18</v>
      </c>
      <c r="E395" s="117"/>
      <c r="F395" s="95"/>
      <c r="G395" s="96">
        <f t="shared" si="53"/>
        <v>0</v>
      </c>
      <c r="I395" s="33">
        <f>D395*0.617*6</f>
        <v>66.635999999999996</v>
      </c>
      <c r="J395" s="33">
        <f>3*6</f>
        <v>18</v>
      </c>
    </row>
    <row r="396" spans="1:14">
      <c r="A396" s="159"/>
      <c r="B396" s="160" t="s">
        <v>249</v>
      </c>
      <c r="C396" s="161" t="s">
        <v>8</v>
      </c>
      <c r="D396" s="116">
        <v>8</v>
      </c>
      <c r="E396" s="117"/>
      <c r="F396" s="95"/>
      <c r="G396" s="96">
        <f t="shared" si="53"/>
        <v>0</v>
      </c>
      <c r="I396" s="33">
        <f>0.222*D396*6</f>
        <v>10.656000000000001</v>
      </c>
      <c r="J396" s="33"/>
    </row>
    <row r="397" spans="1:14">
      <c r="A397" s="159"/>
      <c r="B397" s="160" t="s">
        <v>14</v>
      </c>
      <c r="C397" s="161" t="s">
        <v>9</v>
      </c>
      <c r="D397" s="116">
        <f>D394*20</f>
        <v>1.5458400000000001</v>
      </c>
      <c r="E397" s="117"/>
      <c r="F397" s="95"/>
      <c r="G397" s="96">
        <f t="shared" si="53"/>
        <v>0</v>
      </c>
      <c r="I397" s="33">
        <f>SUM(I395:I396)</f>
        <v>77.292000000000002</v>
      </c>
      <c r="J397" s="33">
        <f>1.25*6</f>
        <v>7.5</v>
      </c>
    </row>
    <row r="398" spans="1:14">
      <c r="A398" s="152" t="s">
        <v>343</v>
      </c>
      <c r="B398" s="153" t="s">
        <v>308</v>
      </c>
      <c r="C398" s="174"/>
      <c r="D398" s="175"/>
      <c r="E398" s="176"/>
      <c r="F398" s="177"/>
      <c r="G398" s="178">
        <f t="shared" ref="G398" si="54">(D398*E398)+(D398*F398)</f>
        <v>0</v>
      </c>
    </row>
    <row r="399" spans="1:14">
      <c r="A399" s="180" t="s">
        <v>176</v>
      </c>
      <c r="B399" s="181" t="s">
        <v>308</v>
      </c>
      <c r="C399" s="182"/>
      <c r="D399" s="183"/>
      <c r="E399" s="184"/>
      <c r="F399" s="95"/>
      <c r="G399" s="96"/>
    </row>
    <row r="400" spans="1:14">
      <c r="A400" s="159" t="s">
        <v>199</v>
      </c>
      <c r="B400" s="160" t="s">
        <v>344</v>
      </c>
      <c r="C400" s="161" t="s">
        <v>143</v>
      </c>
      <c r="D400" s="116">
        <f>I403/1000</f>
        <v>0.31903200000000004</v>
      </c>
      <c r="E400" s="117"/>
      <c r="F400" s="95"/>
      <c r="G400" s="96">
        <f t="shared" ref="G400:G408" si="55">(D400*E400)+(D400*F400)</f>
        <v>0</v>
      </c>
    </row>
    <row r="401" spans="1:13">
      <c r="A401" s="162"/>
      <c r="B401" s="160" t="s">
        <v>246</v>
      </c>
      <c r="C401" s="161" t="s">
        <v>8</v>
      </c>
      <c r="D401" s="116">
        <v>30</v>
      </c>
      <c r="E401" s="117"/>
      <c r="F401" s="95"/>
      <c r="G401" s="96">
        <f t="shared" si="55"/>
        <v>0</v>
      </c>
      <c r="I401" s="33">
        <f>D401*1.58*6</f>
        <v>284.40000000000003</v>
      </c>
      <c r="J401" s="22">
        <v>13</v>
      </c>
      <c r="L401" s="22">
        <f>J401/0.15</f>
        <v>86.666666666666671</v>
      </c>
      <c r="M401" s="22">
        <f>L401/5</f>
        <v>17.333333333333336</v>
      </c>
    </row>
    <row r="402" spans="1:13">
      <c r="A402" s="159"/>
      <c r="B402" s="160" t="s">
        <v>249</v>
      </c>
      <c r="C402" s="161" t="s">
        <v>8</v>
      </c>
      <c r="D402" s="116">
        <v>26</v>
      </c>
      <c r="E402" s="117"/>
      <c r="F402" s="95"/>
      <c r="G402" s="96">
        <f t="shared" si="55"/>
        <v>0</v>
      </c>
      <c r="I402" s="33">
        <f>0.222*D402*6</f>
        <v>34.632000000000005</v>
      </c>
    </row>
    <row r="403" spans="1:13">
      <c r="A403" s="159"/>
      <c r="B403" s="160" t="s">
        <v>14</v>
      </c>
      <c r="C403" s="161" t="s">
        <v>9</v>
      </c>
      <c r="D403" s="116">
        <f>D400*20</f>
        <v>6.3806400000000005</v>
      </c>
      <c r="E403" s="117"/>
      <c r="F403" s="95"/>
      <c r="G403" s="96">
        <f t="shared" si="55"/>
        <v>0</v>
      </c>
      <c r="I403" s="33">
        <f>SUM(I401:I402)</f>
        <v>319.03200000000004</v>
      </c>
      <c r="J403" s="33"/>
    </row>
    <row r="404" spans="1:13">
      <c r="A404" s="159" t="s">
        <v>200</v>
      </c>
      <c r="B404" s="160" t="s">
        <v>328</v>
      </c>
      <c r="C404" s="161" t="s">
        <v>143</v>
      </c>
      <c r="D404" s="116">
        <f>I407/1000</f>
        <v>6.8867999999999999E-2</v>
      </c>
      <c r="E404" s="117"/>
      <c r="F404" s="95"/>
      <c r="G404" s="96">
        <f t="shared" si="55"/>
        <v>0</v>
      </c>
      <c r="I404" s="33"/>
      <c r="J404" s="33"/>
    </row>
    <row r="405" spans="1:13">
      <c r="A405" s="159"/>
      <c r="B405" s="160" t="s">
        <v>246</v>
      </c>
      <c r="C405" s="161" t="s">
        <v>8</v>
      </c>
      <c r="D405" s="116">
        <v>6</v>
      </c>
      <c r="E405" s="117"/>
      <c r="F405" s="95"/>
      <c r="G405" s="96">
        <f t="shared" si="55"/>
        <v>0</v>
      </c>
      <c r="I405" s="33">
        <f>D405*1.58*6</f>
        <v>56.88</v>
      </c>
      <c r="J405" s="22">
        <f>3.2*2</f>
        <v>6.4</v>
      </c>
      <c r="K405" s="22">
        <f>J405/0.15</f>
        <v>42.666666666666671</v>
      </c>
      <c r="L405" s="22">
        <f>K405/5</f>
        <v>8.533333333333335</v>
      </c>
    </row>
    <row r="406" spans="1:13">
      <c r="A406" s="159"/>
      <c r="B406" s="160" t="s">
        <v>249</v>
      </c>
      <c r="C406" s="161" t="s">
        <v>8</v>
      </c>
      <c r="D406" s="116">
        <v>9</v>
      </c>
      <c r="E406" s="117"/>
      <c r="F406" s="95"/>
      <c r="G406" s="96">
        <f t="shared" si="55"/>
        <v>0</v>
      </c>
      <c r="I406" s="33">
        <f>0.222*D406*6</f>
        <v>11.988</v>
      </c>
    </row>
    <row r="407" spans="1:13">
      <c r="A407" s="159"/>
      <c r="B407" s="160" t="s">
        <v>14</v>
      </c>
      <c r="C407" s="161" t="s">
        <v>9</v>
      </c>
      <c r="D407" s="116">
        <f>D404*20</f>
        <v>1.3773599999999999</v>
      </c>
      <c r="E407" s="117"/>
      <c r="F407" s="95"/>
      <c r="G407" s="96">
        <f t="shared" si="55"/>
        <v>0</v>
      </c>
      <c r="I407" s="33">
        <f>SUM(I405:I406)</f>
        <v>68.867999999999995</v>
      </c>
      <c r="J407" s="33"/>
    </row>
    <row r="408" spans="1:13">
      <c r="A408" s="159" t="s">
        <v>202</v>
      </c>
      <c r="B408" s="160" t="s">
        <v>327</v>
      </c>
      <c r="C408" s="161" t="s">
        <v>143</v>
      </c>
      <c r="D408" s="116">
        <f>I411/1000</f>
        <v>1.2342960000000003</v>
      </c>
      <c r="E408" s="117"/>
      <c r="F408" s="95"/>
      <c r="G408" s="96">
        <f t="shared" si="55"/>
        <v>0</v>
      </c>
      <c r="I408" s="33"/>
      <c r="J408" s="33"/>
    </row>
    <row r="409" spans="1:13">
      <c r="A409" s="159"/>
      <c r="B409" s="160" t="s">
        <v>246</v>
      </c>
      <c r="C409" s="161" t="s">
        <v>8</v>
      </c>
      <c r="D409" s="116">
        <v>108</v>
      </c>
      <c r="E409" s="117"/>
      <c r="F409" s="95"/>
      <c r="G409" s="96">
        <f t="shared" ref="G409:G411" si="56">(D409*E409)+(D409*F409)</f>
        <v>0</v>
      </c>
      <c r="I409" s="33">
        <f>D409*1.58*6</f>
        <v>1023.8400000000001</v>
      </c>
      <c r="J409" s="22">
        <f>19.4*3+10.7*5</f>
        <v>111.69999999999999</v>
      </c>
      <c r="K409" s="22">
        <f>J409/0.15</f>
        <v>744.66666666666663</v>
      </c>
      <c r="L409" s="22">
        <f>K409/6</f>
        <v>124.1111111111111</v>
      </c>
    </row>
    <row r="410" spans="1:13">
      <c r="A410" s="159"/>
      <c r="B410" s="160" t="s">
        <v>249</v>
      </c>
      <c r="C410" s="161" t="s">
        <v>8</v>
      </c>
      <c r="D410" s="116">
        <v>158</v>
      </c>
      <c r="E410" s="117"/>
      <c r="F410" s="95"/>
      <c r="G410" s="96">
        <f t="shared" si="56"/>
        <v>0</v>
      </c>
      <c r="I410" s="33">
        <f>0.222*D410*6</f>
        <v>210.45600000000002</v>
      </c>
    </row>
    <row r="411" spans="1:13" ht="12.75" thickBot="1">
      <c r="A411" s="358"/>
      <c r="B411" s="359" t="s">
        <v>14</v>
      </c>
      <c r="C411" s="339" t="s">
        <v>9</v>
      </c>
      <c r="D411" s="360">
        <f>D408*20</f>
        <v>24.685920000000007</v>
      </c>
      <c r="E411" s="341"/>
      <c r="F411" s="340"/>
      <c r="G411" s="361">
        <f t="shared" si="56"/>
        <v>0</v>
      </c>
      <c r="I411" s="33">
        <f>SUM(I409:I410)</f>
        <v>1234.2960000000003</v>
      </c>
      <c r="J411" s="33"/>
    </row>
    <row r="412" spans="1:13">
      <c r="A412" s="159"/>
      <c r="B412" s="160"/>
      <c r="C412" s="161"/>
      <c r="D412" s="116"/>
      <c r="E412" s="117"/>
      <c r="F412" s="95"/>
      <c r="G412" s="96"/>
      <c r="I412" s="33"/>
      <c r="J412" s="33"/>
    </row>
    <row r="413" spans="1:13">
      <c r="A413" s="152" t="s">
        <v>164</v>
      </c>
      <c r="B413" s="153" t="s">
        <v>217</v>
      </c>
      <c r="C413" s="174"/>
      <c r="D413" s="175"/>
      <c r="E413" s="176"/>
      <c r="F413" s="177"/>
      <c r="G413" s="178">
        <f>(D413*E413)+(D413*F413)</f>
        <v>0</v>
      </c>
    </row>
    <row r="414" spans="1:13">
      <c r="A414" s="191" t="s">
        <v>199</v>
      </c>
      <c r="B414" s="163" t="s">
        <v>345</v>
      </c>
      <c r="C414" s="161"/>
      <c r="D414" s="116"/>
      <c r="E414" s="117"/>
      <c r="F414" s="95"/>
      <c r="G414" s="96">
        <f t="shared" ref="G414:G419" si="57">(D414*E414)+(D414*F414)</f>
        <v>0</v>
      </c>
    </row>
    <row r="415" spans="1:13" ht="49.5" customHeight="1">
      <c r="A415" s="192"/>
      <c r="B415" s="160" t="s">
        <v>480</v>
      </c>
      <c r="C415" s="161" t="s">
        <v>151</v>
      </c>
      <c r="D415" s="116">
        <v>11.6</v>
      </c>
      <c r="E415" s="117"/>
      <c r="F415" s="95"/>
      <c r="G415" s="96">
        <f t="shared" si="57"/>
        <v>0</v>
      </c>
      <c r="I415" s="22">
        <f>19.325*0.2*0.2*2*3</f>
        <v>4.6380000000000008</v>
      </c>
      <c r="J415" s="22">
        <f>0.45*0.115*19.325*2*3</f>
        <v>6.0004125000000004</v>
      </c>
      <c r="K415" s="22">
        <f>14.2*0.15*0.15*3</f>
        <v>0.95849999999999991</v>
      </c>
      <c r="M415" s="22">
        <f>SUM(I415:L415)</f>
        <v>11.596912500000002</v>
      </c>
    </row>
    <row r="416" spans="1:13" ht="12" customHeight="1">
      <c r="A416" s="191" t="s">
        <v>200</v>
      </c>
      <c r="B416" s="163" t="s">
        <v>346</v>
      </c>
      <c r="C416" s="161"/>
      <c r="D416" s="116"/>
      <c r="E416" s="117"/>
      <c r="F416" s="95"/>
      <c r="G416" s="96">
        <f t="shared" si="57"/>
        <v>0</v>
      </c>
    </row>
    <row r="417" spans="1:13" ht="61.5" customHeight="1">
      <c r="A417" s="192"/>
      <c r="B417" s="160" t="s">
        <v>347</v>
      </c>
      <c r="C417" s="161" t="s">
        <v>151</v>
      </c>
      <c r="D417" s="116">
        <v>4.6920000000000002</v>
      </c>
      <c r="E417" s="117"/>
      <c r="F417" s="95"/>
      <c r="G417" s="96">
        <f t="shared" si="57"/>
        <v>0</v>
      </c>
      <c r="I417" s="22">
        <f>24+3.6</f>
        <v>27.6</v>
      </c>
      <c r="J417" s="22">
        <f>I417*0.85*0.1</f>
        <v>2.3460000000000001</v>
      </c>
      <c r="K417" s="22">
        <f>J417*2</f>
        <v>4.6920000000000002</v>
      </c>
    </row>
    <row r="418" spans="1:13" ht="13.5" customHeight="1">
      <c r="A418" s="191" t="s">
        <v>202</v>
      </c>
      <c r="B418" s="163" t="s">
        <v>391</v>
      </c>
      <c r="C418" s="161"/>
      <c r="D418" s="116"/>
      <c r="E418" s="117"/>
      <c r="F418" s="95"/>
      <c r="G418" s="96">
        <f t="shared" si="57"/>
        <v>0</v>
      </c>
    </row>
    <row r="419" spans="1:13" ht="76.5" customHeight="1">
      <c r="A419" s="192"/>
      <c r="B419" s="160" t="s">
        <v>481</v>
      </c>
      <c r="C419" s="161" t="s">
        <v>151</v>
      </c>
      <c r="D419" s="116">
        <v>1.1399999999999999</v>
      </c>
      <c r="E419" s="117"/>
      <c r="F419" s="95"/>
      <c r="G419" s="96">
        <f t="shared" si="57"/>
        <v>0</v>
      </c>
      <c r="I419" s="22">
        <f>2.975*5*0.2*0.1*3</f>
        <v>0.89250000000000007</v>
      </c>
      <c r="J419" s="22">
        <f>4.08*0.2*0.1*3</f>
        <v>0.24480000000000002</v>
      </c>
      <c r="K419" s="22">
        <f>SUM(I419:J419)</f>
        <v>1.1373000000000002</v>
      </c>
    </row>
    <row r="420" spans="1:13" ht="12" customHeight="1">
      <c r="A420" s="191" t="s">
        <v>201</v>
      </c>
      <c r="B420" s="163" t="s">
        <v>436</v>
      </c>
      <c r="C420" s="161"/>
      <c r="D420" s="116"/>
      <c r="E420" s="117"/>
      <c r="F420" s="95"/>
      <c r="G420" s="96">
        <f>(D420*E420)+(D420*F420)</f>
        <v>0</v>
      </c>
    </row>
    <row r="421" spans="1:13" ht="63.75" customHeight="1">
      <c r="A421" s="192"/>
      <c r="B421" s="193" t="s">
        <v>437</v>
      </c>
      <c r="C421" s="161" t="s">
        <v>151</v>
      </c>
      <c r="D421" s="194">
        <v>1.6</v>
      </c>
      <c r="E421" s="82"/>
      <c r="F421" s="95"/>
      <c r="G421" s="96">
        <f t="shared" ref="G421" si="58">(D421*E421)+(D421*F421)</f>
        <v>0</v>
      </c>
    </row>
    <row r="422" spans="1:13">
      <c r="A422" s="191" t="s">
        <v>336</v>
      </c>
      <c r="B422" s="163" t="s">
        <v>477</v>
      </c>
      <c r="C422" s="161"/>
      <c r="D422" s="116"/>
      <c r="E422" s="117"/>
      <c r="F422" s="95"/>
      <c r="G422" s="96">
        <f>(D422*E422)+(D422*F422)</f>
        <v>0</v>
      </c>
    </row>
    <row r="423" spans="1:13" ht="72">
      <c r="A423" s="192"/>
      <c r="B423" s="193" t="s">
        <v>478</v>
      </c>
      <c r="C423" s="161" t="s">
        <v>151</v>
      </c>
      <c r="D423" s="194">
        <v>0.56999999999999995</v>
      </c>
      <c r="E423" s="82"/>
      <c r="F423" s="95"/>
      <c r="G423" s="96">
        <f t="shared" ref="G423:G427" si="59">(D423*E423)+(D423*F423)</f>
        <v>0</v>
      </c>
      <c r="I423" s="22">
        <f>1.7*0.95*0.075*3</f>
        <v>0.363375</v>
      </c>
      <c r="J423" s="22">
        <f>0.2*0.2*1.7*3</f>
        <v>0.20400000000000001</v>
      </c>
      <c r="K423" s="22">
        <f>SUM(I423:J423)</f>
        <v>0.56737499999999996</v>
      </c>
    </row>
    <row r="424" spans="1:13" ht="15.75" customHeight="1">
      <c r="A424" s="162" t="s">
        <v>165</v>
      </c>
      <c r="B424" s="163" t="s">
        <v>283</v>
      </c>
      <c r="C424" s="161"/>
      <c r="D424" s="116"/>
      <c r="E424" s="117"/>
      <c r="F424" s="95"/>
      <c r="G424" s="96">
        <f t="shared" si="59"/>
        <v>0</v>
      </c>
    </row>
    <row r="425" spans="1:13" ht="38.25" customHeight="1">
      <c r="A425" s="192" t="s">
        <v>65</v>
      </c>
      <c r="B425" s="160" t="s">
        <v>211</v>
      </c>
      <c r="C425" s="161" t="s">
        <v>152</v>
      </c>
      <c r="D425" s="116">
        <f>D95+D98+D99+D100+D453+D72</f>
        <v>524.59</v>
      </c>
      <c r="E425" s="117"/>
      <c r="F425" s="95"/>
      <c r="G425" s="96">
        <f t="shared" si="59"/>
        <v>0</v>
      </c>
      <c r="J425" s="33"/>
    </row>
    <row r="426" spans="1:13" ht="36">
      <c r="A426" s="192" t="s">
        <v>66</v>
      </c>
      <c r="B426" s="160" t="s">
        <v>179</v>
      </c>
      <c r="C426" s="161" t="s">
        <v>15</v>
      </c>
      <c r="D426" s="116">
        <v>1</v>
      </c>
      <c r="E426" s="117"/>
      <c r="F426" s="95"/>
      <c r="G426" s="96">
        <f t="shared" si="59"/>
        <v>0</v>
      </c>
    </row>
    <row r="427" spans="1:13" ht="36">
      <c r="A427" s="192" t="s">
        <v>70</v>
      </c>
      <c r="B427" s="160" t="s">
        <v>479</v>
      </c>
      <c r="C427" s="161" t="s">
        <v>15</v>
      </c>
      <c r="D427" s="116">
        <v>1</v>
      </c>
      <c r="E427" s="117"/>
      <c r="F427" s="95"/>
      <c r="G427" s="96">
        <f t="shared" si="59"/>
        <v>0</v>
      </c>
      <c r="I427" s="33"/>
      <c r="J427" s="51"/>
      <c r="K427" s="51"/>
      <c r="L427" s="33"/>
      <c r="M427" s="51"/>
    </row>
    <row r="428" spans="1:13">
      <c r="A428" s="159"/>
      <c r="B428" s="195"/>
      <c r="C428" s="164"/>
      <c r="D428" s="165"/>
      <c r="E428" s="117"/>
      <c r="F428" s="95"/>
      <c r="G428" s="96"/>
      <c r="I428" s="51"/>
      <c r="J428" s="51"/>
      <c r="K428" s="51"/>
      <c r="L428" s="51"/>
      <c r="M428" s="51"/>
    </row>
    <row r="429" spans="1:13">
      <c r="A429" s="159"/>
      <c r="B429" s="195"/>
      <c r="C429" s="164"/>
      <c r="D429" s="165"/>
      <c r="E429" s="117"/>
      <c r="F429" s="95"/>
      <c r="G429" s="96"/>
      <c r="I429" s="51"/>
      <c r="J429" s="51"/>
      <c r="K429" s="51"/>
      <c r="L429" s="51"/>
      <c r="M429" s="51"/>
    </row>
    <row r="430" spans="1:13">
      <c r="A430" s="159"/>
      <c r="B430" s="195"/>
      <c r="C430" s="164"/>
      <c r="D430" s="165"/>
      <c r="E430" s="117"/>
      <c r="F430" s="95"/>
      <c r="G430" s="96"/>
      <c r="I430" s="51"/>
      <c r="J430" s="51"/>
      <c r="K430" s="51"/>
      <c r="L430" s="51"/>
      <c r="M430" s="51"/>
    </row>
    <row r="431" spans="1:13">
      <c r="A431" s="159"/>
      <c r="B431" s="195"/>
      <c r="C431" s="164"/>
      <c r="D431" s="165"/>
      <c r="E431" s="117"/>
      <c r="F431" s="95"/>
      <c r="G431" s="96"/>
      <c r="I431" s="51"/>
      <c r="J431" s="51"/>
      <c r="K431" s="51"/>
      <c r="L431" s="51"/>
      <c r="M431" s="51"/>
    </row>
    <row r="432" spans="1:13">
      <c r="A432" s="159"/>
      <c r="B432" s="195"/>
      <c r="C432" s="164"/>
      <c r="D432" s="165"/>
      <c r="E432" s="117"/>
      <c r="F432" s="95"/>
      <c r="G432" s="96"/>
      <c r="I432" s="51"/>
      <c r="J432" s="51"/>
      <c r="K432" s="51"/>
      <c r="L432" s="51"/>
      <c r="M432" s="51"/>
    </row>
    <row r="433" spans="1:13">
      <c r="A433" s="159"/>
      <c r="B433" s="195"/>
      <c r="C433" s="164"/>
      <c r="D433" s="165"/>
      <c r="E433" s="117"/>
      <c r="F433" s="95"/>
      <c r="G433" s="96"/>
      <c r="I433" s="51"/>
      <c r="J433" s="51"/>
      <c r="K433" s="51"/>
      <c r="L433" s="51"/>
      <c r="M433" s="51"/>
    </row>
    <row r="434" spans="1:13">
      <c r="A434" s="159"/>
      <c r="B434" s="195"/>
      <c r="C434" s="164"/>
      <c r="D434" s="165"/>
      <c r="E434" s="117"/>
      <c r="F434" s="95"/>
      <c r="G434" s="96"/>
      <c r="I434" s="51"/>
      <c r="J434" s="51"/>
      <c r="K434" s="51"/>
      <c r="L434" s="51"/>
      <c r="M434" s="51"/>
    </row>
    <row r="435" spans="1:13">
      <c r="A435" s="159"/>
      <c r="B435" s="195"/>
      <c r="C435" s="164"/>
      <c r="D435" s="165"/>
      <c r="E435" s="117"/>
      <c r="F435" s="95"/>
      <c r="G435" s="96"/>
      <c r="I435" s="51"/>
      <c r="J435" s="51"/>
      <c r="K435" s="51"/>
      <c r="L435" s="51"/>
      <c r="M435" s="51"/>
    </row>
    <row r="436" spans="1:13">
      <c r="A436" s="159"/>
      <c r="B436" s="195"/>
      <c r="C436" s="164"/>
      <c r="D436" s="165"/>
      <c r="E436" s="117"/>
      <c r="F436" s="95"/>
      <c r="G436" s="96"/>
      <c r="I436" s="51"/>
      <c r="J436" s="51"/>
      <c r="K436" s="51"/>
      <c r="L436" s="51"/>
      <c r="M436" s="51"/>
    </row>
    <row r="437" spans="1:13">
      <c r="A437" s="159"/>
      <c r="B437" s="195"/>
      <c r="C437" s="164"/>
      <c r="D437" s="165"/>
      <c r="E437" s="117"/>
      <c r="F437" s="95"/>
      <c r="G437" s="96"/>
      <c r="I437" s="51"/>
      <c r="J437" s="51"/>
      <c r="K437" s="51"/>
      <c r="L437" s="51"/>
      <c r="M437" s="51"/>
    </row>
    <row r="438" spans="1:13">
      <c r="A438" s="159"/>
      <c r="B438" s="195"/>
      <c r="C438" s="164"/>
      <c r="D438" s="165"/>
      <c r="E438" s="117"/>
      <c r="F438" s="95"/>
      <c r="G438" s="96"/>
      <c r="I438" s="51"/>
      <c r="J438" s="51"/>
      <c r="K438" s="51"/>
      <c r="L438" s="51"/>
      <c r="M438" s="51"/>
    </row>
    <row r="439" spans="1:13">
      <c r="A439" s="159"/>
      <c r="B439" s="195"/>
      <c r="C439" s="164"/>
      <c r="D439" s="165"/>
      <c r="E439" s="117"/>
      <c r="F439" s="95"/>
      <c r="G439" s="96"/>
      <c r="I439" s="51"/>
      <c r="J439" s="51"/>
      <c r="K439" s="51"/>
      <c r="L439" s="51"/>
      <c r="M439" s="51"/>
    </row>
    <row r="440" spans="1:13" ht="12.75" thickBot="1">
      <c r="A440" s="159"/>
      <c r="B440" s="195"/>
      <c r="C440" s="164"/>
      <c r="D440" s="165"/>
      <c r="E440" s="117"/>
      <c r="F440" s="95"/>
      <c r="G440" s="96"/>
      <c r="I440" s="51"/>
      <c r="J440" s="51"/>
      <c r="K440" s="51"/>
      <c r="L440" s="51"/>
      <c r="M440" s="51"/>
    </row>
    <row r="441" spans="1:13">
      <c r="A441" s="64"/>
      <c r="B441" s="65" t="s">
        <v>160</v>
      </c>
      <c r="C441" s="66"/>
      <c r="D441" s="67"/>
      <c r="E441" s="68"/>
      <c r="F441" s="349"/>
      <c r="G441" s="70"/>
    </row>
    <row r="442" spans="1:13" ht="12.75" thickBot="1">
      <c r="A442" s="71"/>
      <c r="B442" s="72" t="s">
        <v>186</v>
      </c>
      <c r="C442" s="73"/>
      <c r="D442" s="74"/>
      <c r="E442" s="75"/>
      <c r="F442" s="353"/>
      <c r="G442" s="77">
        <f>SUM(G95:G425)</f>
        <v>0</v>
      </c>
    </row>
    <row r="443" spans="1:13">
      <c r="A443" s="78"/>
      <c r="B443" s="105"/>
      <c r="C443" s="92"/>
      <c r="D443" s="93"/>
      <c r="E443" s="82"/>
      <c r="F443" s="95"/>
      <c r="G443" s="168"/>
    </row>
    <row r="444" spans="1:13">
      <c r="A444" s="78"/>
      <c r="B444" s="79" t="s">
        <v>105</v>
      </c>
      <c r="C444" s="92"/>
      <c r="D444" s="93"/>
      <c r="E444" s="82"/>
      <c r="F444" s="95"/>
      <c r="G444" s="96"/>
    </row>
    <row r="445" spans="1:13">
      <c r="A445" s="78"/>
      <c r="B445" s="85" t="s">
        <v>106</v>
      </c>
      <c r="C445" s="92"/>
      <c r="D445" s="93"/>
      <c r="E445" s="82"/>
      <c r="F445" s="95"/>
      <c r="G445" s="96"/>
    </row>
    <row r="446" spans="1:13">
      <c r="A446" s="196">
        <v>4.0999999999999996</v>
      </c>
      <c r="B446" s="91" t="s">
        <v>41</v>
      </c>
      <c r="C446" s="92"/>
      <c r="D446" s="93"/>
      <c r="E446" s="82"/>
      <c r="F446" s="95"/>
      <c r="G446" s="96"/>
    </row>
    <row r="447" spans="1:13" ht="63.75" customHeight="1">
      <c r="A447" s="78"/>
      <c r="B447" s="99" t="s">
        <v>219</v>
      </c>
      <c r="C447" s="99"/>
      <c r="D447" s="99"/>
      <c r="E447" s="99"/>
      <c r="F447" s="99"/>
      <c r="G447" s="172"/>
    </row>
    <row r="448" spans="1:13" ht="75" customHeight="1">
      <c r="A448" s="78"/>
      <c r="B448" s="99" t="s">
        <v>218</v>
      </c>
      <c r="C448" s="197"/>
      <c r="D448" s="197"/>
      <c r="E448" s="197"/>
      <c r="F448" s="197"/>
      <c r="G448" s="198"/>
    </row>
    <row r="449" spans="1:14" ht="39" customHeight="1">
      <c r="A449" s="78"/>
      <c r="B449" s="99" t="s">
        <v>292</v>
      </c>
      <c r="C449" s="197"/>
      <c r="D449" s="197"/>
      <c r="E449" s="197"/>
      <c r="F449" s="197"/>
      <c r="G449" s="198"/>
    </row>
    <row r="450" spans="1:14">
      <c r="A450" s="162" t="s">
        <v>144</v>
      </c>
      <c r="B450" s="199" t="s">
        <v>147</v>
      </c>
      <c r="C450" s="161"/>
      <c r="D450" s="116"/>
      <c r="E450" s="117"/>
      <c r="F450" s="95"/>
      <c r="G450" s="96"/>
    </row>
    <row r="451" spans="1:14">
      <c r="A451" s="152" t="s">
        <v>161</v>
      </c>
      <c r="B451" s="200" t="s">
        <v>146</v>
      </c>
      <c r="C451" s="154"/>
      <c r="D451" s="155"/>
      <c r="E451" s="156"/>
      <c r="F451" s="157"/>
      <c r="G451" s="158"/>
      <c r="I451" s="33"/>
    </row>
    <row r="452" spans="1:14">
      <c r="A452" s="162"/>
      <c r="B452" s="201" t="s">
        <v>212</v>
      </c>
      <c r="C452" s="164"/>
      <c r="D452" s="165"/>
      <c r="E452" s="166"/>
      <c r="F452" s="167"/>
      <c r="G452" s="96"/>
    </row>
    <row r="453" spans="1:14" ht="24">
      <c r="A453" s="159"/>
      <c r="B453" s="160" t="s">
        <v>476</v>
      </c>
      <c r="C453" s="161" t="s">
        <v>152</v>
      </c>
      <c r="D453" s="116">
        <v>47.65</v>
      </c>
      <c r="E453" s="117"/>
      <c r="F453" s="95"/>
      <c r="G453" s="96">
        <f t="shared" ref="G453" si="60">(D453*E453)+(D453*F453)</f>
        <v>0</v>
      </c>
      <c r="I453" s="22">
        <f>I95</f>
        <v>78.199999999999989</v>
      </c>
      <c r="J453" s="22">
        <f>I453*0.65</f>
        <v>50.829999999999991</v>
      </c>
    </row>
    <row r="454" spans="1:14">
      <c r="A454" s="152" t="s">
        <v>162</v>
      </c>
      <c r="B454" s="200" t="s">
        <v>67</v>
      </c>
      <c r="C454" s="154"/>
      <c r="D454" s="155"/>
      <c r="E454" s="156"/>
      <c r="F454" s="157"/>
      <c r="G454" s="158"/>
    </row>
    <row r="455" spans="1:14">
      <c r="A455" s="162" t="s">
        <v>176</v>
      </c>
      <c r="B455" s="201" t="s">
        <v>350</v>
      </c>
      <c r="C455" s="164"/>
      <c r="D455" s="165"/>
      <c r="E455" s="166"/>
      <c r="F455" s="167"/>
      <c r="G455" s="96">
        <f t="shared" ref="G455:G460" si="61">(D455*E455)+(D455*F455)</f>
        <v>0</v>
      </c>
    </row>
    <row r="456" spans="1:14" ht="24">
      <c r="A456" s="192" t="s">
        <v>199</v>
      </c>
      <c r="B456" s="160" t="s">
        <v>351</v>
      </c>
      <c r="C456" s="161" t="s">
        <v>152</v>
      </c>
      <c r="D456" s="116">
        <v>136.43</v>
      </c>
      <c r="E456" s="117"/>
      <c r="F456" s="95"/>
      <c r="G456" s="96">
        <f t="shared" si="61"/>
        <v>0</v>
      </c>
      <c r="I456" s="22">
        <f>3*14+4.02*2+4.08*2+1.5</f>
        <v>59.7</v>
      </c>
      <c r="J456" s="22">
        <f>I456*3.275</f>
        <v>195.51750000000001</v>
      </c>
      <c r="K456" s="51">
        <v>63.07</v>
      </c>
      <c r="L456" s="22">
        <f>J456-K456</f>
        <v>132.44750000000002</v>
      </c>
      <c r="M456" s="22">
        <f>L456*103%</f>
        <v>136.42092500000001</v>
      </c>
    </row>
    <row r="457" spans="1:14" ht="24">
      <c r="A457" s="192" t="s">
        <v>200</v>
      </c>
      <c r="B457" s="160" t="s">
        <v>353</v>
      </c>
      <c r="C457" s="161" t="s">
        <v>152</v>
      </c>
      <c r="D457" s="116">
        <v>5.4340000000000002</v>
      </c>
      <c r="E457" s="117"/>
      <c r="F457" s="95"/>
      <c r="G457" s="96">
        <f t="shared" si="61"/>
        <v>0</v>
      </c>
      <c r="I457" s="22">
        <f>0.45*1.725*7</f>
        <v>5.4337500000000007</v>
      </c>
    </row>
    <row r="458" spans="1:14">
      <c r="A458" s="162" t="s">
        <v>177</v>
      </c>
      <c r="B458" s="201" t="s">
        <v>349</v>
      </c>
      <c r="C458" s="164"/>
      <c r="D458" s="165"/>
      <c r="E458" s="166"/>
      <c r="F458" s="167"/>
      <c r="G458" s="96">
        <f t="shared" si="61"/>
        <v>0</v>
      </c>
    </row>
    <row r="459" spans="1:14" ht="24">
      <c r="A459" s="192" t="s">
        <v>199</v>
      </c>
      <c r="B459" s="160" t="s">
        <v>351</v>
      </c>
      <c r="C459" s="161" t="s">
        <v>152</v>
      </c>
      <c r="D459" s="116">
        <v>98.82</v>
      </c>
      <c r="E459" s="117"/>
      <c r="F459" s="95"/>
      <c r="G459" s="96">
        <f t="shared" si="61"/>
        <v>0</v>
      </c>
      <c r="I459" s="22">
        <f>4.08*4+4.02*4</f>
        <v>32.4</v>
      </c>
      <c r="J459" s="22">
        <f>I459*3.05</f>
        <v>98.82</v>
      </c>
    </row>
    <row r="460" spans="1:14" ht="13.5">
      <c r="A460" s="159" t="s">
        <v>200</v>
      </c>
      <c r="B460" s="202" t="s">
        <v>352</v>
      </c>
      <c r="C460" s="161" t="s">
        <v>152</v>
      </c>
      <c r="D460" s="116">
        <v>49.54</v>
      </c>
      <c r="E460" s="117"/>
      <c r="F460" s="95"/>
      <c r="G460" s="96">
        <f t="shared" si="61"/>
        <v>0</v>
      </c>
      <c r="I460" s="22">
        <f>3.45+2.75+1.55*5+2.7</f>
        <v>16.649999999999999</v>
      </c>
      <c r="J460" s="22">
        <f>I460*3.35</f>
        <v>55.777499999999996</v>
      </c>
      <c r="K460" s="22">
        <f>0.78*2*4</f>
        <v>6.24</v>
      </c>
      <c r="L460" s="22">
        <f>J460-K460</f>
        <v>49.537499999999994</v>
      </c>
    </row>
    <row r="461" spans="1:14">
      <c r="A461" s="152" t="s">
        <v>57</v>
      </c>
      <c r="B461" s="200" t="s">
        <v>69</v>
      </c>
      <c r="C461" s="154"/>
      <c r="D461" s="155"/>
      <c r="E461" s="156"/>
      <c r="F461" s="157"/>
      <c r="G461" s="158"/>
    </row>
    <row r="462" spans="1:14">
      <c r="A462" s="162" t="s">
        <v>176</v>
      </c>
      <c r="B462" s="201" t="s">
        <v>350</v>
      </c>
      <c r="C462" s="164"/>
      <c r="D462" s="165"/>
      <c r="E462" s="166"/>
      <c r="F462" s="167"/>
      <c r="G462" s="96">
        <f t="shared" ref="G462:G464" si="62">(D462*E462)+(D462*F462)</f>
        <v>0</v>
      </c>
    </row>
    <row r="463" spans="1:14" ht="24">
      <c r="A463" s="192" t="s">
        <v>199</v>
      </c>
      <c r="B463" s="160" t="s">
        <v>351</v>
      </c>
      <c r="C463" s="161" t="s">
        <v>152</v>
      </c>
      <c r="D463" s="116">
        <v>110.98</v>
      </c>
      <c r="E463" s="117"/>
      <c r="F463" s="95"/>
      <c r="G463" s="96">
        <f t="shared" si="62"/>
        <v>0</v>
      </c>
      <c r="I463" s="22">
        <f>3*14+4.02*2+4.08*2</f>
        <v>58.2</v>
      </c>
      <c r="J463" s="22">
        <f>I463*3.05</f>
        <v>177.51</v>
      </c>
      <c r="K463" s="22">
        <v>62.35</v>
      </c>
      <c r="L463" s="22">
        <f>J463-K463</f>
        <v>115.16</v>
      </c>
      <c r="M463" s="22">
        <f>1.35*3.1</f>
        <v>4.1850000000000005</v>
      </c>
      <c r="N463" s="22">
        <f>L463-M463</f>
        <v>110.97499999999999</v>
      </c>
    </row>
    <row r="464" spans="1:14" ht="24">
      <c r="A464" s="192" t="s">
        <v>200</v>
      </c>
      <c r="B464" s="160" t="s">
        <v>353</v>
      </c>
      <c r="C464" s="161" t="s">
        <v>152</v>
      </c>
      <c r="D464" s="116">
        <v>5.43</v>
      </c>
      <c r="E464" s="117"/>
      <c r="F464" s="95"/>
      <c r="G464" s="96">
        <f t="shared" si="62"/>
        <v>0</v>
      </c>
      <c r="I464" s="22">
        <f>0.45*1.725*7</f>
        <v>5.4337500000000007</v>
      </c>
    </row>
    <row r="465" spans="1:14">
      <c r="A465" s="162" t="s">
        <v>177</v>
      </c>
      <c r="B465" s="201" t="s">
        <v>349</v>
      </c>
      <c r="C465" s="164"/>
      <c r="D465" s="165"/>
      <c r="E465" s="166"/>
      <c r="F465" s="167"/>
      <c r="G465" s="96">
        <f t="shared" ref="G465:G467" si="63">(D465*E465)+(D465*F465)</f>
        <v>0</v>
      </c>
    </row>
    <row r="466" spans="1:14" ht="24">
      <c r="A466" s="192" t="s">
        <v>199</v>
      </c>
      <c r="B466" s="160" t="s">
        <v>351</v>
      </c>
      <c r="C466" s="161" t="s">
        <v>152</v>
      </c>
      <c r="D466" s="116">
        <v>98.82</v>
      </c>
      <c r="E466" s="117"/>
      <c r="F466" s="95"/>
      <c r="G466" s="96">
        <f t="shared" si="63"/>
        <v>0</v>
      </c>
      <c r="I466" s="22">
        <f>4.08*4+4.02*4</f>
        <v>32.4</v>
      </c>
      <c r="J466" s="22">
        <f>I466*3.05</f>
        <v>98.82</v>
      </c>
    </row>
    <row r="467" spans="1:14" ht="13.5">
      <c r="A467" s="159" t="s">
        <v>200</v>
      </c>
      <c r="B467" s="202" t="s">
        <v>352</v>
      </c>
      <c r="C467" s="161" t="s">
        <v>152</v>
      </c>
      <c r="D467" s="116">
        <v>50.87</v>
      </c>
      <c r="E467" s="117"/>
      <c r="F467" s="95"/>
      <c r="G467" s="96">
        <f t="shared" si="63"/>
        <v>0</v>
      </c>
      <c r="I467" s="22">
        <f>3.45+2.75+1.55*5+3+0.9</f>
        <v>17.849999999999998</v>
      </c>
      <c r="J467" s="22">
        <f>I467*3.35</f>
        <v>59.797499999999992</v>
      </c>
      <c r="K467" s="22">
        <v>8.93</v>
      </c>
      <c r="L467" s="22">
        <f>J467-K467</f>
        <v>50.867499999999993</v>
      </c>
    </row>
    <row r="468" spans="1:14">
      <c r="A468" s="152" t="s">
        <v>163</v>
      </c>
      <c r="B468" s="200" t="s">
        <v>71</v>
      </c>
      <c r="C468" s="154"/>
      <c r="D468" s="155"/>
      <c r="E468" s="156"/>
      <c r="F468" s="157"/>
      <c r="G468" s="158"/>
    </row>
    <row r="469" spans="1:14">
      <c r="A469" s="162" t="s">
        <v>176</v>
      </c>
      <c r="B469" s="201" t="s">
        <v>350</v>
      </c>
      <c r="C469" s="164"/>
      <c r="D469" s="165"/>
      <c r="E469" s="166"/>
      <c r="F469" s="167"/>
      <c r="G469" s="96">
        <f t="shared" ref="G469:G474" si="64">(D469*E469)+(D469*F469)</f>
        <v>0</v>
      </c>
    </row>
    <row r="470" spans="1:14" ht="24">
      <c r="A470" s="192" t="s">
        <v>199</v>
      </c>
      <c r="B470" s="160" t="s">
        <v>351</v>
      </c>
      <c r="C470" s="161" t="s">
        <v>152</v>
      </c>
      <c r="D470" s="116">
        <v>113.9</v>
      </c>
      <c r="E470" s="117"/>
      <c r="F470" s="95"/>
      <c r="G470" s="96">
        <f t="shared" si="64"/>
        <v>0</v>
      </c>
      <c r="I470" s="22">
        <f>3*14+4.02*2+4.08*2</f>
        <v>58.2</v>
      </c>
      <c r="J470" s="22">
        <f>I470*3.1</f>
        <v>180.42000000000002</v>
      </c>
      <c r="K470" s="22">
        <v>62.35</v>
      </c>
      <c r="L470" s="22">
        <f>J470-K470</f>
        <v>118.07000000000002</v>
      </c>
      <c r="M470" s="22">
        <f>1.35*3.1</f>
        <v>4.1850000000000005</v>
      </c>
      <c r="N470" s="22">
        <f>L470-M470</f>
        <v>113.88500000000002</v>
      </c>
    </row>
    <row r="471" spans="1:14" ht="24">
      <c r="A471" s="192" t="s">
        <v>200</v>
      </c>
      <c r="B471" s="160" t="s">
        <v>353</v>
      </c>
      <c r="C471" s="161" t="s">
        <v>152</v>
      </c>
      <c r="D471" s="116">
        <v>5.43</v>
      </c>
      <c r="E471" s="117"/>
      <c r="F471" s="95"/>
      <c r="G471" s="96">
        <f t="shared" si="64"/>
        <v>0</v>
      </c>
      <c r="I471" s="22">
        <f>0.45*1.725*7</f>
        <v>5.4337500000000007</v>
      </c>
    </row>
    <row r="472" spans="1:14">
      <c r="A472" s="162" t="s">
        <v>177</v>
      </c>
      <c r="B472" s="201" t="s">
        <v>349</v>
      </c>
      <c r="C472" s="164"/>
      <c r="D472" s="165"/>
      <c r="E472" s="166"/>
      <c r="F472" s="167"/>
      <c r="G472" s="96">
        <f t="shared" si="64"/>
        <v>0</v>
      </c>
    </row>
    <row r="473" spans="1:14" ht="24">
      <c r="A473" s="192" t="s">
        <v>199</v>
      </c>
      <c r="B473" s="160" t="s">
        <v>351</v>
      </c>
      <c r="C473" s="161" t="s">
        <v>152</v>
      </c>
      <c r="D473" s="116">
        <v>100.44</v>
      </c>
      <c r="E473" s="117"/>
      <c r="F473" s="95"/>
      <c r="G473" s="96">
        <f t="shared" si="64"/>
        <v>0</v>
      </c>
      <c r="I473" s="22">
        <f>4.08*4+4.02*4</f>
        <v>32.4</v>
      </c>
      <c r="J473" s="22">
        <f>I473*3.1</f>
        <v>100.44</v>
      </c>
    </row>
    <row r="474" spans="1:14" ht="13.5">
      <c r="A474" s="159" t="s">
        <v>200</v>
      </c>
      <c r="B474" s="202" t="s">
        <v>352</v>
      </c>
      <c r="C474" s="161" t="s">
        <v>152</v>
      </c>
      <c r="D474" s="116">
        <v>53.55</v>
      </c>
      <c r="E474" s="117"/>
      <c r="F474" s="95"/>
      <c r="G474" s="96">
        <f t="shared" si="64"/>
        <v>0</v>
      </c>
      <c r="I474" s="22">
        <f>3.45+2.75+1.55*5+3+0.9</f>
        <v>17.849999999999998</v>
      </c>
      <c r="J474" s="22">
        <f>I474*3.5</f>
        <v>62.474999999999994</v>
      </c>
      <c r="K474" s="22">
        <v>8.93</v>
      </c>
      <c r="L474" s="22">
        <f>J474-K474</f>
        <v>53.544999999999995</v>
      </c>
    </row>
    <row r="475" spans="1:14">
      <c r="A475" s="152" t="s">
        <v>164</v>
      </c>
      <c r="B475" s="200" t="s">
        <v>354</v>
      </c>
      <c r="C475" s="154"/>
      <c r="D475" s="155"/>
      <c r="E475" s="156"/>
      <c r="F475" s="157"/>
      <c r="G475" s="158"/>
      <c r="K475" s="33"/>
    </row>
    <row r="476" spans="1:14">
      <c r="A476" s="162" t="s">
        <v>176</v>
      </c>
      <c r="B476" s="201" t="s">
        <v>355</v>
      </c>
      <c r="C476" s="164"/>
      <c r="D476" s="165"/>
      <c r="E476" s="166"/>
      <c r="F476" s="167"/>
      <c r="G476" s="96">
        <f t="shared" ref="G476:G477" si="65">(D476*E476)+(D476*F476)</f>
        <v>0</v>
      </c>
      <c r="K476" s="33"/>
    </row>
    <row r="477" spans="1:14" ht="13.5">
      <c r="A477" s="159"/>
      <c r="B477" s="160" t="s">
        <v>348</v>
      </c>
      <c r="C477" s="161" t="s">
        <v>152</v>
      </c>
      <c r="D477" s="116">
        <v>24.1</v>
      </c>
      <c r="E477" s="117"/>
      <c r="F477" s="95"/>
      <c r="G477" s="96">
        <f t="shared" si="65"/>
        <v>0</v>
      </c>
      <c r="I477" s="22">
        <f>(5.487+1.95)*2</f>
        <v>14.874000000000001</v>
      </c>
      <c r="J477" s="22">
        <f>I477*3.5</f>
        <v>52.059000000000005</v>
      </c>
      <c r="K477" s="33">
        <v>2.88</v>
      </c>
      <c r="L477" s="33">
        <f>J477-K477</f>
        <v>49.179000000000002</v>
      </c>
    </row>
    <row r="478" spans="1:14" ht="12.75" thickBot="1">
      <c r="A478" s="358"/>
      <c r="B478" s="359"/>
      <c r="C478" s="339"/>
      <c r="D478" s="360"/>
      <c r="E478" s="341"/>
      <c r="F478" s="340"/>
      <c r="G478" s="361"/>
      <c r="K478" s="33"/>
      <c r="L478" s="33"/>
    </row>
    <row r="479" spans="1:14">
      <c r="A479" s="159"/>
      <c r="B479" s="202"/>
      <c r="C479" s="161"/>
      <c r="D479" s="116"/>
      <c r="E479" s="117"/>
      <c r="F479" s="95"/>
      <c r="G479" s="96"/>
      <c r="K479" s="33"/>
    </row>
    <row r="480" spans="1:14">
      <c r="A480" s="139">
        <v>4.3</v>
      </c>
      <c r="B480" s="203" t="s">
        <v>107</v>
      </c>
      <c r="C480" s="151"/>
      <c r="D480" s="142"/>
      <c r="E480" s="143"/>
      <c r="F480" s="142"/>
      <c r="G480" s="204"/>
      <c r="K480" s="33"/>
    </row>
    <row r="481" spans="1:19" ht="99" customHeight="1">
      <c r="A481" s="78"/>
      <c r="B481" s="99" t="s">
        <v>214</v>
      </c>
      <c r="C481" s="99"/>
      <c r="D481" s="99"/>
      <c r="E481" s="99"/>
      <c r="F481" s="99"/>
      <c r="G481" s="198"/>
    </row>
    <row r="482" spans="1:19" ht="40.5" customHeight="1">
      <c r="A482" s="78"/>
      <c r="B482" s="99" t="s">
        <v>168</v>
      </c>
      <c r="C482" s="99"/>
      <c r="D482" s="99"/>
      <c r="E482" s="99"/>
      <c r="F482" s="197"/>
      <c r="G482" s="198"/>
    </row>
    <row r="483" spans="1:19" ht="51" customHeight="1">
      <c r="A483" s="78"/>
      <c r="B483" s="99" t="s">
        <v>291</v>
      </c>
      <c r="C483" s="99"/>
      <c r="D483" s="99"/>
      <c r="E483" s="99"/>
      <c r="F483" s="197"/>
      <c r="G483" s="198"/>
    </row>
    <row r="484" spans="1:19">
      <c r="A484" s="152" t="s">
        <v>161</v>
      </c>
      <c r="B484" s="200" t="s">
        <v>146</v>
      </c>
      <c r="C484" s="154"/>
      <c r="D484" s="155"/>
      <c r="E484" s="156"/>
      <c r="F484" s="157"/>
      <c r="G484" s="158"/>
    </row>
    <row r="485" spans="1:19">
      <c r="A485" s="159" t="s">
        <v>176</v>
      </c>
      <c r="B485" s="199" t="s">
        <v>273</v>
      </c>
      <c r="C485" s="164"/>
      <c r="D485" s="165"/>
      <c r="E485" s="166"/>
      <c r="F485" s="167"/>
      <c r="G485" s="96"/>
    </row>
    <row r="486" spans="1:19" ht="13.5">
      <c r="A486" s="159"/>
      <c r="B486" s="202" t="s">
        <v>272</v>
      </c>
      <c r="C486" s="161" t="s">
        <v>152</v>
      </c>
      <c r="D486" s="116">
        <f>D453*2</f>
        <v>95.3</v>
      </c>
      <c r="E486" s="117"/>
      <c r="F486" s="95"/>
      <c r="G486" s="96">
        <f t="shared" ref="G486" si="66">(D486*E486)+(D486*F486)</f>
        <v>0</v>
      </c>
    </row>
    <row r="487" spans="1:19">
      <c r="A487" s="152" t="s">
        <v>162</v>
      </c>
      <c r="B487" s="200" t="s">
        <v>67</v>
      </c>
      <c r="C487" s="154"/>
      <c r="D487" s="155"/>
      <c r="E487" s="156"/>
      <c r="F487" s="157"/>
      <c r="G487" s="158"/>
    </row>
    <row r="488" spans="1:19" s="52" customFormat="1" ht="15" customHeight="1">
      <c r="A488" s="162" t="s">
        <v>176</v>
      </c>
      <c r="B488" s="201" t="s">
        <v>269</v>
      </c>
      <c r="C488" s="164"/>
      <c r="D488" s="165"/>
      <c r="E488" s="166"/>
      <c r="F488" s="205"/>
      <c r="G488" s="96">
        <f t="shared" ref="G488:G489" si="67">(D488*E488)+(D488*F488)</f>
        <v>0</v>
      </c>
      <c r="I488" s="22">
        <f>25.8*2+8.7*2</f>
        <v>69</v>
      </c>
      <c r="J488" s="22">
        <f>I488*3.875</f>
        <v>267.375</v>
      </c>
      <c r="K488" s="51">
        <f>K456</f>
        <v>63.07</v>
      </c>
      <c r="L488" s="51">
        <f>J488-K488</f>
        <v>204.30500000000001</v>
      </c>
      <c r="M488" s="51">
        <f>L488*103%</f>
        <v>210.43415000000002</v>
      </c>
      <c r="N488" s="22">
        <f>1.5*3.875</f>
        <v>5.8125</v>
      </c>
      <c r="O488" s="51">
        <f>M488-N488</f>
        <v>204.62165000000002</v>
      </c>
      <c r="P488" s="22">
        <f>25.8+4</f>
        <v>29.8</v>
      </c>
      <c r="Q488" s="22">
        <f>P488*0.65</f>
        <v>19.37</v>
      </c>
      <c r="R488" s="22"/>
      <c r="S488" s="22"/>
    </row>
    <row r="489" spans="1:19" ht="13.5">
      <c r="A489" s="159"/>
      <c r="B489" s="202" t="s">
        <v>148</v>
      </c>
      <c r="C489" s="161" t="s">
        <v>152</v>
      </c>
      <c r="D489" s="116">
        <v>256.82</v>
      </c>
      <c r="E489" s="117"/>
      <c r="F489" s="95"/>
      <c r="G489" s="96">
        <f t="shared" si="67"/>
        <v>0</v>
      </c>
      <c r="I489" s="22">
        <f>0.45*1.725*7*2</f>
        <v>10.867500000000001</v>
      </c>
      <c r="P489" s="22">
        <f>0.8*9*3.05</f>
        <v>21.96</v>
      </c>
      <c r="Q489" s="51">
        <f>Q488+O488+P489+I489</f>
        <v>256.81915000000004</v>
      </c>
    </row>
    <row r="490" spans="1:19">
      <c r="A490" s="191" t="s">
        <v>177</v>
      </c>
      <c r="B490" s="195" t="s">
        <v>270</v>
      </c>
      <c r="C490" s="164"/>
      <c r="D490" s="165"/>
      <c r="E490" s="166"/>
      <c r="F490" s="167"/>
      <c r="G490" s="96">
        <f t="shared" ref="G490:G491" si="68">(D490*E490)+(D490*F490)</f>
        <v>0</v>
      </c>
      <c r="I490" s="22">
        <f>8.3*4</f>
        <v>33.200000000000003</v>
      </c>
      <c r="J490" s="22">
        <f>I490*3.35*2</f>
        <v>222.44000000000003</v>
      </c>
      <c r="L490" s="22">
        <f>6.225*6+3+8.5*2+1.7+1.85</f>
        <v>60.9</v>
      </c>
      <c r="M490" s="22">
        <f>L490*3.35</f>
        <v>204.01500000000001</v>
      </c>
      <c r="N490" s="51">
        <f>M490-K488</f>
        <v>140.94500000000002</v>
      </c>
    </row>
    <row r="491" spans="1:19" ht="25.5" customHeight="1">
      <c r="A491" s="159"/>
      <c r="B491" s="160" t="s">
        <v>271</v>
      </c>
      <c r="C491" s="161" t="s">
        <v>152</v>
      </c>
      <c r="D491" s="116">
        <v>484.83</v>
      </c>
      <c r="E491" s="117"/>
      <c r="F491" s="95"/>
      <c r="G491" s="96">
        <f t="shared" si="68"/>
        <v>0</v>
      </c>
      <c r="I491" s="22">
        <f>3.45+2.75+1.55*5+3</f>
        <v>16.95</v>
      </c>
      <c r="J491" s="22">
        <f>I491*3.35*2</f>
        <v>113.565</v>
      </c>
      <c r="K491" s="22">
        <f>0.78*2*4</f>
        <v>6.24</v>
      </c>
      <c r="L491" s="22">
        <f>J491-K491</f>
        <v>107.325</v>
      </c>
      <c r="N491" s="51">
        <f>N490+L491+J490</f>
        <v>470.71000000000004</v>
      </c>
      <c r="O491" s="51">
        <f>N491*103%</f>
        <v>484.83130000000006</v>
      </c>
    </row>
    <row r="492" spans="1:19" ht="12.75" customHeight="1">
      <c r="A492" s="191"/>
      <c r="B492" s="195"/>
      <c r="C492" s="164"/>
      <c r="D492" s="165"/>
      <c r="E492" s="166"/>
      <c r="F492" s="167"/>
      <c r="G492" s="96"/>
    </row>
    <row r="493" spans="1:19">
      <c r="A493" s="152" t="s">
        <v>57</v>
      </c>
      <c r="B493" s="200" t="s">
        <v>69</v>
      </c>
      <c r="C493" s="154"/>
      <c r="D493" s="155"/>
      <c r="E493" s="156"/>
      <c r="F493" s="157"/>
      <c r="G493" s="158"/>
      <c r="I493" s="22">
        <f>25.8*2+8.7*2</f>
        <v>69</v>
      </c>
      <c r="J493" s="22">
        <f>I493*3.5</f>
        <v>241.5</v>
      </c>
      <c r="K493" s="51">
        <f>K470</f>
        <v>62.35</v>
      </c>
      <c r="L493" s="51">
        <f>J493-K493</f>
        <v>179.15</v>
      </c>
      <c r="M493" s="51">
        <f>L493*103%</f>
        <v>184.52450000000002</v>
      </c>
      <c r="O493" s="51"/>
      <c r="P493" s="22">
        <f>25.8+4</f>
        <v>29.8</v>
      </c>
      <c r="Q493" s="22">
        <f>P493*0.65</f>
        <v>19.37</v>
      </c>
    </row>
    <row r="494" spans="1:19">
      <c r="A494" s="162" t="s">
        <v>176</v>
      </c>
      <c r="B494" s="201" t="s">
        <v>269</v>
      </c>
      <c r="C494" s="164"/>
      <c r="D494" s="165"/>
      <c r="E494" s="166"/>
      <c r="F494" s="205"/>
      <c r="G494" s="96">
        <f t="shared" ref="G494:G497" si="69">(D494*E494)+(D494*F494)</f>
        <v>0</v>
      </c>
      <c r="I494" s="22">
        <f>0.45*1.725*7*2</f>
        <v>10.867500000000001</v>
      </c>
      <c r="K494" s="51">
        <f>M493+I494+Q493+P494+M494</f>
        <v>292.00200000000001</v>
      </c>
      <c r="M494" s="22">
        <f>28*1.8</f>
        <v>50.4</v>
      </c>
      <c r="N494" s="51">
        <f>M494+Q494</f>
        <v>50.4</v>
      </c>
      <c r="P494" s="22">
        <f>0.8*11*3.05</f>
        <v>26.84</v>
      </c>
      <c r="Q494" s="51"/>
    </row>
    <row r="495" spans="1:19" ht="13.5">
      <c r="A495" s="159"/>
      <c r="B495" s="202" t="s">
        <v>491</v>
      </c>
      <c r="C495" s="161" t="s">
        <v>152</v>
      </c>
      <c r="D495" s="116">
        <v>292</v>
      </c>
      <c r="E495" s="117"/>
      <c r="F495" s="95"/>
      <c r="G495" s="96">
        <f t="shared" si="69"/>
        <v>0</v>
      </c>
    </row>
    <row r="496" spans="1:19">
      <c r="A496" s="191" t="s">
        <v>177</v>
      </c>
      <c r="B496" s="195" t="s">
        <v>270</v>
      </c>
      <c r="C496" s="164"/>
      <c r="D496" s="165"/>
      <c r="E496" s="166"/>
      <c r="F496" s="167"/>
      <c r="G496" s="96">
        <f t="shared" si="69"/>
        <v>0</v>
      </c>
      <c r="I496" s="22">
        <f>8.3*4</f>
        <v>33.200000000000003</v>
      </c>
      <c r="J496" s="22">
        <f>I496*3.35*2</f>
        <v>222.44000000000003</v>
      </c>
      <c r="L496" s="22">
        <f>6.225*6+1.5+3+8.5*2</f>
        <v>58.849999999999994</v>
      </c>
      <c r="M496" s="22">
        <f>L496*3.35</f>
        <v>197.14749999999998</v>
      </c>
      <c r="N496" s="51">
        <f>M496-K493</f>
        <v>134.79749999999999</v>
      </c>
    </row>
    <row r="497" spans="1:17" ht="24">
      <c r="A497" s="159"/>
      <c r="B497" s="160" t="s">
        <v>271</v>
      </c>
      <c r="C497" s="161" t="s">
        <v>152</v>
      </c>
      <c r="D497" s="116">
        <v>475.73</v>
      </c>
      <c r="E497" s="117"/>
      <c r="F497" s="95"/>
      <c r="G497" s="96">
        <f t="shared" si="69"/>
        <v>0</v>
      </c>
      <c r="I497" s="22">
        <f>3.45+2.75+1.55*5+3</f>
        <v>16.95</v>
      </c>
      <c r="J497" s="22">
        <f>I497*3.35*2</f>
        <v>113.565</v>
      </c>
      <c r="K497" s="22">
        <f>0.78*2*4+0.95*2.83</f>
        <v>8.9284999999999997</v>
      </c>
      <c r="L497" s="22">
        <f>J497-K497</f>
        <v>104.6365</v>
      </c>
      <c r="N497" s="51">
        <f>N496+L497+J496</f>
        <v>461.87400000000002</v>
      </c>
      <c r="O497" s="51">
        <f>N497*103%</f>
        <v>475.73022000000003</v>
      </c>
    </row>
    <row r="498" spans="1:17">
      <c r="A498" s="159"/>
      <c r="B498" s="160"/>
      <c r="C498" s="161"/>
      <c r="D498" s="116"/>
      <c r="E498" s="117"/>
      <c r="F498" s="95"/>
      <c r="G498" s="96"/>
      <c r="O498" s="33"/>
      <c r="P498" s="33"/>
    </row>
    <row r="499" spans="1:17">
      <c r="A499" s="152" t="s">
        <v>163</v>
      </c>
      <c r="B499" s="200" t="s">
        <v>71</v>
      </c>
      <c r="C499" s="154"/>
      <c r="D499" s="155"/>
      <c r="E499" s="156"/>
      <c r="F499" s="157"/>
      <c r="G499" s="158"/>
      <c r="I499" s="22">
        <f>25.8*2+8.7*2</f>
        <v>69</v>
      </c>
      <c r="J499" s="22">
        <f>I499*3.5</f>
        <v>241.5</v>
      </c>
      <c r="K499" s="51">
        <v>62.35</v>
      </c>
      <c r="L499" s="51">
        <f>J499-K499</f>
        <v>179.15</v>
      </c>
      <c r="M499" s="51">
        <f>L499*103%</f>
        <v>184.52450000000002</v>
      </c>
      <c r="O499" s="51"/>
      <c r="P499" s="22">
        <f>25.8+4</f>
        <v>29.8</v>
      </c>
      <c r="Q499" s="22">
        <f>P499*0.65</f>
        <v>19.37</v>
      </c>
    </row>
    <row r="500" spans="1:17">
      <c r="A500" s="162" t="s">
        <v>176</v>
      </c>
      <c r="B500" s="201" t="s">
        <v>269</v>
      </c>
      <c r="C500" s="164"/>
      <c r="D500" s="165"/>
      <c r="E500" s="166"/>
      <c r="F500" s="205"/>
      <c r="G500" s="96">
        <f t="shared" ref="G500:G503" si="70">(D500*E500)+(D500*F500)</f>
        <v>0</v>
      </c>
      <c r="I500" s="22">
        <f>0.45*1.725*7*2</f>
        <v>10.867500000000001</v>
      </c>
      <c r="K500" s="51">
        <f>M499+I500+Q499+P500+M500</f>
        <v>292.00200000000001</v>
      </c>
      <c r="M500" s="22">
        <f>28*1.8</f>
        <v>50.4</v>
      </c>
      <c r="N500" s="51">
        <f>M500+Q500</f>
        <v>50.4</v>
      </c>
      <c r="P500" s="22">
        <f>0.8*11*3.05</f>
        <v>26.84</v>
      </c>
      <c r="Q500" s="51"/>
    </row>
    <row r="501" spans="1:17" ht="13.5">
      <c r="A501" s="159"/>
      <c r="B501" s="202" t="s">
        <v>148</v>
      </c>
      <c r="C501" s="161" t="s">
        <v>152</v>
      </c>
      <c r="D501" s="116">
        <v>292</v>
      </c>
      <c r="E501" s="117"/>
      <c r="F501" s="95"/>
      <c r="G501" s="96">
        <f t="shared" si="70"/>
        <v>0</v>
      </c>
    </row>
    <row r="502" spans="1:17">
      <c r="A502" s="191" t="s">
        <v>177</v>
      </c>
      <c r="B502" s="195" t="s">
        <v>270</v>
      </c>
      <c r="C502" s="164"/>
      <c r="D502" s="165"/>
      <c r="E502" s="166"/>
      <c r="F502" s="167"/>
      <c r="G502" s="96">
        <f t="shared" si="70"/>
        <v>0</v>
      </c>
      <c r="I502" s="22">
        <f>8.3*4</f>
        <v>33.200000000000003</v>
      </c>
      <c r="J502" s="22">
        <f>I502*3.5*2</f>
        <v>232.40000000000003</v>
      </c>
      <c r="L502" s="22">
        <f>6.225*6+1.5+3+8.5*2</f>
        <v>58.849999999999994</v>
      </c>
      <c r="M502" s="22">
        <f>L502*3.5</f>
        <v>205.97499999999997</v>
      </c>
      <c r="N502" s="51">
        <f>M502-K499</f>
        <v>143.62499999999997</v>
      </c>
    </row>
    <row r="503" spans="1:17" ht="24">
      <c r="A503" s="159"/>
      <c r="B503" s="160" t="s">
        <v>271</v>
      </c>
      <c r="C503" s="161" t="s">
        <v>152</v>
      </c>
      <c r="D503" s="116">
        <v>500.32</v>
      </c>
      <c r="E503" s="117"/>
      <c r="F503" s="95"/>
      <c r="G503" s="96">
        <f t="shared" si="70"/>
        <v>0</v>
      </c>
      <c r="I503" s="22">
        <f>3.45+2.75+1.55*5+3</f>
        <v>16.95</v>
      </c>
      <c r="J503" s="22">
        <f>I503*3.5*2</f>
        <v>118.64999999999999</v>
      </c>
      <c r="K503" s="22">
        <f>0.78*2*4+0.95*2.83</f>
        <v>8.9284999999999997</v>
      </c>
      <c r="L503" s="22">
        <f>J503-K503</f>
        <v>109.72149999999999</v>
      </c>
      <c r="N503" s="51">
        <f>N502+L503+J502</f>
        <v>485.74649999999997</v>
      </c>
      <c r="O503" s="51">
        <f>N503*103%</f>
        <v>500.318895</v>
      </c>
    </row>
    <row r="504" spans="1:17">
      <c r="A504" s="159"/>
      <c r="B504" s="160"/>
      <c r="C504" s="161"/>
      <c r="D504" s="116"/>
      <c r="E504" s="117"/>
      <c r="F504" s="95"/>
      <c r="G504" s="96"/>
    </row>
    <row r="505" spans="1:17">
      <c r="A505" s="152" t="s">
        <v>164</v>
      </c>
      <c r="B505" s="200" t="s">
        <v>293</v>
      </c>
      <c r="C505" s="154"/>
      <c r="D505" s="155"/>
      <c r="E505" s="156"/>
      <c r="F505" s="157"/>
      <c r="G505" s="158"/>
    </row>
    <row r="506" spans="1:17">
      <c r="A506" s="162" t="s">
        <v>176</v>
      </c>
      <c r="B506" s="201" t="s">
        <v>269</v>
      </c>
      <c r="C506" s="164"/>
      <c r="D506" s="165"/>
      <c r="E506" s="166"/>
      <c r="F506" s="205"/>
      <c r="G506" s="96">
        <f t="shared" ref="G506:G509" si="71">(D506*E506)+(D506*F506)</f>
        <v>0</v>
      </c>
    </row>
    <row r="507" spans="1:17" ht="13.5">
      <c r="A507" s="159"/>
      <c r="B507" s="202" t="s">
        <v>148</v>
      </c>
      <c r="C507" s="161" t="s">
        <v>152</v>
      </c>
      <c r="D507" s="116">
        <v>24.1</v>
      </c>
      <c r="E507" s="117"/>
      <c r="F507" s="95"/>
      <c r="G507" s="96">
        <f t="shared" si="71"/>
        <v>0</v>
      </c>
      <c r="I507" s="22">
        <f>(5.487+1.95)*2</f>
        <v>14.874000000000001</v>
      </c>
      <c r="J507" s="22">
        <f>I507*3.8</f>
        <v>56.5212</v>
      </c>
      <c r="K507" s="33">
        <v>2.88</v>
      </c>
      <c r="L507" s="33">
        <f>J507-K507</f>
        <v>53.641199999999998</v>
      </c>
      <c r="M507" s="22" t="e">
        <f>#REF!</f>
        <v>#REF!</v>
      </c>
      <c r="N507" s="22" t="e">
        <f>M507*2.1</f>
        <v>#REF!</v>
      </c>
      <c r="O507" s="33" t="e">
        <f>N507+L507</f>
        <v>#REF!</v>
      </c>
    </row>
    <row r="508" spans="1:17">
      <c r="A508" s="191" t="s">
        <v>177</v>
      </c>
      <c r="B508" s="195" t="s">
        <v>270</v>
      </c>
      <c r="C508" s="164"/>
      <c r="D508" s="165"/>
      <c r="E508" s="166"/>
      <c r="F508" s="167"/>
      <c r="G508" s="96">
        <f t="shared" si="71"/>
        <v>0</v>
      </c>
      <c r="K508" s="33"/>
    </row>
    <row r="509" spans="1:17" ht="13.5">
      <c r="A509" s="159"/>
      <c r="B509" s="160" t="s">
        <v>356</v>
      </c>
      <c r="C509" s="161" t="s">
        <v>152</v>
      </c>
      <c r="D509" s="116">
        <v>24.1</v>
      </c>
      <c r="E509" s="117"/>
      <c r="F509" s="95"/>
      <c r="G509" s="96">
        <f t="shared" si="71"/>
        <v>0</v>
      </c>
      <c r="I509" s="22">
        <f>1*3.65*2</f>
        <v>7.3</v>
      </c>
      <c r="J509" s="22">
        <f>(5.487+1.95)*2</f>
        <v>14.874000000000001</v>
      </c>
      <c r="K509" s="22">
        <f>J509*3.65</f>
        <v>54.290100000000002</v>
      </c>
      <c r="L509" s="33">
        <v>2.88</v>
      </c>
      <c r="M509" s="33">
        <f>K509-L509</f>
        <v>51.4101</v>
      </c>
      <c r="N509" s="33">
        <f>M509+I509</f>
        <v>58.710099999999997</v>
      </c>
    </row>
    <row r="510" spans="1:17">
      <c r="A510" s="159"/>
      <c r="B510" s="160"/>
      <c r="C510" s="161"/>
      <c r="D510" s="116"/>
      <c r="E510" s="117"/>
      <c r="F510" s="95"/>
      <c r="G510" s="96"/>
      <c r="L510" s="33"/>
      <c r="M510" s="33"/>
      <c r="N510" s="33"/>
    </row>
    <row r="511" spans="1:17">
      <c r="A511" s="159"/>
      <c r="B511" s="160"/>
      <c r="C511" s="161"/>
      <c r="D511" s="116"/>
      <c r="E511" s="117"/>
      <c r="F511" s="95"/>
      <c r="G511" s="96"/>
      <c r="L511" s="33"/>
      <c r="M511" s="33"/>
      <c r="N511" s="33"/>
    </row>
    <row r="512" spans="1:17">
      <c r="A512" s="159"/>
      <c r="B512" s="160"/>
      <c r="C512" s="161"/>
      <c r="D512" s="116"/>
      <c r="E512" s="117"/>
      <c r="F512" s="95"/>
      <c r="G512" s="96"/>
      <c r="L512" s="33"/>
      <c r="M512" s="33"/>
      <c r="N512" s="33"/>
    </row>
    <row r="513" spans="1:15">
      <c r="A513" s="159"/>
      <c r="B513" s="160"/>
      <c r="C513" s="161"/>
      <c r="D513" s="116"/>
      <c r="E513" s="117"/>
      <c r="F513" s="95"/>
      <c r="G513" s="96"/>
      <c r="L513" s="33"/>
      <c r="M513" s="33"/>
      <c r="N513" s="33"/>
    </row>
    <row r="514" spans="1:15">
      <c r="A514" s="159"/>
      <c r="B514" s="160"/>
      <c r="C514" s="161"/>
      <c r="D514" s="116"/>
      <c r="E514" s="117"/>
      <c r="F514" s="95"/>
      <c r="G514" s="96"/>
      <c r="L514" s="33"/>
      <c r="M514" s="33"/>
      <c r="N514" s="33"/>
    </row>
    <row r="515" spans="1:15">
      <c r="A515" s="159"/>
      <c r="B515" s="160"/>
      <c r="C515" s="161"/>
      <c r="D515" s="116"/>
      <c r="E515" s="117"/>
      <c r="F515" s="95"/>
      <c r="G515" s="96"/>
      <c r="L515" s="33"/>
      <c r="M515" s="33"/>
      <c r="N515" s="33"/>
    </row>
    <row r="516" spans="1:15">
      <c r="A516" s="159"/>
      <c r="B516" s="160"/>
      <c r="C516" s="161"/>
      <c r="D516" s="116"/>
      <c r="E516" s="117"/>
      <c r="F516" s="95"/>
      <c r="G516" s="96"/>
      <c r="L516" s="33"/>
      <c r="M516" s="33"/>
      <c r="N516" s="33"/>
    </row>
    <row r="517" spans="1:15" ht="12.75" thickBot="1">
      <c r="A517" s="159"/>
      <c r="B517" s="160"/>
      <c r="C517" s="161"/>
      <c r="D517" s="116"/>
      <c r="E517" s="117"/>
      <c r="F517" s="95"/>
      <c r="G517" s="96"/>
      <c r="L517" s="33"/>
      <c r="M517" s="33"/>
      <c r="N517" s="33"/>
    </row>
    <row r="518" spans="1:15">
      <c r="A518" s="64"/>
      <c r="B518" s="65" t="s">
        <v>159</v>
      </c>
      <c r="C518" s="66"/>
      <c r="D518" s="67"/>
      <c r="E518" s="68"/>
      <c r="F518" s="349"/>
      <c r="G518" s="345"/>
    </row>
    <row r="519" spans="1:15" ht="12.75" thickBot="1">
      <c r="A519" s="71"/>
      <c r="B519" s="72" t="s">
        <v>215</v>
      </c>
      <c r="C519" s="73"/>
      <c r="D519" s="74"/>
      <c r="E519" s="75"/>
      <c r="F519" s="353"/>
      <c r="G519" s="342">
        <f>SUM(G452:G504)</f>
        <v>0</v>
      </c>
    </row>
    <row r="520" spans="1:15">
      <c r="A520" s="78"/>
      <c r="B520" s="105"/>
      <c r="C520" s="92"/>
      <c r="D520" s="93"/>
      <c r="E520" s="82"/>
      <c r="F520" s="95"/>
      <c r="G520" s="168"/>
      <c r="K520" s="22">
        <f>(30.53+10.025+22.025+11.525)*2</f>
        <v>148.21</v>
      </c>
      <c r="L520" s="22">
        <f>5.525*8</f>
        <v>44.2</v>
      </c>
      <c r="M520" s="22">
        <f>K520-L520</f>
        <v>104.01</v>
      </c>
    </row>
    <row r="521" spans="1:15">
      <c r="A521" s="206"/>
      <c r="B521" s="207" t="s">
        <v>108</v>
      </c>
      <c r="C521" s="208"/>
      <c r="D521" s="81"/>
      <c r="E521" s="209"/>
      <c r="F521" s="95"/>
      <c r="G521" s="96"/>
      <c r="K521" s="22">
        <f>18.45*2+11.45*2</f>
        <v>59.8</v>
      </c>
      <c r="N521" s="22">
        <f>M520+K521</f>
        <v>163.81</v>
      </c>
      <c r="O521" s="22">
        <f>N521/0.74</f>
        <v>221.36486486486487</v>
      </c>
    </row>
    <row r="522" spans="1:15">
      <c r="A522" s="206"/>
      <c r="B522" s="210" t="s">
        <v>109</v>
      </c>
      <c r="C522" s="208"/>
      <c r="D522" s="81"/>
      <c r="E522" s="209"/>
      <c r="F522" s="95"/>
      <c r="G522" s="96"/>
      <c r="K522" s="22">
        <f>SUM(K520:K521)</f>
        <v>208.01</v>
      </c>
      <c r="L522" s="22">
        <f>K522*5.8</f>
        <v>1206.4579999999999</v>
      </c>
      <c r="M522" s="22">
        <f>L522/18.3</f>
        <v>65.926666666666662</v>
      </c>
    </row>
    <row r="523" spans="1:15">
      <c r="A523" s="196" t="s">
        <v>110</v>
      </c>
      <c r="B523" s="87" t="s">
        <v>41</v>
      </c>
      <c r="C523" s="80"/>
      <c r="D523" s="81"/>
      <c r="E523" s="82"/>
      <c r="F523" s="95"/>
      <c r="G523" s="96"/>
    </row>
    <row r="524" spans="1:15" ht="39" customHeight="1">
      <c r="A524" s="196"/>
      <c r="B524" s="447" t="s">
        <v>149</v>
      </c>
      <c r="C524" s="447"/>
      <c r="D524" s="447"/>
      <c r="E524" s="447"/>
      <c r="F524" s="99"/>
      <c r="G524" s="172"/>
    </row>
    <row r="525" spans="1:15">
      <c r="A525" s="211" t="s">
        <v>154</v>
      </c>
      <c r="B525" s="212" t="s">
        <v>220</v>
      </c>
      <c r="C525" s="213"/>
      <c r="D525" s="214"/>
      <c r="E525" s="215"/>
      <c r="F525" s="216"/>
      <c r="G525" s="217"/>
    </row>
    <row r="526" spans="1:15" ht="12.75">
      <c r="A526" s="218"/>
      <c r="B526" s="219" t="s">
        <v>234</v>
      </c>
      <c r="C526" s="220"/>
      <c r="D526" s="221"/>
      <c r="E526" s="209"/>
      <c r="F526" s="189"/>
      <c r="G526" s="222"/>
    </row>
    <row r="527" spans="1:15" ht="12.75">
      <c r="A527" s="223" t="s">
        <v>161</v>
      </c>
      <c r="B527" s="224" t="s">
        <v>67</v>
      </c>
      <c r="C527" s="225"/>
      <c r="D527" s="226"/>
      <c r="E527" s="176"/>
      <c r="F527" s="177"/>
      <c r="G527" s="178">
        <f t="shared" ref="G527:G532" si="72">(D527*E527)+(D527*F527)</f>
        <v>0</v>
      </c>
    </row>
    <row r="528" spans="1:15" ht="15.75">
      <c r="A528" s="218"/>
      <c r="B528" s="227" t="s">
        <v>357</v>
      </c>
      <c r="C528" s="220" t="s">
        <v>235</v>
      </c>
      <c r="D528" s="221">
        <v>154.38</v>
      </c>
      <c r="E528" s="188"/>
      <c r="F528" s="189"/>
      <c r="G528" s="222">
        <f t="shared" si="72"/>
        <v>0</v>
      </c>
      <c r="I528" s="22">
        <f>51.46*3</f>
        <v>154.38</v>
      </c>
    </row>
    <row r="529" spans="1:14" ht="15.75">
      <c r="A529" s="218"/>
      <c r="B529" s="227" t="s">
        <v>492</v>
      </c>
      <c r="C529" s="220" t="s">
        <v>235</v>
      </c>
      <c r="D529" s="221">
        <v>66.87</v>
      </c>
      <c r="E529" s="188"/>
      <c r="F529" s="189"/>
      <c r="G529" s="222">
        <f t="shared" si="72"/>
        <v>0</v>
      </c>
      <c r="I529" s="22">
        <f>25.8*2</f>
        <v>51.6</v>
      </c>
      <c r="J529" s="22">
        <f>8.5*1.35</f>
        <v>11.475000000000001</v>
      </c>
      <c r="K529" s="22">
        <f>1.65*0.8</f>
        <v>1.32</v>
      </c>
      <c r="L529" s="22">
        <f>1.65*1.5</f>
        <v>2.4749999999999996</v>
      </c>
      <c r="M529" s="22">
        <f>SUM(I529:L529)</f>
        <v>66.86999999999999</v>
      </c>
    </row>
    <row r="530" spans="1:14" ht="15.75">
      <c r="A530" s="218"/>
      <c r="B530" s="227" t="s">
        <v>359</v>
      </c>
      <c r="C530" s="220" t="s">
        <v>235</v>
      </c>
      <c r="D530" s="221">
        <v>21.75</v>
      </c>
      <c r="E530" s="188"/>
      <c r="F530" s="189"/>
      <c r="G530" s="222">
        <f t="shared" si="72"/>
        <v>0</v>
      </c>
      <c r="I530" s="51">
        <f>3*6.2</f>
        <v>18.600000000000001</v>
      </c>
      <c r="J530" s="22">
        <f>2.1*1.5</f>
        <v>3.1500000000000004</v>
      </c>
      <c r="K530" s="51">
        <f>SUM(I530:J530)</f>
        <v>21.75</v>
      </c>
    </row>
    <row r="531" spans="1:14" ht="15.75">
      <c r="A531" s="218"/>
      <c r="B531" s="227" t="s">
        <v>494</v>
      </c>
      <c r="C531" s="220" t="s">
        <v>235</v>
      </c>
      <c r="D531" s="221">
        <v>3.68</v>
      </c>
      <c r="E531" s="188"/>
      <c r="F531" s="189"/>
      <c r="G531" s="222">
        <f t="shared" si="72"/>
        <v>0</v>
      </c>
      <c r="I531" s="51">
        <f>2.45*1.5</f>
        <v>3.6750000000000003</v>
      </c>
      <c r="K531" s="51"/>
    </row>
    <row r="532" spans="1:14" ht="15.75">
      <c r="A532" s="218"/>
      <c r="B532" s="227" t="s">
        <v>360</v>
      </c>
      <c r="C532" s="220" t="s">
        <v>235</v>
      </c>
      <c r="D532" s="221">
        <v>14.3</v>
      </c>
      <c r="E532" s="188"/>
      <c r="F532" s="189"/>
      <c r="G532" s="222">
        <f t="shared" si="72"/>
        <v>0</v>
      </c>
      <c r="I532" s="33">
        <f>2.75*3</f>
        <v>8.25</v>
      </c>
      <c r="J532" s="22">
        <f>0.175*1.5*23</f>
        <v>6.0374999999999988</v>
      </c>
      <c r="K532" s="33">
        <f>SUM(I532:J532)</f>
        <v>14.287499999999998</v>
      </c>
    </row>
    <row r="533" spans="1:14" ht="15.75">
      <c r="A533" s="218"/>
      <c r="B533" s="227" t="s">
        <v>361</v>
      </c>
      <c r="C533" s="220" t="s">
        <v>235</v>
      </c>
      <c r="D533" s="221">
        <v>15.48</v>
      </c>
      <c r="E533" s="188"/>
      <c r="F533" s="189"/>
      <c r="G533" s="222">
        <f t="shared" ref="G533" si="73">(D533*E533)+(D533*F533)</f>
        <v>0</v>
      </c>
      <c r="I533" s="22">
        <f>25.8*0.6</f>
        <v>15.48</v>
      </c>
    </row>
    <row r="534" spans="1:14" ht="15.75">
      <c r="A534" s="218"/>
      <c r="B534" s="227" t="s">
        <v>493</v>
      </c>
      <c r="C534" s="220" t="s">
        <v>235</v>
      </c>
      <c r="D534" s="221">
        <v>4.5</v>
      </c>
      <c r="E534" s="188"/>
      <c r="F534" s="189"/>
      <c r="G534" s="222">
        <f t="shared" ref="G534" si="74">(D534*E534)+(D534*F534)</f>
        <v>0</v>
      </c>
      <c r="I534" s="33"/>
    </row>
    <row r="535" spans="1:14" ht="12.75">
      <c r="A535" s="218"/>
      <c r="B535" s="227"/>
      <c r="C535" s="220"/>
      <c r="D535" s="221"/>
      <c r="E535" s="188"/>
      <c r="F535" s="189"/>
      <c r="G535" s="222"/>
      <c r="I535" s="33"/>
    </row>
    <row r="536" spans="1:14" ht="12.75">
      <c r="A536" s="223" t="s">
        <v>162</v>
      </c>
      <c r="B536" s="224" t="s">
        <v>69</v>
      </c>
      <c r="C536" s="225"/>
      <c r="D536" s="226"/>
      <c r="E536" s="176"/>
      <c r="F536" s="177"/>
      <c r="G536" s="178">
        <f t="shared" ref="G536:G542" si="75">(D536*E536)+(D536*F536)</f>
        <v>0</v>
      </c>
    </row>
    <row r="537" spans="1:14" ht="15.75">
      <c r="A537" s="218"/>
      <c r="B537" s="227" t="s">
        <v>357</v>
      </c>
      <c r="C537" s="220" t="s">
        <v>235</v>
      </c>
      <c r="D537" s="221">
        <v>154.38</v>
      </c>
      <c r="E537" s="188"/>
      <c r="F537" s="189"/>
      <c r="G537" s="222">
        <f t="shared" si="75"/>
        <v>0</v>
      </c>
      <c r="I537" s="22">
        <f>51.46*3</f>
        <v>154.38</v>
      </c>
      <c r="L537" s="22">
        <f>SUM(I537:K537)</f>
        <v>154.38</v>
      </c>
    </row>
    <row r="538" spans="1:14" ht="15.75">
      <c r="A538" s="218"/>
      <c r="B538" s="227" t="s">
        <v>492</v>
      </c>
      <c r="C538" s="220" t="s">
        <v>235</v>
      </c>
      <c r="D538" s="221">
        <v>66.87</v>
      </c>
      <c r="E538" s="188"/>
      <c r="F538" s="189"/>
      <c r="G538" s="222">
        <f t="shared" si="75"/>
        <v>0</v>
      </c>
      <c r="I538" s="22">
        <f>25.8*2</f>
        <v>51.6</v>
      </c>
      <c r="J538" s="22">
        <f>8.5*1.35</f>
        <v>11.475000000000001</v>
      </c>
      <c r="K538" s="22">
        <f>1.65*0.8</f>
        <v>1.32</v>
      </c>
      <c r="L538" s="22">
        <f>1.65*1.5</f>
        <v>2.4749999999999996</v>
      </c>
      <c r="M538" s="22">
        <f>SUM(I538:L538)</f>
        <v>66.86999999999999</v>
      </c>
    </row>
    <row r="539" spans="1:14" ht="15.75">
      <c r="A539" s="218"/>
      <c r="B539" s="227" t="s">
        <v>359</v>
      </c>
      <c r="C539" s="220" t="s">
        <v>235</v>
      </c>
      <c r="D539" s="221">
        <v>12.1</v>
      </c>
      <c r="E539" s="188"/>
      <c r="F539" s="189"/>
      <c r="G539" s="222">
        <f t="shared" si="75"/>
        <v>0</v>
      </c>
      <c r="I539" s="51">
        <f>4.02*3</f>
        <v>12.059999999999999</v>
      </c>
      <c r="N539" s="34"/>
    </row>
    <row r="540" spans="1:14" ht="15.75">
      <c r="A540" s="218"/>
      <c r="B540" s="227" t="s">
        <v>494</v>
      </c>
      <c r="C540" s="220" t="s">
        <v>235</v>
      </c>
      <c r="D540" s="221">
        <v>3.68</v>
      </c>
      <c r="E540" s="188"/>
      <c r="F540" s="189"/>
      <c r="G540" s="222">
        <f t="shared" si="75"/>
        <v>0</v>
      </c>
      <c r="I540" s="51">
        <f>2.45*1.5</f>
        <v>3.6750000000000003</v>
      </c>
      <c r="N540" s="34"/>
    </row>
    <row r="541" spans="1:14" ht="15.75">
      <c r="A541" s="218"/>
      <c r="B541" s="227" t="s">
        <v>360</v>
      </c>
      <c r="C541" s="220" t="s">
        <v>235</v>
      </c>
      <c r="D541" s="221">
        <v>17.91</v>
      </c>
      <c r="E541" s="188"/>
      <c r="F541" s="189"/>
      <c r="G541" s="222">
        <f t="shared" si="75"/>
        <v>0</v>
      </c>
      <c r="I541" s="33">
        <f>4.22*3</f>
        <v>12.66</v>
      </c>
      <c r="J541" s="22">
        <f>1.5*0.175*20</f>
        <v>5.2499999999999991</v>
      </c>
      <c r="K541" s="33">
        <f>SUM(I541:J541)</f>
        <v>17.91</v>
      </c>
      <c r="N541" s="34"/>
    </row>
    <row r="542" spans="1:14" ht="15.75">
      <c r="A542" s="218"/>
      <c r="B542" s="227" t="s">
        <v>493</v>
      </c>
      <c r="C542" s="220" t="s">
        <v>235</v>
      </c>
      <c r="D542" s="221">
        <v>4.5</v>
      </c>
      <c r="E542" s="188"/>
      <c r="F542" s="189"/>
      <c r="G542" s="222">
        <f t="shared" si="75"/>
        <v>0</v>
      </c>
      <c r="I542" s="33"/>
      <c r="K542" s="33"/>
    </row>
    <row r="543" spans="1:14" ht="12.75">
      <c r="A543" s="223" t="s">
        <v>57</v>
      </c>
      <c r="B543" s="224" t="s">
        <v>71</v>
      </c>
      <c r="C543" s="225"/>
      <c r="D543" s="226"/>
      <c r="E543" s="176"/>
      <c r="F543" s="177"/>
      <c r="G543" s="178">
        <f t="shared" ref="G543:G547" si="76">(D543*E543)+(D543*F543)</f>
        <v>0</v>
      </c>
      <c r="I543" s="33"/>
    </row>
    <row r="544" spans="1:14" ht="15.75">
      <c r="A544" s="218"/>
      <c r="B544" s="227" t="s">
        <v>357</v>
      </c>
      <c r="C544" s="220" t="s">
        <v>235</v>
      </c>
      <c r="D544" s="221">
        <v>154.38</v>
      </c>
      <c r="E544" s="188"/>
      <c r="F544" s="189"/>
      <c r="G544" s="222">
        <f t="shared" si="76"/>
        <v>0</v>
      </c>
    </row>
    <row r="545" spans="1:11" ht="15.75">
      <c r="A545" s="218"/>
      <c r="B545" s="227" t="s">
        <v>492</v>
      </c>
      <c r="C545" s="220" t="s">
        <v>235</v>
      </c>
      <c r="D545" s="221">
        <v>66.87</v>
      </c>
      <c r="E545" s="188"/>
      <c r="F545" s="189"/>
      <c r="G545" s="222">
        <f t="shared" si="76"/>
        <v>0</v>
      </c>
    </row>
    <row r="546" spans="1:11" ht="15.75">
      <c r="A546" s="218"/>
      <c r="B546" s="227" t="s">
        <v>494</v>
      </c>
      <c r="C546" s="220" t="s">
        <v>235</v>
      </c>
      <c r="D546" s="221">
        <v>3.68</v>
      </c>
      <c r="E546" s="188"/>
      <c r="F546" s="189"/>
      <c r="G546" s="222">
        <f t="shared" si="76"/>
        <v>0</v>
      </c>
    </row>
    <row r="547" spans="1:11" ht="15.75">
      <c r="A547" s="218"/>
      <c r="B547" s="227" t="s">
        <v>493</v>
      </c>
      <c r="C547" s="220" t="s">
        <v>235</v>
      </c>
      <c r="D547" s="221">
        <v>4.5</v>
      </c>
      <c r="E547" s="188"/>
      <c r="F547" s="189"/>
      <c r="G547" s="222">
        <f t="shared" si="76"/>
        <v>0</v>
      </c>
    </row>
    <row r="548" spans="1:11" ht="12.75">
      <c r="A548" s="218"/>
      <c r="B548" s="227"/>
      <c r="C548" s="220"/>
      <c r="D548" s="221"/>
      <c r="E548" s="188"/>
      <c r="F548" s="189"/>
      <c r="G548" s="222"/>
    </row>
    <row r="549" spans="1:11">
      <c r="A549" s="211" t="s">
        <v>155</v>
      </c>
      <c r="B549" s="212" t="s">
        <v>156</v>
      </c>
      <c r="C549" s="228"/>
      <c r="D549" s="229"/>
      <c r="E549" s="215"/>
      <c r="F549" s="216"/>
      <c r="G549" s="217"/>
    </row>
    <row r="550" spans="1:11" ht="41.25" customHeight="1">
      <c r="A550" s="196"/>
      <c r="B550" s="99" t="s">
        <v>254</v>
      </c>
      <c r="C550" s="99"/>
      <c r="D550" s="99"/>
      <c r="E550" s="99"/>
      <c r="F550" s="99"/>
      <c r="G550" s="172"/>
    </row>
    <row r="551" spans="1:11" ht="24.75" customHeight="1">
      <c r="A551" s="230"/>
      <c r="B551" s="99" t="s">
        <v>256</v>
      </c>
      <c r="C551" s="99"/>
      <c r="D551" s="99"/>
      <c r="E551" s="99"/>
      <c r="F551" s="99"/>
      <c r="G551" s="172"/>
    </row>
    <row r="552" spans="1:11" ht="41.25" customHeight="1">
      <c r="A552" s="230"/>
      <c r="B552" s="99" t="s">
        <v>255</v>
      </c>
      <c r="C552" s="99"/>
      <c r="D552" s="99"/>
      <c r="E552" s="99"/>
      <c r="F552" s="99"/>
      <c r="G552" s="172"/>
    </row>
    <row r="553" spans="1:11" ht="52.5" customHeight="1">
      <c r="A553" s="230"/>
      <c r="B553" s="99" t="s">
        <v>363</v>
      </c>
      <c r="C553" s="99"/>
      <c r="D553" s="99"/>
      <c r="E553" s="99"/>
      <c r="F553" s="99"/>
      <c r="G553" s="172"/>
    </row>
    <row r="554" spans="1:11" ht="12.75">
      <c r="A554" s="223" t="s">
        <v>161</v>
      </c>
      <c r="B554" s="224" t="s">
        <v>67</v>
      </c>
      <c r="C554" s="225"/>
      <c r="D554" s="226"/>
      <c r="E554" s="231"/>
      <c r="F554" s="177"/>
      <c r="G554" s="178"/>
    </row>
    <row r="555" spans="1:11" ht="12.75">
      <c r="A555" s="218" t="s">
        <v>257</v>
      </c>
      <c r="B555" s="232" t="s">
        <v>250</v>
      </c>
      <c r="C555" s="220"/>
      <c r="D555" s="221"/>
      <c r="E555" s="188"/>
      <c r="F555" s="189"/>
      <c r="G555" s="222"/>
      <c r="I555" s="50"/>
      <c r="J555" s="29"/>
      <c r="K555" s="27"/>
    </row>
    <row r="556" spans="1:11" ht="12.75">
      <c r="A556" s="218" t="s">
        <v>176</v>
      </c>
      <c r="B556" s="232" t="s">
        <v>274</v>
      </c>
      <c r="C556" s="220"/>
      <c r="D556" s="221"/>
      <c r="E556" s="188"/>
      <c r="F556" s="189"/>
      <c r="G556" s="222"/>
      <c r="I556" s="59"/>
      <c r="J556" s="29"/>
      <c r="K556" s="27"/>
    </row>
    <row r="557" spans="1:11" ht="15.75">
      <c r="A557" s="218"/>
      <c r="B557" s="227" t="s">
        <v>357</v>
      </c>
      <c r="C557" s="220" t="s">
        <v>235</v>
      </c>
      <c r="D557" s="221">
        <f>D528</f>
        <v>154.38</v>
      </c>
      <c r="E557" s="188"/>
      <c r="F557" s="189"/>
      <c r="G557" s="222">
        <f t="shared" ref="G557:G559" si="77">(D557*E557)+(D557*F557)</f>
        <v>0</v>
      </c>
      <c r="I557" s="50"/>
      <c r="J557" s="29"/>
      <c r="K557" s="27"/>
    </row>
    <row r="558" spans="1:11" ht="15.75">
      <c r="A558" s="218"/>
      <c r="B558" s="227" t="s">
        <v>359</v>
      </c>
      <c r="C558" s="220" t="s">
        <v>235</v>
      </c>
      <c r="D558" s="221">
        <v>21.75</v>
      </c>
      <c r="E558" s="188"/>
      <c r="F558" s="189"/>
      <c r="G558" s="222">
        <f t="shared" si="77"/>
        <v>0</v>
      </c>
      <c r="I558" s="59"/>
      <c r="J558" s="29"/>
      <c r="K558" s="27"/>
    </row>
    <row r="559" spans="1:11" ht="16.5" thickBot="1">
      <c r="A559" s="366"/>
      <c r="B559" s="367" t="s">
        <v>494</v>
      </c>
      <c r="C559" s="368" t="s">
        <v>235</v>
      </c>
      <c r="D559" s="369">
        <v>3.68</v>
      </c>
      <c r="E559" s="370"/>
      <c r="F559" s="371"/>
      <c r="G559" s="372">
        <f t="shared" si="77"/>
        <v>0</v>
      </c>
      <c r="I559" s="59"/>
      <c r="J559" s="29"/>
      <c r="K559" s="27"/>
    </row>
    <row r="560" spans="1:11" ht="12.75">
      <c r="A560" s="218" t="s">
        <v>177</v>
      </c>
      <c r="B560" s="232" t="s">
        <v>305</v>
      </c>
      <c r="C560" s="220"/>
      <c r="D560" s="221"/>
      <c r="E560" s="188"/>
      <c r="F560" s="189"/>
      <c r="G560" s="222"/>
      <c r="I560" s="59"/>
      <c r="J560" s="29"/>
      <c r="K560" s="27"/>
    </row>
    <row r="561" spans="1:18" ht="15.75">
      <c r="A561" s="218"/>
      <c r="B561" s="227" t="s">
        <v>492</v>
      </c>
      <c r="C561" s="220" t="s">
        <v>235</v>
      </c>
      <c r="D561" s="221">
        <v>66.87</v>
      </c>
      <c r="E561" s="188"/>
      <c r="F561" s="189"/>
      <c r="G561" s="222">
        <f t="shared" ref="G561" si="78">(D561*E561)+(D561*F561)</f>
        <v>0</v>
      </c>
      <c r="I561" s="50"/>
      <c r="J561" s="29"/>
      <c r="K561" s="27"/>
      <c r="M561" s="51"/>
      <c r="O561" s="51"/>
      <c r="Q561" s="51"/>
      <c r="R561" s="51"/>
    </row>
    <row r="562" spans="1:18" ht="12.75">
      <c r="A562" s="218" t="s">
        <v>189</v>
      </c>
      <c r="B562" s="232" t="s">
        <v>275</v>
      </c>
      <c r="C562" s="220"/>
      <c r="D562" s="221"/>
      <c r="E562" s="188"/>
      <c r="F562" s="189"/>
      <c r="G562" s="222"/>
    </row>
    <row r="563" spans="1:18" ht="15.75">
      <c r="A563" s="218"/>
      <c r="B563" s="227" t="s">
        <v>360</v>
      </c>
      <c r="C563" s="220" t="s">
        <v>235</v>
      </c>
      <c r="D563" s="221">
        <v>14.3</v>
      </c>
      <c r="E563" s="188"/>
      <c r="F563" s="189"/>
      <c r="G563" s="222">
        <f t="shared" ref="G563:G564" si="79">(D563*E563)+(D563*F563)</f>
        <v>0</v>
      </c>
      <c r="I563" s="22">
        <f>2.1*1.8</f>
        <v>3.7800000000000002</v>
      </c>
      <c r="J563" s="22">
        <f>0.9*0.18*17</f>
        <v>2.754</v>
      </c>
      <c r="K563" s="22">
        <f>SUM(I563:J563)</f>
        <v>6.5340000000000007</v>
      </c>
    </row>
    <row r="564" spans="1:18" ht="15.75">
      <c r="A564" s="218"/>
      <c r="B564" s="227" t="s">
        <v>361</v>
      </c>
      <c r="C564" s="220" t="s">
        <v>235</v>
      </c>
      <c r="D564" s="221">
        <v>15.48</v>
      </c>
      <c r="E564" s="188"/>
      <c r="F564" s="189"/>
      <c r="G564" s="222">
        <f t="shared" si="79"/>
        <v>0</v>
      </c>
    </row>
    <row r="565" spans="1:18" ht="12.75">
      <c r="A565" s="218" t="s">
        <v>190</v>
      </c>
      <c r="B565" s="232" t="s">
        <v>276</v>
      </c>
      <c r="C565" s="220"/>
      <c r="D565" s="221"/>
      <c r="E565" s="188"/>
      <c r="F565" s="189"/>
      <c r="G565" s="222"/>
    </row>
    <row r="566" spans="1:18" ht="15.75">
      <c r="A566" s="218"/>
      <c r="B566" s="227" t="s">
        <v>493</v>
      </c>
      <c r="C566" s="220" t="s">
        <v>235</v>
      </c>
      <c r="D566" s="221">
        <v>4.5</v>
      </c>
      <c r="E566" s="188"/>
      <c r="F566" s="189"/>
      <c r="G566" s="222">
        <f t="shared" ref="G566" si="80">(D566*E566)+(D566*F566)</f>
        <v>0</v>
      </c>
    </row>
    <row r="567" spans="1:18" ht="12.75">
      <c r="A567" s="218" t="s">
        <v>258</v>
      </c>
      <c r="B567" s="232" t="s">
        <v>251</v>
      </c>
      <c r="C567" s="220"/>
      <c r="D567" s="221"/>
      <c r="E567" s="188"/>
      <c r="F567" s="189"/>
      <c r="G567" s="222"/>
      <c r="I567" s="50"/>
      <c r="J567" s="29"/>
      <c r="K567" s="27"/>
      <c r="L567" s="40"/>
      <c r="M567" s="31"/>
      <c r="N567" s="31"/>
      <c r="O567" s="31"/>
      <c r="P567" s="32"/>
    </row>
    <row r="568" spans="1:18" ht="37.5" customHeight="1">
      <c r="A568" s="218"/>
      <c r="B568" s="232" t="s">
        <v>277</v>
      </c>
      <c r="C568" s="220"/>
      <c r="D568" s="221"/>
      <c r="E568" s="188"/>
      <c r="F568" s="189"/>
      <c r="G568" s="222"/>
      <c r="I568" s="60"/>
      <c r="J568" s="47"/>
      <c r="K568" s="61"/>
      <c r="L568" s="48"/>
      <c r="M568" s="49"/>
      <c r="N568" s="49"/>
      <c r="O568" s="49"/>
      <c r="P568" s="49"/>
    </row>
    <row r="569" spans="1:18" ht="15.75">
      <c r="A569" s="218"/>
      <c r="B569" s="227" t="s">
        <v>362</v>
      </c>
      <c r="C569" s="220" t="s">
        <v>235</v>
      </c>
      <c r="D569" s="221">
        <v>41.4</v>
      </c>
      <c r="E569" s="188"/>
      <c r="F569" s="189"/>
      <c r="G569" s="222">
        <f t="shared" ref="G569:G571" si="81">(D569*E569)+(D569*F569)</f>
        <v>0</v>
      </c>
      <c r="I569" s="33">
        <f>1.5*6+1*6</f>
        <v>15</v>
      </c>
      <c r="J569" s="51">
        <f>I569*3</f>
        <v>45</v>
      </c>
      <c r="K569" s="51">
        <f>0.6*2*3</f>
        <v>3.5999999999999996</v>
      </c>
      <c r="L569" s="51">
        <f>J569-K569</f>
        <v>41.4</v>
      </c>
      <c r="M569" s="51"/>
      <c r="N569" s="51"/>
      <c r="P569" s="51"/>
      <c r="Q569" s="51"/>
      <c r="R569" s="51"/>
    </row>
    <row r="570" spans="1:18" ht="15.75">
      <c r="A570" s="218"/>
      <c r="B570" s="227" t="s">
        <v>495</v>
      </c>
      <c r="C570" s="220" t="s">
        <v>235</v>
      </c>
      <c r="D570" s="221">
        <v>8.64</v>
      </c>
      <c r="E570" s="188"/>
      <c r="F570" s="189"/>
      <c r="G570" s="222">
        <f t="shared" si="81"/>
        <v>0</v>
      </c>
      <c r="I570" s="33">
        <f>1.5+1.65*2</f>
        <v>4.8</v>
      </c>
      <c r="J570" s="51">
        <f>I570*1.8</f>
        <v>8.64</v>
      </c>
      <c r="K570" s="51"/>
      <c r="L570" s="51"/>
      <c r="M570" s="51"/>
      <c r="N570" s="51"/>
      <c r="P570" s="51"/>
      <c r="Q570" s="51"/>
      <c r="R570" s="51"/>
    </row>
    <row r="571" spans="1:18" ht="15.75">
      <c r="A571" s="218"/>
      <c r="B571" s="227" t="s">
        <v>496</v>
      </c>
      <c r="C571" s="220" t="s">
        <v>235</v>
      </c>
      <c r="D571" s="221">
        <v>2.1</v>
      </c>
      <c r="E571" s="188"/>
      <c r="F571" s="189"/>
      <c r="G571" s="222">
        <f t="shared" si="81"/>
        <v>0</v>
      </c>
      <c r="I571" s="51">
        <f>1.5*1.4</f>
        <v>2.0999999999999996</v>
      </c>
      <c r="J571" s="51"/>
      <c r="K571" s="51"/>
      <c r="L571" s="51"/>
      <c r="M571" s="51"/>
      <c r="N571" s="51"/>
      <c r="P571" s="51"/>
      <c r="Q571" s="51"/>
      <c r="R571" s="51"/>
    </row>
    <row r="572" spans="1:18" ht="12.75">
      <c r="A572" s="218" t="s">
        <v>259</v>
      </c>
      <c r="B572" s="232" t="s">
        <v>253</v>
      </c>
      <c r="C572" s="220"/>
      <c r="D572" s="221"/>
      <c r="E572" s="188"/>
      <c r="F572" s="189"/>
      <c r="G572" s="222"/>
      <c r="I572" s="55"/>
      <c r="J572" s="29"/>
      <c r="K572" s="27"/>
      <c r="L572" s="27"/>
    </row>
    <row r="573" spans="1:18" ht="12.75">
      <c r="A573" s="218" t="s">
        <v>176</v>
      </c>
      <c r="B573" s="227" t="s">
        <v>279</v>
      </c>
      <c r="C573" s="220" t="s">
        <v>129</v>
      </c>
      <c r="D573" s="221">
        <v>146.71</v>
      </c>
      <c r="E573" s="188"/>
      <c r="F573" s="189"/>
      <c r="G573" s="222">
        <f t="shared" ref="G573" si="82">(D573*E573)+(D573*F573)</f>
        <v>0</v>
      </c>
      <c r="I573" s="22">
        <f>6.2*6+8.35*8+8.5+1.5*2+2.45*2+3*2+19.4+3.45+2.75</f>
        <v>152</v>
      </c>
      <c r="J573" s="22">
        <f>0.55*7+0.48*3</f>
        <v>5.2900000000000009</v>
      </c>
      <c r="K573" s="22">
        <f>I573-J573</f>
        <v>146.71</v>
      </c>
    </row>
    <row r="574" spans="1:18" ht="12.75">
      <c r="A574" s="218"/>
      <c r="B574" s="227"/>
      <c r="C574" s="220"/>
      <c r="D574" s="221"/>
      <c r="E574" s="188"/>
      <c r="F574" s="189"/>
      <c r="G574" s="222"/>
    </row>
    <row r="575" spans="1:18" ht="12.75">
      <c r="A575" s="223" t="s">
        <v>162</v>
      </c>
      <c r="B575" s="224" t="s">
        <v>69</v>
      </c>
      <c r="C575" s="225"/>
      <c r="D575" s="226"/>
      <c r="E575" s="231"/>
      <c r="F575" s="177"/>
      <c r="G575" s="178"/>
    </row>
    <row r="576" spans="1:18" ht="12.75">
      <c r="A576" s="218" t="s">
        <v>257</v>
      </c>
      <c r="B576" s="232" t="s">
        <v>250</v>
      </c>
      <c r="C576" s="220"/>
      <c r="D576" s="221"/>
      <c r="E576" s="188"/>
      <c r="F576" s="189"/>
      <c r="G576" s="222"/>
    </row>
    <row r="577" spans="1:12" ht="12.75">
      <c r="A577" s="218" t="s">
        <v>176</v>
      </c>
      <c r="B577" s="232" t="s">
        <v>274</v>
      </c>
      <c r="C577" s="220"/>
      <c r="D577" s="221"/>
      <c r="E577" s="188"/>
      <c r="F577" s="189"/>
      <c r="G577" s="222"/>
      <c r="I577" s="22">
        <f>12.5+2.95+3.05+3.05+2.95</f>
        <v>24.5</v>
      </c>
    </row>
    <row r="578" spans="1:12" ht="15.75">
      <c r="A578" s="218"/>
      <c r="B578" s="227" t="s">
        <v>357</v>
      </c>
      <c r="C578" s="220" t="s">
        <v>235</v>
      </c>
      <c r="D578" s="221">
        <f>D537</f>
        <v>154.38</v>
      </c>
      <c r="E578" s="188"/>
      <c r="F578" s="189"/>
      <c r="G578" s="222">
        <f t="shared" ref="G578:G580" si="83">(D578*E578)+(D578*F578)</f>
        <v>0</v>
      </c>
      <c r="I578" s="22">
        <v>28.7</v>
      </c>
    </row>
    <row r="579" spans="1:12" ht="12" customHeight="1">
      <c r="A579" s="218"/>
      <c r="B579" s="227" t="s">
        <v>359</v>
      </c>
      <c r="C579" s="220" t="s">
        <v>235</v>
      </c>
      <c r="D579" s="221">
        <v>12.1</v>
      </c>
      <c r="E579" s="188"/>
      <c r="F579" s="189"/>
      <c r="G579" s="222">
        <f t="shared" si="83"/>
        <v>0</v>
      </c>
      <c r="I579" s="22">
        <v>19.7</v>
      </c>
    </row>
    <row r="580" spans="1:12" ht="12" customHeight="1">
      <c r="A580" s="218"/>
      <c r="B580" s="227" t="s">
        <v>494</v>
      </c>
      <c r="C580" s="220" t="s">
        <v>235</v>
      </c>
      <c r="D580" s="221">
        <v>3.68</v>
      </c>
      <c r="E580" s="188"/>
      <c r="F580" s="189"/>
      <c r="G580" s="222">
        <f t="shared" si="83"/>
        <v>0</v>
      </c>
    </row>
    <row r="581" spans="1:12" ht="12.75">
      <c r="A581" s="218" t="s">
        <v>177</v>
      </c>
      <c r="B581" s="232" t="s">
        <v>278</v>
      </c>
      <c r="C581" s="220"/>
      <c r="D581" s="221"/>
      <c r="E581" s="188"/>
      <c r="F581" s="189"/>
      <c r="G581" s="222"/>
    </row>
    <row r="582" spans="1:12" ht="15.75">
      <c r="A582" s="218"/>
      <c r="B582" s="227" t="s">
        <v>492</v>
      </c>
      <c r="C582" s="220" t="s">
        <v>235</v>
      </c>
      <c r="D582" s="221">
        <f>D538</f>
        <v>66.87</v>
      </c>
      <c r="E582" s="188"/>
      <c r="F582" s="189"/>
      <c r="G582" s="222">
        <f t="shared" ref="G582" si="84">(D582*E582)+(D582*F582)</f>
        <v>0</v>
      </c>
      <c r="I582" s="22">
        <f>19.1*1.85</f>
        <v>35.335000000000001</v>
      </c>
      <c r="J582" s="22">
        <f>4.28*3.2</f>
        <v>13.696000000000002</v>
      </c>
      <c r="K582" s="22">
        <f>SUM(I582:J582)</f>
        <v>49.031000000000006</v>
      </c>
    </row>
    <row r="583" spans="1:12" ht="12.75">
      <c r="A583" s="218" t="s">
        <v>189</v>
      </c>
      <c r="B583" s="232" t="s">
        <v>276</v>
      </c>
      <c r="C583" s="220"/>
      <c r="D583" s="221"/>
      <c r="E583" s="188"/>
      <c r="F583" s="189"/>
      <c r="G583" s="222"/>
    </row>
    <row r="584" spans="1:12" ht="15.75">
      <c r="A584" s="218"/>
      <c r="B584" s="227" t="s">
        <v>493</v>
      </c>
      <c r="C584" s="220" t="s">
        <v>235</v>
      </c>
      <c r="D584" s="221">
        <v>4.5</v>
      </c>
      <c r="E584" s="188"/>
      <c r="F584" s="189"/>
      <c r="G584" s="222">
        <f t="shared" ref="G584" si="85">(D584*E584)+(D584*F584)</f>
        <v>0</v>
      </c>
    </row>
    <row r="585" spans="1:12" ht="12.75">
      <c r="A585" s="218" t="s">
        <v>258</v>
      </c>
      <c r="B585" s="232" t="s">
        <v>251</v>
      </c>
      <c r="C585" s="220"/>
      <c r="D585" s="221"/>
      <c r="E585" s="188"/>
      <c r="F585" s="189"/>
      <c r="G585" s="222"/>
    </row>
    <row r="586" spans="1:12" ht="56.25" customHeight="1">
      <c r="A586" s="218"/>
      <c r="B586" s="232" t="s">
        <v>288</v>
      </c>
      <c r="C586" s="220"/>
      <c r="D586" s="221"/>
      <c r="E586" s="188"/>
      <c r="F586" s="189"/>
      <c r="G586" s="222"/>
    </row>
    <row r="587" spans="1:12" ht="15.75">
      <c r="A587" s="218"/>
      <c r="B587" s="227" t="s">
        <v>362</v>
      </c>
      <c r="C587" s="220" t="s">
        <v>235</v>
      </c>
      <c r="D587" s="221">
        <v>41.4</v>
      </c>
      <c r="E587" s="188"/>
      <c r="F587" s="189"/>
      <c r="G587" s="222">
        <f t="shared" ref="G587:G589" si="86">(D587*E587)+(D587*F587)</f>
        <v>0</v>
      </c>
      <c r="I587" s="33">
        <f>1.5*6+1*6</f>
        <v>15</v>
      </c>
      <c r="J587" s="51">
        <f>I587*3</f>
        <v>45</v>
      </c>
      <c r="K587" s="51">
        <f>0.6*2*3</f>
        <v>3.5999999999999996</v>
      </c>
      <c r="L587" s="51">
        <f>J587-K587</f>
        <v>41.4</v>
      </c>
    </row>
    <row r="588" spans="1:12" ht="15.75">
      <c r="A588" s="218"/>
      <c r="B588" s="227" t="s">
        <v>495</v>
      </c>
      <c r="C588" s="220" t="s">
        <v>235</v>
      </c>
      <c r="D588" s="221">
        <v>8.64</v>
      </c>
      <c r="E588" s="188"/>
      <c r="F588" s="189"/>
      <c r="G588" s="222">
        <f t="shared" si="86"/>
        <v>0</v>
      </c>
      <c r="I588" s="33">
        <f>1.5+1.65*2</f>
        <v>4.8</v>
      </c>
      <c r="J588" s="51">
        <f>I588*1.8</f>
        <v>8.64</v>
      </c>
      <c r="K588" s="51"/>
      <c r="L588" s="51"/>
    </row>
    <row r="589" spans="1:12" ht="15.75">
      <c r="A589" s="218"/>
      <c r="B589" s="227" t="s">
        <v>496</v>
      </c>
      <c r="C589" s="220" t="s">
        <v>235</v>
      </c>
      <c r="D589" s="221">
        <v>2.1</v>
      </c>
      <c r="E589" s="188"/>
      <c r="F589" s="189"/>
      <c r="G589" s="222">
        <f t="shared" si="86"/>
        <v>0</v>
      </c>
      <c r="I589" s="51">
        <f>1.5*1.4</f>
        <v>2.0999999999999996</v>
      </c>
      <c r="J589" s="51"/>
      <c r="K589" s="51"/>
      <c r="L589" s="51"/>
    </row>
    <row r="590" spans="1:12" ht="12.75">
      <c r="A590" s="218"/>
      <c r="B590" s="227"/>
      <c r="C590" s="220"/>
      <c r="D590" s="221"/>
      <c r="E590" s="188"/>
      <c r="F590" s="189"/>
      <c r="G590" s="222"/>
      <c r="J590" s="51"/>
    </row>
    <row r="591" spans="1:12" ht="12.75">
      <c r="A591" s="218" t="s">
        <v>259</v>
      </c>
      <c r="B591" s="232" t="s">
        <v>252</v>
      </c>
      <c r="C591" s="220"/>
      <c r="D591" s="221"/>
      <c r="E591" s="188"/>
      <c r="F591" s="189"/>
      <c r="G591" s="222"/>
    </row>
    <row r="592" spans="1:12" ht="12.75">
      <c r="A592" s="218" t="s">
        <v>176</v>
      </c>
      <c r="B592" s="232" t="s">
        <v>275</v>
      </c>
      <c r="C592" s="220"/>
      <c r="D592" s="221"/>
      <c r="E592" s="188"/>
      <c r="F592" s="189"/>
      <c r="G592" s="222"/>
    </row>
    <row r="593" spans="1:12" ht="15.75">
      <c r="A593" s="218"/>
      <c r="B593" s="227" t="s">
        <v>287</v>
      </c>
      <c r="C593" s="220" t="s">
        <v>235</v>
      </c>
      <c r="D593" s="221">
        <f>D541</f>
        <v>17.91</v>
      </c>
      <c r="E593" s="188"/>
      <c r="F593" s="189"/>
      <c r="G593" s="222">
        <f t="shared" ref="G593" si="87">(D593*E593)+(D593*F593)</f>
        <v>0</v>
      </c>
    </row>
    <row r="594" spans="1:12" ht="12.75">
      <c r="A594" s="218" t="s">
        <v>260</v>
      </c>
      <c r="B594" s="232" t="s">
        <v>253</v>
      </c>
      <c r="C594" s="220"/>
      <c r="D594" s="221"/>
      <c r="E594" s="188"/>
      <c r="F594" s="189"/>
      <c r="G594" s="222"/>
    </row>
    <row r="595" spans="1:12" ht="12.75">
      <c r="A595" s="218" t="s">
        <v>176</v>
      </c>
      <c r="B595" s="227" t="s">
        <v>279</v>
      </c>
      <c r="C595" s="220" t="s">
        <v>129</v>
      </c>
      <c r="D595" s="221">
        <v>150.03</v>
      </c>
      <c r="E595" s="188"/>
      <c r="F595" s="189"/>
      <c r="G595" s="222">
        <f t="shared" ref="G595" si="88">(D595*E595)+(D595*F595)</f>
        <v>0</v>
      </c>
      <c r="I595" s="22">
        <f>6.2*6+8.35*8+8.5+1.5*2+2.45*2+3*2+19.4+3.45+2.75+3.8</f>
        <v>155.80000000000001</v>
      </c>
      <c r="J595" s="22">
        <f>0.55*7+0.48*4</f>
        <v>5.7700000000000005</v>
      </c>
      <c r="K595" s="22">
        <f>I595-J595</f>
        <v>150.03</v>
      </c>
    </row>
    <row r="596" spans="1:12" ht="12.75">
      <c r="A596" s="223" t="s">
        <v>57</v>
      </c>
      <c r="B596" s="224" t="s">
        <v>71</v>
      </c>
      <c r="C596" s="225"/>
      <c r="D596" s="226"/>
      <c r="E596" s="231"/>
      <c r="F596" s="177"/>
      <c r="G596" s="178"/>
    </row>
    <row r="597" spans="1:12" ht="12.75">
      <c r="A597" s="218" t="s">
        <v>257</v>
      </c>
      <c r="B597" s="232" t="s">
        <v>250</v>
      </c>
      <c r="C597" s="220"/>
      <c r="D597" s="221"/>
      <c r="E597" s="188"/>
      <c r="F597" s="189"/>
      <c r="G597" s="222"/>
    </row>
    <row r="598" spans="1:12" ht="12.75">
      <c r="A598" s="218" t="s">
        <v>176</v>
      </c>
      <c r="B598" s="232" t="s">
        <v>274</v>
      </c>
      <c r="C598" s="220"/>
      <c r="D598" s="221"/>
      <c r="E598" s="188"/>
      <c r="F598" s="189"/>
      <c r="G598" s="222"/>
    </row>
    <row r="599" spans="1:12" ht="15.75">
      <c r="A599" s="218"/>
      <c r="B599" s="227" t="s">
        <v>357</v>
      </c>
      <c r="C599" s="220" t="s">
        <v>235</v>
      </c>
      <c r="D599" s="221">
        <f>D544</f>
        <v>154.38</v>
      </c>
      <c r="E599" s="188"/>
      <c r="F599" s="189"/>
      <c r="G599" s="222">
        <f t="shared" ref="G599:G600" si="89">(D599*E599)+(D599*F599)</f>
        <v>0</v>
      </c>
    </row>
    <row r="600" spans="1:12" ht="15.75">
      <c r="A600" s="218"/>
      <c r="B600" s="227" t="s">
        <v>494</v>
      </c>
      <c r="C600" s="220" t="s">
        <v>235</v>
      </c>
      <c r="D600" s="221">
        <f>D546</f>
        <v>3.68</v>
      </c>
      <c r="E600" s="188"/>
      <c r="F600" s="189"/>
      <c r="G600" s="222">
        <f t="shared" si="89"/>
        <v>0</v>
      </c>
    </row>
    <row r="601" spans="1:12" ht="12.75">
      <c r="A601" s="218" t="s">
        <v>177</v>
      </c>
      <c r="B601" s="232" t="s">
        <v>278</v>
      </c>
      <c r="C601" s="220"/>
      <c r="D601" s="221"/>
      <c r="E601" s="188"/>
      <c r="F601" s="189"/>
      <c r="G601" s="222"/>
    </row>
    <row r="602" spans="1:12" ht="15.75">
      <c r="A602" s="218"/>
      <c r="B602" s="227" t="s">
        <v>492</v>
      </c>
      <c r="C602" s="220" t="s">
        <v>235</v>
      </c>
      <c r="D602" s="221">
        <v>66.87</v>
      </c>
      <c r="E602" s="188"/>
      <c r="F602" s="189"/>
      <c r="G602" s="222">
        <f t="shared" ref="G602" si="90">(D602*E602)+(D602*F602)</f>
        <v>0</v>
      </c>
    </row>
    <row r="603" spans="1:12" ht="12.75">
      <c r="A603" s="218" t="s">
        <v>189</v>
      </c>
      <c r="B603" s="232" t="s">
        <v>276</v>
      </c>
      <c r="C603" s="220"/>
      <c r="D603" s="221"/>
      <c r="E603" s="188"/>
      <c r="F603" s="189"/>
      <c r="G603" s="222"/>
    </row>
    <row r="604" spans="1:12" ht="16.5" thickBot="1">
      <c r="A604" s="366"/>
      <c r="B604" s="367" t="s">
        <v>493</v>
      </c>
      <c r="C604" s="368" t="s">
        <v>235</v>
      </c>
      <c r="D604" s="369">
        <v>4.5</v>
      </c>
      <c r="E604" s="370"/>
      <c r="F604" s="371"/>
      <c r="G604" s="372">
        <f t="shared" ref="G604" si="91">(D604*E604)+(D604*F604)</f>
        <v>0</v>
      </c>
    </row>
    <row r="605" spans="1:12" ht="12.75">
      <c r="A605" s="218"/>
      <c r="B605" s="227"/>
      <c r="C605" s="220"/>
      <c r="D605" s="221"/>
      <c r="E605" s="188"/>
      <c r="F605" s="189"/>
      <c r="G605" s="222"/>
    </row>
    <row r="606" spans="1:12" ht="12.75">
      <c r="A606" s="218" t="s">
        <v>258</v>
      </c>
      <c r="B606" s="232" t="s">
        <v>251</v>
      </c>
      <c r="C606" s="220"/>
      <c r="D606" s="221"/>
      <c r="E606" s="188"/>
      <c r="F606" s="189"/>
      <c r="G606" s="222"/>
    </row>
    <row r="607" spans="1:12" ht="51">
      <c r="A607" s="218"/>
      <c r="B607" s="232" t="s">
        <v>288</v>
      </c>
      <c r="C607" s="220"/>
      <c r="D607" s="221"/>
      <c r="E607" s="188"/>
      <c r="F607" s="189"/>
      <c r="G607" s="222"/>
    </row>
    <row r="608" spans="1:12" ht="15.75">
      <c r="A608" s="218"/>
      <c r="B608" s="227" t="s">
        <v>362</v>
      </c>
      <c r="C608" s="220" t="s">
        <v>235</v>
      </c>
      <c r="D608" s="221">
        <v>41.4</v>
      </c>
      <c r="E608" s="188"/>
      <c r="F608" s="189"/>
      <c r="G608" s="222">
        <f t="shared" ref="G608:G610" si="92">(D608*E608)+(D608*F608)</f>
        <v>0</v>
      </c>
      <c r="I608" s="33">
        <f>1.5*6+1*6</f>
        <v>15</v>
      </c>
      <c r="J608" s="51">
        <f>I608*3</f>
        <v>45</v>
      </c>
      <c r="K608" s="51">
        <f>0.6*2*3</f>
        <v>3.5999999999999996</v>
      </c>
      <c r="L608" s="51">
        <f>J608-K608</f>
        <v>41.4</v>
      </c>
    </row>
    <row r="609" spans="1:13" ht="15.75">
      <c r="A609" s="218"/>
      <c r="B609" s="227" t="s">
        <v>495</v>
      </c>
      <c r="C609" s="220" t="s">
        <v>235</v>
      </c>
      <c r="D609" s="221">
        <v>8.64</v>
      </c>
      <c r="E609" s="188"/>
      <c r="F609" s="189"/>
      <c r="G609" s="222">
        <f t="shared" si="92"/>
        <v>0</v>
      </c>
      <c r="I609" s="33">
        <f>1.5+1.65*2</f>
        <v>4.8</v>
      </c>
      <c r="J609" s="51">
        <f>I609*1.8</f>
        <v>8.64</v>
      </c>
      <c r="K609" s="51"/>
      <c r="L609" s="51"/>
    </row>
    <row r="610" spans="1:13" ht="15.75">
      <c r="A610" s="218"/>
      <c r="B610" s="227" t="s">
        <v>496</v>
      </c>
      <c r="C610" s="220" t="s">
        <v>235</v>
      </c>
      <c r="D610" s="221">
        <v>2.1</v>
      </c>
      <c r="E610" s="188"/>
      <c r="F610" s="189"/>
      <c r="G610" s="222">
        <f t="shared" si="92"/>
        <v>0</v>
      </c>
      <c r="I610" s="51">
        <f>1.5*1.4</f>
        <v>2.0999999999999996</v>
      </c>
      <c r="J610" s="51"/>
      <c r="K610" s="51"/>
      <c r="L610" s="51"/>
    </row>
    <row r="611" spans="1:13" ht="12.75">
      <c r="A611" s="218" t="s">
        <v>259</v>
      </c>
      <c r="B611" s="232" t="s">
        <v>253</v>
      </c>
      <c r="C611" s="220"/>
      <c r="D611" s="221"/>
      <c r="E611" s="188"/>
      <c r="F611" s="189"/>
      <c r="G611" s="222"/>
    </row>
    <row r="612" spans="1:13" ht="12.75">
      <c r="A612" s="218" t="s">
        <v>176</v>
      </c>
      <c r="B612" s="227" t="s">
        <v>279</v>
      </c>
      <c r="C612" s="220" t="s">
        <v>129</v>
      </c>
      <c r="D612" s="221">
        <v>135.68</v>
      </c>
      <c r="E612" s="188"/>
      <c r="F612" s="189"/>
      <c r="G612" s="222">
        <f t="shared" ref="G612" si="93">(D612*E612)+(D612*F612)</f>
        <v>0</v>
      </c>
      <c r="I612" s="22">
        <f>6.2*6+8.35*7+8.5+1.5*2+2.45*2+19.4+3.45+2.75+3.8</f>
        <v>141.45000000000002</v>
      </c>
      <c r="J612" s="22">
        <f>0.55*7+0.48*4</f>
        <v>5.7700000000000005</v>
      </c>
      <c r="K612" s="22">
        <f>I612-J612</f>
        <v>135.68</v>
      </c>
    </row>
    <row r="613" spans="1:13" ht="12.75">
      <c r="A613" s="218"/>
      <c r="B613" s="227"/>
      <c r="C613" s="220"/>
      <c r="D613" s="221"/>
      <c r="E613" s="188"/>
      <c r="F613" s="189"/>
      <c r="G613" s="222"/>
    </row>
    <row r="614" spans="1:13">
      <c r="A614" s="233" t="s">
        <v>180</v>
      </c>
      <c r="B614" s="234" t="s">
        <v>221</v>
      </c>
      <c r="C614" s="151"/>
      <c r="D614" s="142"/>
      <c r="E614" s="143"/>
      <c r="F614" s="235"/>
      <c r="G614" s="236"/>
    </row>
    <row r="615" spans="1:13" ht="36">
      <c r="A615" s="237"/>
      <c r="B615" s="238" t="s">
        <v>223</v>
      </c>
      <c r="C615" s="239"/>
      <c r="D615" s="93"/>
      <c r="E615" s="188"/>
      <c r="F615" s="189"/>
      <c r="G615" s="222"/>
    </row>
    <row r="616" spans="1:13" ht="13.5">
      <c r="A616" s="237"/>
      <c r="B616" s="238" t="s">
        <v>222</v>
      </c>
      <c r="C616" s="186" t="s">
        <v>152</v>
      </c>
      <c r="D616" s="93">
        <f>D584+D566+D604</f>
        <v>13.5</v>
      </c>
      <c r="E616" s="188"/>
      <c r="F616" s="189"/>
      <c r="G616" s="222">
        <f>(D616*E616)+(D616*F616)</f>
        <v>0</v>
      </c>
      <c r="I616" s="51">
        <f>D616/2.5</f>
        <v>5.4</v>
      </c>
      <c r="J616" s="51">
        <f>I616*800</f>
        <v>4320</v>
      </c>
      <c r="K616" s="51">
        <f>J616/D616</f>
        <v>320</v>
      </c>
    </row>
    <row r="617" spans="1:13" ht="13.5">
      <c r="A617" s="237"/>
      <c r="B617" s="238" t="s">
        <v>358</v>
      </c>
      <c r="C617" s="186" t="s">
        <v>152</v>
      </c>
      <c r="D617" s="93">
        <f>D561+D582+D602</f>
        <v>200.61</v>
      </c>
      <c r="E617" s="188"/>
      <c r="F617" s="189"/>
      <c r="G617" s="222">
        <f>(D617*E617)+(D617*F617)</f>
        <v>0</v>
      </c>
      <c r="I617" s="33"/>
      <c r="L617" s="33"/>
    </row>
    <row r="618" spans="1:13">
      <c r="A618" s="237"/>
      <c r="B618" s="238"/>
      <c r="C618" s="186"/>
      <c r="D618" s="93"/>
      <c r="E618" s="188"/>
      <c r="F618" s="189"/>
      <c r="G618" s="222"/>
    </row>
    <row r="619" spans="1:13">
      <c r="A619" s="233" t="s">
        <v>181</v>
      </c>
      <c r="B619" s="234" t="s">
        <v>236</v>
      </c>
      <c r="C619" s="151"/>
      <c r="D619" s="142"/>
      <c r="E619" s="143"/>
      <c r="F619" s="235"/>
      <c r="G619" s="236"/>
    </row>
    <row r="620" spans="1:13" ht="27" customHeight="1">
      <c r="A620" s="240" t="s">
        <v>176</v>
      </c>
      <c r="B620" s="238" t="s">
        <v>266</v>
      </c>
      <c r="C620" s="186" t="s">
        <v>15</v>
      </c>
      <c r="D620" s="93">
        <v>1</v>
      </c>
      <c r="E620" s="188"/>
      <c r="F620" s="189"/>
      <c r="G620" s="222">
        <f>(D620*E620)+(D620*F620)</f>
        <v>0</v>
      </c>
      <c r="J620" s="51" t="e">
        <f>D557+D561+#REF!+#REF!+D563+#REF!+D569+#REF!+D578+D579+#REF!+D582+D584+D587+#REF!+D593+D599+D600+D601+D603+#REF!+D608+D609+#REF!+#REF!+#REF!+#REF!+#REF!+#REF!+#REF!+#REF!</f>
        <v>#REF!</v>
      </c>
      <c r="K620" s="51" t="e">
        <f>J620/3</f>
        <v>#REF!</v>
      </c>
      <c r="L620" s="51" t="e">
        <f>K620*235</f>
        <v>#REF!</v>
      </c>
      <c r="M620" s="51" t="e">
        <f>L620*2</f>
        <v>#REF!</v>
      </c>
    </row>
    <row r="621" spans="1:13">
      <c r="A621" s="237"/>
      <c r="B621" s="238"/>
      <c r="C621" s="186"/>
      <c r="D621" s="93"/>
      <c r="E621" s="188"/>
      <c r="F621" s="189"/>
      <c r="G621" s="222"/>
    </row>
    <row r="622" spans="1:13">
      <c r="A622" s="237"/>
      <c r="B622" s="238"/>
      <c r="C622" s="186"/>
      <c r="D622" s="93"/>
      <c r="E622" s="188"/>
      <c r="F622" s="189"/>
      <c r="G622" s="222"/>
    </row>
    <row r="623" spans="1:13">
      <c r="A623" s="237"/>
      <c r="B623" s="238"/>
      <c r="C623" s="186"/>
      <c r="D623" s="93"/>
      <c r="E623" s="188"/>
      <c r="F623" s="189"/>
      <c r="G623" s="222"/>
    </row>
    <row r="624" spans="1:13">
      <c r="A624" s="237"/>
      <c r="B624" s="238"/>
      <c r="C624" s="186"/>
      <c r="D624" s="93"/>
      <c r="E624" s="188"/>
      <c r="F624" s="189"/>
      <c r="G624" s="222"/>
    </row>
    <row r="625" spans="1:7">
      <c r="A625" s="237"/>
      <c r="B625" s="238"/>
      <c r="C625" s="186"/>
      <c r="D625" s="93"/>
      <c r="E625" s="188"/>
      <c r="F625" s="189"/>
      <c r="G625" s="222"/>
    </row>
    <row r="626" spans="1:7">
      <c r="A626" s="237"/>
      <c r="B626" s="238"/>
      <c r="C626" s="186"/>
      <c r="D626" s="93"/>
      <c r="E626" s="188"/>
      <c r="F626" s="189"/>
      <c r="G626" s="222"/>
    </row>
    <row r="627" spans="1:7">
      <c r="A627" s="237"/>
      <c r="B627" s="238"/>
      <c r="C627" s="186"/>
      <c r="D627" s="93"/>
      <c r="E627" s="188"/>
      <c r="F627" s="189"/>
      <c r="G627" s="222"/>
    </row>
    <row r="628" spans="1:7">
      <c r="A628" s="237"/>
      <c r="B628" s="238"/>
      <c r="C628" s="186"/>
      <c r="D628" s="93"/>
      <c r="E628" s="188"/>
      <c r="F628" s="189"/>
      <c r="G628" s="222"/>
    </row>
    <row r="629" spans="1:7">
      <c r="A629" s="237"/>
      <c r="B629" s="238"/>
      <c r="C629" s="186"/>
      <c r="D629" s="93"/>
      <c r="E629" s="188"/>
      <c r="F629" s="189"/>
      <c r="G629" s="222"/>
    </row>
    <row r="630" spans="1:7">
      <c r="A630" s="237"/>
      <c r="B630" s="238"/>
      <c r="C630" s="186"/>
      <c r="D630" s="93"/>
      <c r="E630" s="188"/>
      <c r="F630" s="189"/>
      <c r="G630" s="222"/>
    </row>
    <row r="631" spans="1:7">
      <c r="A631" s="237"/>
      <c r="B631" s="238"/>
      <c r="C631" s="186"/>
      <c r="D631" s="93"/>
      <c r="E631" s="188"/>
      <c r="F631" s="189"/>
      <c r="G631" s="222"/>
    </row>
    <row r="632" spans="1:7">
      <c r="A632" s="237"/>
      <c r="B632" s="238"/>
      <c r="C632" s="186"/>
      <c r="D632" s="93"/>
      <c r="E632" s="188"/>
      <c r="F632" s="189"/>
      <c r="G632" s="222"/>
    </row>
    <row r="633" spans="1:7">
      <c r="A633" s="237"/>
      <c r="B633" s="238"/>
      <c r="C633" s="186"/>
      <c r="D633" s="93"/>
      <c r="E633" s="188"/>
      <c r="F633" s="189"/>
      <c r="G633" s="222"/>
    </row>
    <row r="634" spans="1:7">
      <c r="A634" s="237"/>
      <c r="B634" s="238"/>
      <c r="C634" s="186"/>
      <c r="D634" s="93"/>
      <c r="E634" s="188"/>
      <c r="F634" s="189"/>
      <c r="G634" s="222"/>
    </row>
    <row r="635" spans="1:7">
      <c r="A635" s="237"/>
      <c r="B635" s="238"/>
      <c r="C635" s="186"/>
      <c r="D635" s="93"/>
      <c r="E635" s="188"/>
      <c r="F635" s="189"/>
      <c r="G635" s="222"/>
    </row>
    <row r="636" spans="1:7">
      <c r="A636" s="237"/>
      <c r="B636" s="238"/>
      <c r="C636" s="186"/>
      <c r="D636" s="93"/>
      <c r="E636" s="188"/>
      <c r="F636" s="189"/>
      <c r="G636" s="222"/>
    </row>
    <row r="637" spans="1:7">
      <c r="A637" s="237"/>
      <c r="B637" s="238"/>
      <c r="C637" s="186"/>
      <c r="D637" s="93"/>
      <c r="E637" s="188"/>
      <c r="F637" s="189"/>
      <c r="G637" s="222"/>
    </row>
    <row r="638" spans="1:7">
      <c r="A638" s="237"/>
      <c r="B638" s="238"/>
      <c r="C638" s="186"/>
      <c r="D638" s="93"/>
      <c r="E638" s="188"/>
      <c r="F638" s="189"/>
      <c r="G638" s="222"/>
    </row>
    <row r="639" spans="1:7">
      <c r="A639" s="237"/>
      <c r="B639" s="238"/>
      <c r="C639" s="186"/>
      <c r="D639" s="93"/>
      <c r="E639" s="188"/>
      <c r="F639" s="189"/>
      <c r="G639" s="222"/>
    </row>
    <row r="640" spans="1:7">
      <c r="A640" s="237"/>
      <c r="B640" s="238"/>
      <c r="C640" s="186"/>
      <c r="D640" s="93"/>
      <c r="E640" s="188"/>
      <c r="F640" s="189"/>
      <c r="G640" s="222"/>
    </row>
    <row r="641" spans="1:7">
      <c r="A641" s="237"/>
      <c r="B641" s="238"/>
      <c r="C641" s="186"/>
      <c r="D641" s="93"/>
      <c r="E641" s="188"/>
      <c r="F641" s="189"/>
      <c r="G641" s="222"/>
    </row>
    <row r="642" spans="1:7">
      <c r="A642" s="237"/>
      <c r="B642" s="238"/>
      <c r="C642" s="186"/>
      <c r="D642" s="93"/>
      <c r="E642" s="188"/>
      <c r="F642" s="189"/>
      <c r="G642" s="222"/>
    </row>
    <row r="643" spans="1:7">
      <c r="A643" s="237"/>
      <c r="B643" s="238"/>
      <c r="C643" s="186"/>
      <c r="D643" s="93"/>
      <c r="E643" s="188"/>
      <c r="F643" s="189"/>
      <c r="G643" s="222"/>
    </row>
    <row r="644" spans="1:7">
      <c r="A644" s="237"/>
      <c r="B644" s="238"/>
      <c r="C644" s="186"/>
      <c r="D644" s="93"/>
      <c r="E644" s="188"/>
      <c r="F644" s="189"/>
      <c r="G644" s="222"/>
    </row>
    <row r="645" spans="1:7">
      <c r="A645" s="237"/>
      <c r="B645" s="238"/>
      <c r="C645" s="186"/>
      <c r="D645" s="93"/>
      <c r="E645" s="188"/>
      <c r="F645" s="189"/>
      <c r="G645" s="222"/>
    </row>
    <row r="646" spans="1:7">
      <c r="A646" s="237"/>
      <c r="B646" s="238"/>
      <c r="C646" s="186"/>
      <c r="D646" s="93"/>
      <c r="E646" s="188"/>
      <c r="F646" s="189"/>
      <c r="G646" s="222"/>
    </row>
    <row r="647" spans="1:7">
      <c r="A647" s="237"/>
      <c r="B647" s="238"/>
      <c r="C647" s="186"/>
      <c r="D647" s="93"/>
      <c r="E647" s="188"/>
      <c r="F647" s="189"/>
      <c r="G647" s="222"/>
    </row>
    <row r="648" spans="1:7">
      <c r="A648" s="237"/>
      <c r="B648" s="238"/>
      <c r="C648" s="186"/>
      <c r="D648" s="93"/>
      <c r="E648" s="188"/>
      <c r="F648" s="189"/>
      <c r="G648" s="222"/>
    </row>
    <row r="649" spans="1:7">
      <c r="A649" s="237"/>
      <c r="B649" s="238"/>
      <c r="C649" s="186"/>
      <c r="D649" s="93"/>
      <c r="E649" s="188"/>
      <c r="F649" s="189"/>
      <c r="G649" s="222"/>
    </row>
    <row r="650" spans="1:7">
      <c r="A650" s="237"/>
      <c r="B650" s="238"/>
      <c r="C650" s="186"/>
      <c r="D650" s="93"/>
      <c r="E650" s="188"/>
      <c r="F650" s="189"/>
      <c r="G650" s="222"/>
    </row>
    <row r="651" spans="1:7">
      <c r="A651" s="237"/>
      <c r="B651" s="238"/>
      <c r="C651" s="186"/>
      <c r="D651" s="93"/>
      <c r="E651" s="188"/>
      <c r="F651" s="189"/>
      <c r="G651" s="222"/>
    </row>
    <row r="652" spans="1:7" ht="12.75" thickBot="1">
      <c r="A652" s="237"/>
      <c r="B652" s="238"/>
      <c r="C652" s="186"/>
      <c r="D652" s="93"/>
      <c r="E652" s="188"/>
      <c r="F652" s="189"/>
      <c r="G652" s="222"/>
    </row>
    <row r="653" spans="1:7">
      <c r="A653" s="64"/>
      <c r="B653" s="65" t="s">
        <v>157</v>
      </c>
      <c r="C653" s="66"/>
      <c r="D653" s="67"/>
      <c r="E653" s="68"/>
      <c r="F653" s="349"/>
      <c r="G653" s="70"/>
    </row>
    <row r="654" spans="1:7" ht="12.75" thickBot="1">
      <c r="A654" s="71"/>
      <c r="B654" s="72" t="s">
        <v>158</v>
      </c>
      <c r="C654" s="73"/>
      <c r="D654" s="74"/>
      <c r="E654" s="75"/>
      <c r="F654" s="353"/>
      <c r="G654" s="77">
        <f>SUM(G527:G653)</f>
        <v>0</v>
      </c>
    </row>
    <row r="655" spans="1:7">
      <c r="A655" s="78"/>
      <c r="B655" s="105"/>
      <c r="C655" s="92"/>
      <c r="D655" s="93"/>
      <c r="E655" s="82"/>
      <c r="F655" s="95"/>
      <c r="G655" s="168"/>
    </row>
    <row r="656" spans="1:7">
      <c r="A656" s="78"/>
      <c r="B656" s="79" t="s">
        <v>203</v>
      </c>
      <c r="C656" s="92"/>
      <c r="D656" s="93"/>
      <c r="E656" s="82"/>
      <c r="F656" s="95"/>
      <c r="G656" s="96"/>
    </row>
    <row r="657" spans="1:12">
      <c r="A657" s="78"/>
      <c r="B657" s="85" t="s">
        <v>111</v>
      </c>
      <c r="C657" s="92"/>
      <c r="D657" s="93"/>
      <c r="E657" s="82"/>
      <c r="F657" s="95"/>
      <c r="G657" s="96"/>
    </row>
    <row r="658" spans="1:12">
      <c r="A658" s="196" t="s">
        <v>182</v>
      </c>
      <c r="B658" s="87" t="s">
        <v>41</v>
      </c>
      <c r="C658" s="92"/>
      <c r="D658" s="93"/>
      <c r="E658" s="82"/>
      <c r="F658" s="95"/>
      <c r="G658" s="96"/>
    </row>
    <row r="659" spans="1:12" ht="40.5" customHeight="1">
      <c r="A659" s="78"/>
      <c r="B659" s="99" t="s">
        <v>297</v>
      </c>
      <c r="C659" s="197"/>
      <c r="D659" s="197"/>
      <c r="E659" s="197"/>
      <c r="F659" s="197"/>
      <c r="G659" s="198"/>
    </row>
    <row r="660" spans="1:12" ht="50.25" customHeight="1">
      <c r="A660" s="78"/>
      <c r="B660" s="99" t="s">
        <v>296</v>
      </c>
      <c r="C660" s="197"/>
      <c r="D660" s="197"/>
      <c r="E660" s="197"/>
      <c r="F660" s="197"/>
      <c r="G660" s="198"/>
    </row>
    <row r="661" spans="1:12" ht="24.75" customHeight="1">
      <c r="A661" s="78"/>
      <c r="B661" s="99" t="s">
        <v>295</v>
      </c>
      <c r="C661" s="197"/>
      <c r="D661" s="197"/>
      <c r="E661" s="197"/>
      <c r="F661" s="197"/>
      <c r="G661" s="198"/>
    </row>
    <row r="662" spans="1:12" ht="39.75" customHeight="1">
      <c r="A662" s="78"/>
      <c r="B662" s="99" t="s">
        <v>294</v>
      </c>
      <c r="C662" s="197"/>
      <c r="D662" s="197"/>
      <c r="E662" s="197"/>
      <c r="F662" s="197"/>
      <c r="G662" s="198"/>
    </row>
    <row r="663" spans="1:12" ht="13.5" customHeight="1">
      <c r="A663" s="78"/>
      <c r="B663" s="441" t="s">
        <v>233</v>
      </c>
      <c r="C663" s="442"/>
      <c r="D663" s="442"/>
      <c r="E663" s="442"/>
      <c r="F663" s="442"/>
      <c r="G663" s="443"/>
    </row>
    <row r="664" spans="1:12">
      <c r="A664" s="241" t="s">
        <v>161</v>
      </c>
      <c r="B664" s="242" t="s">
        <v>113</v>
      </c>
      <c r="C664" s="243"/>
      <c r="D664" s="244"/>
      <c r="E664" s="231"/>
      <c r="F664" s="177"/>
      <c r="G664" s="178"/>
    </row>
    <row r="665" spans="1:12">
      <c r="A665" s="245"/>
      <c r="B665" s="246" t="s">
        <v>435</v>
      </c>
      <c r="C665" s="247"/>
      <c r="D665" s="248"/>
      <c r="E665" s="249"/>
      <c r="F665" s="250"/>
      <c r="G665" s="251"/>
    </row>
    <row r="666" spans="1:12" s="52" customFormat="1" ht="40.5" customHeight="1">
      <c r="A666" s="100" t="s">
        <v>176</v>
      </c>
      <c r="B666" s="252" t="s">
        <v>484</v>
      </c>
      <c r="C666" s="253" t="s">
        <v>114</v>
      </c>
      <c r="D666" s="93">
        <v>6</v>
      </c>
      <c r="E666" s="82"/>
      <c r="F666" s="128"/>
      <c r="G666" s="129">
        <f t="shared" ref="G666:G668" si="94">(D666*E666)+(D666*F666)</f>
        <v>0</v>
      </c>
      <c r="I666" s="62">
        <f>0.95*2.83</f>
        <v>2.6884999999999999</v>
      </c>
      <c r="J666" s="58">
        <f>I666*D666</f>
        <v>16.131</v>
      </c>
      <c r="K666" s="62">
        <f>J666+J670+J671+J672</f>
        <v>61.029000000000003</v>
      </c>
    </row>
    <row r="667" spans="1:12" s="52" customFormat="1" ht="23.25" customHeight="1">
      <c r="A667" s="100" t="s">
        <v>177</v>
      </c>
      <c r="B667" s="252" t="s">
        <v>482</v>
      </c>
      <c r="C667" s="253" t="s">
        <v>114</v>
      </c>
      <c r="D667" s="93">
        <v>1</v>
      </c>
      <c r="E667" s="82"/>
      <c r="F667" s="128"/>
      <c r="G667" s="129">
        <f t="shared" si="94"/>
        <v>0</v>
      </c>
      <c r="I667" s="62">
        <f>0.95*2.15</f>
        <v>2.0425</v>
      </c>
      <c r="J667" s="58">
        <f t="shared" ref="J667:J668" si="95">I667*D667</f>
        <v>2.0425</v>
      </c>
      <c r="K667" s="62"/>
    </row>
    <row r="668" spans="1:12" s="52" customFormat="1" ht="24.75" customHeight="1">
      <c r="A668" s="100" t="s">
        <v>189</v>
      </c>
      <c r="B668" s="252" t="s">
        <v>485</v>
      </c>
      <c r="C668" s="253" t="s">
        <v>114</v>
      </c>
      <c r="D668" s="93">
        <v>4</v>
      </c>
      <c r="E668" s="82"/>
      <c r="F668" s="128"/>
      <c r="G668" s="129">
        <f t="shared" si="94"/>
        <v>0</v>
      </c>
      <c r="I668" s="58">
        <f>0.78*2</f>
        <v>1.56</v>
      </c>
      <c r="J668" s="58">
        <f t="shared" si="95"/>
        <v>6.24</v>
      </c>
      <c r="K668" s="62"/>
    </row>
    <row r="669" spans="1:12" ht="12" customHeight="1">
      <c r="A669" s="245"/>
      <c r="B669" s="246" t="s">
        <v>434</v>
      </c>
      <c r="C669" s="247"/>
      <c r="D669" s="248"/>
      <c r="E669" s="249"/>
      <c r="F669" s="250"/>
      <c r="G669" s="251"/>
      <c r="I669" s="33"/>
      <c r="J669" s="58"/>
      <c r="K669" s="51"/>
      <c r="L669" s="51">
        <f>J668+I667</f>
        <v>8.2825000000000006</v>
      </c>
    </row>
    <row r="670" spans="1:12" ht="53.25" customHeight="1">
      <c r="A670" s="100" t="s">
        <v>176</v>
      </c>
      <c r="B670" s="252" t="s">
        <v>483</v>
      </c>
      <c r="C670" s="253" t="s">
        <v>114</v>
      </c>
      <c r="D670" s="93">
        <v>6</v>
      </c>
      <c r="E670" s="82"/>
      <c r="F670" s="128"/>
      <c r="G670" s="129">
        <f t="shared" ref="G670:G672" si="96">(D670*E670)+(D670*F670)</f>
        <v>0</v>
      </c>
      <c r="I670" s="33">
        <f>2.45*1.69</f>
        <v>4.1405000000000003</v>
      </c>
      <c r="J670" s="58">
        <f>I670*D670</f>
        <v>24.843000000000004</v>
      </c>
      <c r="K670" s="51"/>
    </row>
    <row r="671" spans="1:12" ht="37.5" customHeight="1">
      <c r="A671" s="100" t="s">
        <v>177</v>
      </c>
      <c r="B671" s="252" t="s">
        <v>486</v>
      </c>
      <c r="C671" s="253" t="s">
        <v>114</v>
      </c>
      <c r="D671" s="93">
        <v>6</v>
      </c>
      <c r="E671" s="82"/>
      <c r="F671" s="128"/>
      <c r="G671" s="129">
        <f t="shared" si="96"/>
        <v>0</v>
      </c>
      <c r="I671" s="33">
        <f>1.575*2</f>
        <v>3.15</v>
      </c>
      <c r="J671" s="58">
        <f t="shared" ref="J671:J672" si="97">I671*D671</f>
        <v>18.899999999999999</v>
      </c>
      <c r="K671" s="51"/>
    </row>
    <row r="672" spans="1:12" ht="29.25" customHeight="1">
      <c r="A672" s="100" t="s">
        <v>189</v>
      </c>
      <c r="B672" s="252" t="s">
        <v>487</v>
      </c>
      <c r="C672" s="253" t="s">
        <v>114</v>
      </c>
      <c r="D672" s="93">
        <v>3</v>
      </c>
      <c r="E672" s="82"/>
      <c r="F672" s="128"/>
      <c r="G672" s="129">
        <f t="shared" si="96"/>
        <v>0</v>
      </c>
      <c r="I672" s="33">
        <f>0.7*0.55</f>
        <v>0.38500000000000001</v>
      </c>
      <c r="J672" s="58">
        <f t="shared" si="97"/>
        <v>1.155</v>
      </c>
      <c r="K672" s="51"/>
    </row>
    <row r="673" spans="1:12" ht="12" customHeight="1">
      <c r="A673" s="245"/>
      <c r="B673" s="246" t="s">
        <v>433</v>
      </c>
      <c r="C673" s="247"/>
      <c r="D673" s="248"/>
      <c r="E673" s="249"/>
      <c r="F673" s="250"/>
      <c r="G673" s="251"/>
      <c r="I673" s="33"/>
      <c r="J673" s="58">
        <f>SUM(J666:J672)</f>
        <v>69.311499999999995</v>
      </c>
      <c r="K673" s="51">
        <f>J673-J668</f>
        <v>63.071499999999993</v>
      </c>
      <c r="L673" s="51"/>
    </row>
    <row r="674" spans="1:12" ht="30" customHeight="1">
      <c r="A674" s="100" t="s">
        <v>176</v>
      </c>
      <c r="B674" s="252" t="s">
        <v>488</v>
      </c>
      <c r="C674" s="253" t="s">
        <v>114</v>
      </c>
      <c r="D674" s="93">
        <v>10</v>
      </c>
      <c r="E674" s="82"/>
      <c r="F674" s="128"/>
      <c r="G674" s="129">
        <f t="shared" ref="G674:G675" si="98">(D674*E674)+(D674*F674)</f>
        <v>0</v>
      </c>
      <c r="I674" s="33"/>
      <c r="J674" s="58"/>
      <c r="K674" s="51"/>
    </row>
    <row r="675" spans="1:12" ht="25.5" customHeight="1">
      <c r="A675" s="100" t="s">
        <v>177</v>
      </c>
      <c r="B675" s="252" t="s">
        <v>489</v>
      </c>
      <c r="C675" s="253" t="s">
        <v>114</v>
      </c>
      <c r="D675" s="93">
        <v>2</v>
      </c>
      <c r="E675" s="82"/>
      <c r="F675" s="128"/>
      <c r="G675" s="129">
        <f t="shared" si="98"/>
        <v>0</v>
      </c>
      <c r="I675" s="33"/>
      <c r="J675" s="58"/>
      <c r="K675" s="51"/>
    </row>
    <row r="676" spans="1:12" ht="12" customHeight="1">
      <c r="A676" s="241" t="s">
        <v>162</v>
      </c>
      <c r="B676" s="242" t="s">
        <v>69</v>
      </c>
      <c r="C676" s="243"/>
      <c r="D676" s="244"/>
      <c r="E676" s="231"/>
      <c r="F676" s="177"/>
      <c r="G676" s="178"/>
      <c r="J676" s="33"/>
      <c r="K676" s="33"/>
    </row>
    <row r="677" spans="1:12">
      <c r="A677" s="245"/>
      <c r="B677" s="246" t="s">
        <v>435</v>
      </c>
      <c r="C677" s="247"/>
      <c r="D677" s="248"/>
      <c r="E677" s="249"/>
      <c r="F677" s="250"/>
      <c r="G677" s="251"/>
      <c r="K677" s="33"/>
    </row>
    <row r="678" spans="1:12" ht="36">
      <c r="A678" s="100" t="s">
        <v>176</v>
      </c>
      <c r="B678" s="252" t="s">
        <v>484</v>
      </c>
      <c r="C678" s="253" t="s">
        <v>114</v>
      </c>
      <c r="D678" s="93">
        <v>7</v>
      </c>
      <c r="E678" s="82"/>
      <c r="F678" s="128"/>
      <c r="G678" s="129">
        <f t="shared" ref="G678:G679" si="99">(D678*E678)+(D678*F678)</f>
        <v>0</v>
      </c>
      <c r="H678" s="52"/>
      <c r="I678" s="62">
        <f>0.95*2.83</f>
        <v>2.6884999999999999</v>
      </c>
      <c r="J678" s="58">
        <f>I678*D678</f>
        <v>18.819499999999998</v>
      </c>
      <c r="K678" s="62">
        <f>J678+J682+J683+J685</f>
        <v>39.815099999999994</v>
      </c>
      <c r="L678" s="52"/>
    </row>
    <row r="679" spans="1:12" ht="24">
      <c r="A679" s="100" t="s">
        <v>177</v>
      </c>
      <c r="B679" s="252" t="s">
        <v>485</v>
      </c>
      <c r="C679" s="253" t="s">
        <v>114</v>
      </c>
      <c r="D679" s="93">
        <v>4</v>
      </c>
      <c r="E679" s="82"/>
      <c r="F679" s="128"/>
      <c r="G679" s="129">
        <f t="shared" si="99"/>
        <v>0</v>
      </c>
      <c r="I679" s="58">
        <f>0.78*2</f>
        <v>1.56</v>
      </c>
      <c r="J679" s="58">
        <f>I679*D679</f>
        <v>6.24</v>
      </c>
      <c r="K679" s="62"/>
      <c r="L679" s="52"/>
    </row>
    <row r="680" spans="1:12">
      <c r="A680" s="245"/>
      <c r="B680" s="246" t="s">
        <v>434</v>
      </c>
      <c r="C680" s="247"/>
      <c r="D680" s="248"/>
      <c r="E680" s="249"/>
      <c r="F680" s="250"/>
      <c r="G680" s="251"/>
      <c r="I680" s="58"/>
      <c r="J680" s="58">
        <f t="shared" ref="J680" si="100">I680*D680</f>
        <v>0</v>
      </c>
      <c r="K680" s="62"/>
      <c r="L680" s="52"/>
    </row>
    <row r="681" spans="1:12" ht="48.75" thickBot="1">
      <c r="A681" s="373" t="s">
        <v>176</v>
      </c>
      <c r="B681" s="374" t="s">
        <v>483</v>
      </c>
      <c r="C681" s="375" t="s">
        <v>114</v>
      </c>
      <c r="D681" s="364">
        <v>6</v>
      </c>
      <c r="E681" s="365"/>
      <c r="F681" s="376"/>
      <c r="G681" s="377">
        <f t="shared" ref="G681:G684" si="101">(D681*E681)+(D681*F681)</f>
        <v>0</v>
      </c>
      <c r="I681" s="33">
        <f>2.45*1.69</f>
        <v>4.1405000000000003</v>
      </c>
      <c r="J681" s="58">
        <f>I681*D681</f>
        <v>24.843000000000004</v>
      </c>
      <c r="K681" s="51"/>
      <c r="L681" s="51">
        <f>J680+I679</f>
        <v>1.56</v>
      </c>
    </row>
    <row r="682" spans="1:12" ht="39.75" customHeight="1">
      <c r="A682" s="100" t="s">
        <v>177</v>
      </c>
      <c r="B682" s="252" t="s">
        <v>486</v>
      </c>
      <c r="C682" s="253" t="s">
        <v>114</v>
      </c>
      <c r="D682" s="93">
        <v>6</v>
      </c>
      <c r="E682" s="82"/>
      <c r="F682" s="128"/>
      <c r="G682" s="129">
        <f t="shared" si="101"/>
        <v>0</v>
      </c>
      <c r="I682" s="33">
        <f>1.575*2</f>
        <v>3.15</v>
      </c>
      <c r="J682" s="58">
        <f>I682*D682</f>
        <v>18.899999999999999</v>
      </c>
      <c r="K682" s="51"/>
    </row>
    <row r="683" spans="1:12" ht="40.5" customHeight="1">
      <c r="A683" s="100" t="s">
        <v>189</v>
      </c>
      <c r="B683" s="252" t="s">
        <v>490</v>
      </c>
      <c r="C683" s="253" t="s">
        <v>114</v>
      </c>
      <c r="D683" s="93">
        <v>1</v>
      </c>
      <c r="E683" s="82"/>
      <c r="F683" s="128"/>
      <c r="G683" s="129">
        <f t="shared" si="101"/>
        <v>0</v>
      </c>
      <c r="I683" s="33">
        <f>1.24*1.69</f>
        <v>2.0956000000000001</v>
      </c>
      <c r="J683" s="58">
        <f>I683*D683</f>
        <v>2.0956000000000001</v>
      </c>
      <c r="K683" s="51"/>
    </row>
    <row r="684" spans="1:12" ht="26.25" customHeight="1">
      <c r="A684" s="100" t="s">
        <v>190</v>
      </c>
      <c r="B684" s="252" t="s">
        <v>487</v>
      </c>
      <c r="C684" s="253" t="s">
        <v>114</v>
      </c>
      <c r="D684" s="93">
        <v>1</v>
      </c>
      <c r="E684" s="82"/>
      <c r="F684" s="128"/>
      <c r="G684" s="129">
        <f t="shared" si="101"/>
        <v>0</v>
      </c>
      <c r="I684" s="33">
        <f>0.7*0.55</f>
        <v>0.38500000000000001</v>
      </c>
      <c r="J684" s="58">
        <f>I684*D684</f>
        <v>0.38500000000000001</v>
      </c>
      <c r="K684" s="51"/>
    </row>
    <row r="685" spans="1:12">
      <c r="A685" s="245"/>
      <c r="B685" s="246" t="s">
        <v>433</v>
      </c>
      <c r="C685" s="247"/>
      <c r="D685" s="248"/>
      <c r="E685" s="249"/>
      <c r="F685" s="250"/>
      <c r="G685" s="251"/>
      <c r="I685" s="33"/>
      <c r="J685" s="58">
        <f t="shared" ref="J685" si="102">I685*D685</f>
        <v>0</v>
      </c>
      <c r="K685" s="51"/>
    </row>
    <row r="686" spans="1:12" ht="24.75" customHeight="1">
      <c r="A686" s="100" t="s">
        <v>176</v>
      </c>
      <c r="B686" s="252" t="s">
        <v>488</v>
      </c>
      <c r="C686" s="253" t="s">
        <v>114</v>
      </c>
      <c r="D686" s="93">
        <v>8</v>
      </c>
      <c r="E686" s="82"/>
      <c r="F686" s="128"/>
      <c r="G686" s="129">
        <f t="shared" ref="G686:G687" si="103">(D686*E686)+(D686*F686)</f>
        <v>0</v>
      </c>
      <c r="I686" s="33"/>
      <c r="J686" s="58">
        <f>SUM(J678:J685)</f>
        <v>71.283100000000019</v>
      </c>
      <c r="K686" s="51">
        <f>J686-(J679+I678)</f>
        <v>62.354600000000019</v>
      </c>
      <c r="L686" s="51">
        <f>I678+J679</f>
        <v>8.9284999999999997</v>
      </c>
    </row>
    <row r="687" spans="1:12" ht="27.75" customHeight="1">
      <c r="A687" s="100" t="s">
        <v>177</v>
      </c>
      <c r="B687" s="252" t="s">
        <v>489</v>
      </c>
      <c r="C687" s="253" t="s">
        <v>114</v>
      </c>
      <c r="D687" s="93">
        <v>2</v>
      </c>
      <c r="E687" s="82"/>
      <c r="F687" s="128"/>
      <c r="G687" s="129">
        <f t="shared" si="103"/>
        <v>0</v>
      </c>
      <c r="I687" s="51"/>
      <c r="J687" s="33"/>
    </row>
    <row r="688" spans="1:12" ht="12" customHeight="1">
      <c r="A688" s="100"/>
      <c r="B688" s="252"/>
      <c r="C688" s="253"/>
      <c r="D688" s="93"/>
      <c r="E688" s="82"/>
      <c r="F688" s="128"/>
      <c r="G688" s="129"/>
      <c r="I688" s="33"/>
      <c r="J688" s="58"/>
      <c r="K688" s="33"/>
    </row>
    <row r="689" spans="1:12" ht="12" customHeight="1">
      <c r="A689" s="241" t="s">
        <v>162</v>
      </c>
      <c r="B689" s="242" t="s">
        <v>69</v>
      </c>
      <c r="C689" s="243"/>
      <c r="D689" s="244"/>
      <c r="E689" s="231"/>
      <c r="F689" s="177"/>
      <c r="G689" s="178"/>
      <c r="J689" s="33"/>
      <c r="K689" s="33"/>
    </row>
    <row r="690" spans="1:12" ht="12" customHeight="1">
      <c r="A690" s="245"/>
      <c r="B690" s="246" t="s">
        <v>435</v>
      </c>
      <c r="C690" s="247"/>
      <c r="D690" s="248"/>
      <c r="E690" s="249"/>
      <c r="F690" s="250"/>
      <c r="G690" s="251"/>
      <c r="K690" s="33"/>
    </row>
    <row r="691" spans="1:12" ht="45" customHeight="1">
      <c r="A691" s="100" t="s">
        <v>176</v>
      </c>
      <c r="B691" s="252" t="s">
        <v>484</v>
      </c>
      <c r="C691" s="253" t="s">
        <v>114</v>
      </c>
      <c r="D691" s="93">
        <v>7</v>
      </c>
      <c r="E691" s="82"/>
      <c r="F691" s="128"/>
      <c r="G691" s="129">
        <f t="shared" ref="G691:G692" si="104">(D691*E691)+(D691*F691)</f>
        <v>0</v>
      </c>
      <c r="H691" s="52"/>
      <c r="I691" s="62">
        <f>0.95*2.83</f>
        <v>2.6884999999999999</v>
      </c>
      <c r="J691" s="58">
        <f>I691*D691</f>
        <v>18.819499999999998</v>
      </c>
      <c r="K691" s="62">
        <f>J691+J695+J696+J698</f>
        <v>39.815099999999994</v>
      </c>
      <c r="L691" s="52"/>
    </row>
    <row r="692" spans="1:12" ht="30" customHeight="1">
      <c r="A692" s="100" t="s">
        <v>177</v>
      </c>
      <c r="B692" s="252" t="s">
        <v>485</v>
      </c>
      <c r="C692" s="253" t="s">
        <v>114</v>
      </c>
      <c r="D692" s="93">
        <v>4</v>
      </c>
      <c r="E692" s="82"/>
      <c r="F692" s="128"/>
      <c r="G692" s="129">
        <f t="shared" si="104"/>
        <v>0</v>
      </c>
      <c r="I692" s="58">
        <f>0.78*2</f>
        <v>1.56</v>
      </c>
      <c r="J692" s="58">
        <f>I692*D692</f>
        <v>6.24</v>
      </c>
      <c r="K692" s="62"/>
      <c r="L692" s="52"/>
    </row>
    <row r="693" spans="1:12">
      <c r="A693" s="245"/>
      <c r="B693" s="246" t="s">
        <v>434</v>
      </c>
      <c r="C693" s="247"/>
      <c r="D693" s="248"/>
      <c r="E693" s="249"/>
      <c r="F693" s="250"/>
      <c r="G693" s="251"/>
      <c r="I693" s="58"/>
      <c r="J693" s="58">
        <f t="shared" ref="J693" si="105">I693*D693</f>
        <v>0</v>
      </c>
      <c r="K693" s="62"/>
      <c r="L693" s="52"/>
    </row>
    <row r="694" spans="1:12" ht="48">
      <c r="A694" s="100" t="s">
        <v>176</v>
      </c>
      <c r="B694" s="252" t="s">
        <v>483</v>
      </c>
      <c r="C694" s="253" t="s">
        <v>114</v>
      </c>
      <c r="D694" s="93">
        <v>6</v>
      </c>
      <c r="E694" s="82"/>
      <c r="F694" s="128"/>
      <c r="G694" s="129">
        <f t="shared" ref="G694:G697" si="106">(D694*E694)+(D694*F694)</f>
        <v>0</v>
      </c>
      <c r="I694" s="33">
        <f>2.45*1.69</f>
        <v>4.1405000000000003</v>
      </c>
      <c r="J694" s="58">
        <f>I694*D694</f>
        <v>24.843000000000004</v>
      </c>
      <c r="K694" s="51"/>
      <c r="L694" s="51">
        <f>J693+I692</f>
        <v>1.56</v>
      </c>
    </row>
    <row r="695" spans="1:12" ht="48">
      <c r="A695" s="100" t="s">
        <v>177</v>
      </c>
      <c r="B695" s="252" t="s">
        <v>486</v>
      </c>
      <c r="C695" s="253" t="s">
        <v>114</v>
      </c>
      <c r="D695" s="93">
        <v>6</v>
      </c>
      <c r="E695" s="82"/>
      <c r="F695" s="128"/>
      <c r="G695" s="129">
        <f t="shared" si="106"/>
        <v>0</v>
      </c>
      <c r="I695" s="33">
        <f>1.575*2</f>
        <v>3.15</v>
      </c>
      <c r="J695" s="58">
        <f>I695*D695</f>
        <v>18.899999999999999</v>
      </c>
      <c r="K695" s="51"/>
    </row>
    <row r="696" spans="1:12" ht="36">
      <c r="A696" s="100" t="s">
        <v>189</v>
      </c>
      <c r="B696" s="252" t="s">
        <v>490</v>
      </c>
      <c r="C696" s="253" t="s">
        <v>114</v>
      </c>
      <c r="D696" s="93">
        <v>1</v>
      </c>
      <c r="E696" s="82"/>
      <c r="F696" s="128"/>
      <c r="G696" s="129">
        <f t="shared" si="106"/>
        <v>0</v>
      </c>
      <c r="I696" s="33">
        <f>1.24*1.69</f>
        <v>2.0956000000000001</v>
      </c>
      <c r="J696" s="58">
        <f>I696*D696</f>
        <v>2.0956000000000001</v>
      </c>
      <c r="K696" s="51"/>
    </row>
    <row r="697" spans="1:12" ht="24">
      <c r="A697" s="100" t="s">
        <v>190</v>
      </c>
      <c r="B697" s="252" t="s">
        <v>487</v>
      </c>
      <c r="C697" s="253" t="s">
        <v>114</v>
      </c>
      <c r="D697" s="93">
        <v>1</v>
      </c>
      <c r="E697" s="82"/>
      <c r="F697" s="128"/>
      <c r="G697" s="129">
        <f t="shared" si="106"/>
        <v>0</v>
      </c>
      <c r="I697" s="33">
        <f>0.7*0.55</f>
        <v>0.38500000000000001</v>
      </c>
      <c r="J697" s="58">
        <f>I697*D697</f>
        <v>0.38500000000000001</v>
      </c>
      <c r="K697" s="51"/>
    </row>
    <row r="698" spans="1:12" ht="13.5" customHeight="1">
      <c r="A698" s="245"/>
      <c r="B698" s="246" t="s">
        <v>433</v>
      </c>
      <c r="C698" s="247"/>
      <c r="D698" s="248"/>
      <c r="E698" s="249"/>
      <c r="F698" s="250"/>
      <c r="G698" s="251"/>
      <c r="I698" s="33"/>
      <c r="J698" s="58">
        <f t="shared" ref="J698" si="107">I698*D698</f>
        <v>0</v>
      </c>
      <c r="K698" s="51"/>
    </row>
    <row r="699" spans="1:12" ht="25.5" customHeight="1">
      <c r="A699" s="100" t="s">
        <v>176</v>
      </c>
      <c r="B699" s="252" t="s">
        <v>488</v>
      </c>
      <c r="C699" s="253" t="s">
        <v>114</v>
      </c>
      <c r="D699" s="93">
        <v>8</v>
      </c>
      <c r="E699" s="82"/>
      <c r="F699" s="128"/>
      <c r="G699" s="129">
        <f t="shared" ref="G699:G700" si="108">(D699*E699)+(D699*F699)</f>
        <v>0</v>
      </c>
      <c r="I699" s="33"/>
      <c r="J699" s="58">
        <f>SUM(J691:J698)</f>
        <v>71.283100000000019</v>
      </c>
      <c r="K699" s="51">
        <f>J699-(J692+I691)</f>
        <v>62.354600000000019</v>
      </c>
      <c r="L699" s="51">
        <f>I691+J692</f>
        <v>8.9284999999999997</v>
      </c>
    </row>
    <row r="700" spans="1:12" ht="28.5" customHeight="1">
      <c r="A700" s="100" t="s">
        <v>177</v>
      </c>
      <c r="B700" s="252" t="s">
        <v>489</v>
      </c>
      <c r="C700" s="253" t="s">
        <v>114</v>
      </c>
      <c r="D700" s="93">
        <v>2</v>
      </c>
      <c r="E700" s="82"/>
      <c r="F700" s="128"/>
      <c r="G700" s="129">
        <f t="shared" si="108"/>
        <v>0</v>
      </c>
      <c r="I700" s="51"/>
      <c r="J700" s="33"/>
    </row>
    <row r="701" spans="1:12">
      <c r="A701" s="100"/>
      <c r="B701" s="252"/>
      <c r="C701" s="253"/>
      <c r="D701" s="93"/>
      <c r="E701" s="82"/>
      <c r="F701" s="128"/>
      <c r="G701" s="129"/>
      <c r="I701" s="51"/>
      <c r="J701" s="33"/>
    </row>
    <row r="702" spans="1:12">
      <c r="A702" s="241" t="s">
        <v>57</v>
      </c>
      <c r="B702" s="242" t="s">
        <v>71</v>
      </c>
      <c r="C702" s="243"/>
      <c r="D702" s="244"/>
      <c r="E702" s="231"/>
      <c r="F702" s="177"/>
      <c r="G702" s="178"/>
      <c r="J702" s="33"/>
      <c r="K702" s="33"/>
    </row>
    <row r="703" spans="1:12">
      <c r="A703" s="245"/>
      <c r="B703" s="246" t="s">
        <v>435</v>
      </c>
      <c r="C703" s="247"/>
      <c r="D703" s="248"/>
      <c r="E703" s="249"/>
      <c r="F703" s="250"/>
      <c r="G703" s="251"/>
      <c r="K703" s="33"/>
    </row>
    <row r="704" spans="1:12" ht="36">
      <c r="A704" s="100" t="s">
        <v>176</v>
      </c>
      <c r="B704" s="252" t="s">
        <v>484</v>
      </c>
      <c r="C704" s="253" t="s">
        <v>114</v>
      </c>
      <c r="D704" s="93">
        <v>7</v>
      </c>
      <c r="E704" s="82"/>
      <c r="F704" s="128"/>
      <c r="G704" s="129">
        <f t="shared" ref="G704:G705" si="109">(D704*E704)+(D704*F704)</f>
        <v>0</v>
      </c>
      <c r="H704" s="52"/>
      <c r="I704" s="62">
        <f>0.95*2.83</f>
        <v>2.6884999999999999</v>
      </c>
      <c r="J704" s="58">
        <f>I704*D704</f>
        <v>18.819499999999998</v>
      </c>
      <c r="K704" s="62">
        <f>J704+J708+J709+J711</f>
        <v>39.815099999999994</v>
      </c>
      <c r="L704" s="52"/>
    </row>
    <row r="705" spans="1:12" ht="24">
      <c r="A705" s="100" t="s">
        <v>177</v>
      </c>
      <c r="B705" s="252" t="s">
        <v>485</v>
      </c>
      <c r="C705" s="253" t="s">
        <v>114</v>
      </c>
      <c r="D705" s="93">
        <v>4</v>
      </c>
      <c r="E705" s="82"/>
      <c r="F705" s="128"/>
      <c r="G705" s="129">
        <f t="shared" si="109"/>
        <v>0</v>
      </c>
      <c r="I705" s="58">
        <f>0.78*2</f>
        <v>1.56</v>
      </c>
      <c r="J705" s="58">
        <f>I705*D705</f>
        <v>6.24</v>
      </c>
      <c r="K705" s="62"/>
      <c r="L705" s="52"/>
    </row>
    <row r="706" spans="1:12">
      <c r="A706" s="245"/>
      <c r="B706" s="246" t="s">
        <v>434</v>
      </c>
      <c r="C706" s="247"/>
      <c r="D706" s="248"/>
      <c r="E706" s="249"/>
      <c r="F706" s="250"/>
      <c r="G706" s="251"/>
      <c r="I706" s="58"/>
      <c r="J706" s="58">
        <f t="shared" ref="J706" si="110">I706*D706</f>
        <v>0</v>
      </c>
      <c r="K706" s="62"/>
      <c r="L706" s="52"/>
    </row>
    <row r="707" spans="1:12" ht="48">
      <c r="A707" s="100" t="s">
        <v>176</v>
      </c>
      <c r="B707" s="252" t="s">
        <v>483</v>
      </c>
      <c r="C707" s="253" t="s">
        <v>114</v>
      </c>
      <c r="D707" s="93">
        <v>6</v>
      </c>
      <c r="E707" s="82"/>
      <c r="F707" s="128"/>
      <c r="G707" s="129">
        <f t="shared" ref="G707:G710" si="111">(D707*E707)+(D707*F707)</f>
        <v>0</v>
      </c>
      <c r="I707" s="33">
        <f>2.45*1.69</f>
        <v>4.1405000000000003</v>
      </c>
      <c r="J707" s="58">
        <f>I707*D707</f>
        <v>24.843000000000004</v>
      </c>
      <c r="K707" s="51"/>
      <c r="L707" s="51">
        <f>J706+I705</f>
        <v>1.56</v>
      </c>
    </row>
    <row r="708" spans="1:12" ht="48.75" thickBot="1">
      <c r="A708" s="373" t="s">
        <v>177</v>
      </c>
      <c r="B708" s="374" t="s">
        <v>486</v>
      </c>
      <c r="C708" s="375" t="s">
        <v>114</v>
      </c>
      <c r="D708" s="364">
        <v>6</v>
      </c>
      <c r="E708" s="365"/>
      <c r="F708" s="376"/>
      <c r="G708" s="377">
        <f t="shared" si="111"/>
        <v>0</v>
      </c>
      <c r="I708" s="33">
        <f>1.575*2</f>
        <v>3.15</v>
      </c>
      <c r="J708" s="58">
        <f>I708*D708</f>
        <v>18.899999999999999</v>
      </c>
      <c r="K708" s="51"/>
    </row>
    <row r="709" spans="1:12" ht="36">
      <c r="A709" s="405" t="s">
        <v>189</v>
      </c>
      <c r="B709" s="406" t="s">
        <v>490</v>
      </c>
      <c r="C709" s="407" t="s">
        <v>114</v>
      </c>
      <c r="D709" s="362">
        <v>1</v>
      </c>
      <c r="E709" s="363"/>
      <c r="F709" s="408"/>
      <c r="G709" s="409">
        <f t="shared" si="111"/>
        <v>0</v>
      </c>
      <c r="I709" s="33">
        <f>1.24*1.69</f>
        <v>2.0956000000000001</v>
      </c>
      <c r="J709" s="58">
        <f>I709*D709</f>
        <v>2.0956000000000001</v>
      </c>
      <c r="K709" s="51"/>
    </row>
    <row r="710" spans="1:12" ht="24">
      <c r="A710" s="100" t="s">
        <v>190</v>
      </c>
      <c r="B710" s="252" t="s">
        <v>487</v>
      </c>
      <c r="C710" s="253" t="s">
        <v>114</v>
      </c>
      <c r="D710" s="93">
        <v>1</v>
      </c>
      <c r="E710" s="82"/>
      <c r="F710" s="128"/>
      <c r="G710" s="129">
        <f t="shared" si="111"/>
        <v>0</v>
      </c>
      <c r="I710" s="33">
        <f>0.7*0.55</f>
        <v>0.38500000000000001</v>
      </c>
      <c r="J710" s="58">
        <f>I710*D710</f>
        <v>0.38500000000000001</v>
      </c>
      <c r="K710" s="51"/>
    </row>
    <row r="711" spans="1:12">
      <c r="A711" s="245"/>
      <c r="B711" s="246" t="s">
        <v>433</v>
      </c>
      <c r="C711" s="247"/>
      <c r="D711" s="248"/>
      <c r="E711" s="249"/>
      <c r="F711" s="250"/>
      <c r="G711" s="251"/>
      <c r="I711" s="33"/>
      <c r="J711" s="58">
        <f t="shared" ref="J711" si="112">I711*D711</f>
        <v>0</v>
      </c>
      <c r="K711" s="51"/>
    </row>
    <row r="712" spans="1:12" ht="28.5" customHeight="1">
      <c r="A712" s="100" t="s">
        <v>176</v>
      </c>
      <c r="B712" s="252" t="s">
        <v>488</v>
      </c>
      <c r="C712" s="253" t="s">
        <v>114</v>
      </c>
      <c r="D712" s="93">
        <v>8</v>
      </c>
      <c r="E712" s="82"/>
      <c r="F712" s="128"/>
      <c r="G712" s="129">
        <f t="shared" ref="G712:G713" si="113">(D712*E712)+(D712*F712)</f>
        <v>0</v>
      </c>
      <c r="I712" s="33"/>
      <c r="J712" s="58">
        <f>SUM(J704:J711)</f>
        <v>71.283100000000019</v>
      </c>
      <c r="K712" s="51">
        <f>J712-(J705+I704)</f>
        <v>62.354600000000019</v>
      </c>
      <c r="L712" s="51">
        <f>I704+J705</f>
        <v>8.9284999999999997</v>
      </c>
    </row>
    <row r="713" spans="1:12" ht="27" customHeight="1">
      <c r="A713" s="100" t="s">
        <v>177</v>
      </c>
      <c r="B713" s="252" t="s">
        <v>489</v>
      </c>
      <c r="C713" s="253" t="s">
        <v>114</v>
      </c>
      <c r="D713" s="93">
        <v>2</v>
      </c>
      <c r="E713" s="82"/>
      <c r="F713" s="128"/>
      <c r="G713" s="129">
        <f t="shared" si="113"/>
        <v>0</v>
      </c>
      <c r="I713" s="51"/>
      <c r="J713" s="33"/>
    </row>
    <row r="714" spans="1:12">
      <c r="A714" s="100"/>
      <c r="B714" s="252"/>
      <c r="C714" s="161"/>
      <c r="D714" s="93"/>
      <c r="E714" s="82"/>
      <c r="F714" s="95"/>
      <c r="G714" s="96"/>
      <c r="I714" s="51"/>
      <c r="J714" s="33"/>
    </row>
    <row r="715" spans="1:12">
      <c r="A715" s="100"/>
      <c r="B715" s="252"/>
      <c r="C715" s="161"/>
      <c r="D715" s="93"/>
      <c r="E715" s="82"/>
      <c r="F715" s="95"/>
      <c r="G715" s="96"/>
      <c r="I715" s="51"/>
      <c r="J715" s="33"/>
    </row>
    <row r="716" spans="1:12" ht="12.75" thickBot="1">
      <c r="A716" s="100"/>
      <c r="B716" s="252"/>
      <c r="C716" s="161"/>
      <c r="D716" s="93"/>
      <c r="E716" s="82"/>
      <c r="F716" s="95"/>
      <c r="G716" s="96"/>
      <c r="I716" s="51"/>
      <c r="J716" s="33"/>
    </row>
    <row r="717" spans="1:12">
      <c r="A717" s="378"/>
      <c r="B717" s="343" t="s">
        <v>204</v>
      </c>
      <c r="C717" s="379"/>
      <c r="D717" s="380"/>
      <c r="E717" s="363"/>
      <c r="F717" s="344"/>
      <c r="G717" s="345"/>
    </row>
    <row r="718" spans="1:12" ht="12.75" thickBot="1">
      <c r="A718" s="381"/>
      <c r="B718" s="338" t="s">
        <v>205</v>
      </c>
      <c r="C718" s="382"/>
      <c r="D718" s="383"/>
      <c r="E718" s="365"/>
      <c r="F718" s="340"/>
      <c r="G718" s="342">
        <f>SUM(G666:G717)</f>
        <v>0</v>
      </c>
    </row>
    <row r="719" spans="1:12">
      <c r="A719" s="196"/>
      <c r="B719" s="105"/>
      <c r="C719" s="80"/>
      <c r="D719" s="81"/>
      <c r="E719" s="82"/>
      <c r="F719" s="95"/>
      <c r="G719" s="168"/>
    </row>
    <row r="720" spans="1:12">
      <c r="A720" s="78"/>
      <c r="B720" s="79" t="s">
        <v>206</v>
      </c>
      <c r="C720" s="92"/>
      <c r="D720" s="93"/>
      <c r="E720" s="82"/>
      <c r="F720" s="95"/>
      <c r="G720" s="96"/>
    </row>
    <row r="721" spans="1:15">
      <c r="A721" s="78"/>
      <c r="B721" s="85" t="s">
        <v>175</v>
      </c>
      <c r="C721" s="92"/>
      <c r="D721" s="93"/>
      <c r="E721" s="82"/>
      <c r="F721" s="95"/>
      <c r="G721" s="96"/>
    </row>
    <row r="722" spans="1:15">
      <c r="A722" s="196" t="s">
        <v>112</v>
      </c>
      <c r="B722" s="123" t="s">
        <v>41</v>
      </c>
      <c r="C722" s="92"/>
      <c r="D722" s="93"/>
      <c r="E722" s="82"/>
      <c r="F722" s="95"/>
      <c r="G722" s="96"/>
    </row>
    <row r="723" spans="1:15" ht="62.25" customHeight="1">
      <c r="A723" s="196"/>
      <c r="B723" s="254" t="s">
        <v>280</v>
      </c>
      <c r="C723" s="255"/>
      <c r="D723" s="255"/>
      <c r="E723" s="255"/>
      <c r="F723" s="255"/>
      <c r="G723" s="256"/>
    </row>
    <row r="724" spans="1:15" ht="42.75" customHeight="1">
      <c r="A724" s="196"/>
      <c r="B724" s="257" t="s">
        <v>118</v>
      </c>
      <c r="C724" s="257"/>
      <c r="D724" s="257"/>
      <c r="E724" s="257"/>
      <c r="F724" s="257"/>
      <c r="G724" s="258"/>
      <c r="I724" s="33"/>
    </row>
    <row r="725" spans="1:15" ht="48.75" customHeight="1">
      <c r="A725" s="78"/>
      <c r="B725" s="259" t="s">
        <v>261</v>
      </c>
      <c r="C725" s="259"/>
      <c r="D725" s="259"/>
      <c r="E725" s="259"/>
      <c r="F725" s="259"/>
      <c r="G725" s="260"/>
    </row>
    <row r="726" spans="1:15">
      <c r="A726" s="139" t="s">
        <v>183</v>
      </c>
      <c r="B726" s="261" t="s">
        <v>93</v>
      </c>
      <c r="C726" s="151"/>
      <c r="D726" s="142"/>
      <c r="E726" s="143"/>
      <c r="F726" s="142"/>
      <c r="G726" s="204"/>
    </row>
    <row r="727" spans="1:15">
      <c r="A727" s="241" t="s">
        <v>161</v>
      </c>
      <c r="B727" s="242" t="s">
        <v>364</v>
      </c>
      <c r="C727" s="262"/>
      <c r="D727" s="263"/>
      <c r="E727" s="264"/>
      <c r="F727" s="177"/>
      <c r="G727" s="178"/>
    </row>
    <row r="728" spans="1:15" ht="13.5">
      <c r="A728" s="196"/>
      <c r="B728" s="265" t="s">
        <v>497</v>
      </c>
      <c r="C728" s="106" t="s">
        <v>153</v>
      </c>
      <c r="D728" s="93">
        <f>D557</f>
        <v>154.38</v>
      </c>
      <c r="E728" s="82"/>
      <c r="F728" s="95"/>
      <c r="G728" s="96">
        <f>(D728*E728)+(D728*F728)</f>
        <v>0</v>
      </c>
      <c r="I728" s="51">
        <f>D578+D558</f>
        <v>176.13</v>
      </c>
    </row>
    <row r="729" spans="1:15" ht="13.5">
      <c r="A729" s="196"/>
      <c r="B729" s="265" t="s">
        <v>498</v>
      </c>
      <c r="C729" s="106" t="s">
        <v>153</v>
      </c>
      <c r="D729" s="93">
        <f>D537</f>
        <v>154.38</v>
      </c>
      <c r="E729" s="82"/>
      <c r="F729" s="95"/>
      <c r="G729" s="96"/>
      <c r="I729" s="51">
        <f>D537+12.05</f>
        <v>166.43</v>
      </c>
    </row>
    <row r="730" spans="1:15" ht="13.5">
      <c r="A730" s="196"/>
      <c r="B730" s="265" t="s">
        <v>366</v>
      </c>
      <c r="C730" s="106" t="s">
        <v>153</v>
      </c>
      <c r="D730" s="93">
        <f>D544</f>
        <v>154.38</v>
      </c>
      <c r="E730" s="82"/>
      <c r="F730" s="95"/>
      <c r="G730" s="96"/>
      <c r="I730" s="51"/>
    </row>
    <row r="731" spans="1:15">
      <c r="A731" s="196"/>
      <c r="B731" s="265"/>
      <c r="C731" s="106"/>
      <c r="D731" s="93"/>
      <c r="E731" s="82"/>
      <c r="F731" s="95"/>
      <c r="G731" s="96"/>
      <c r="I731" s="51"/>
    </row>
    <row r="732" spans="1:15">
      <c r="A732" s="241" t="s">
        <v>162</v>
      </c>
      <c r="B732" s="242" t="s">
        <v>365</v>
      </c>
      <c r="C732" s="262"/>
      <c r="D732" s="263"/>
      <c r="E732" s="264"/>
      <c r="F732" s="177"/>
      <c r="G732" s="178"/>
      <c r="I732" s="51"/>
    </row>
    <row r="733" spans="1:15" ht="13.5">
      <c r="A733" s="196"/>
      <c r="B733" s="265" t="s">
        <v>499</v>
      </c>
      <c r="C733" s="106" t="s">
        <v>153</v>
      </c>
      <c r="D733" s="93">
        <v>8</v>
      </c>
      <c r="E733" s="82"/>
      <c r="F733" s="95"/>
      <c r="G733" s="96">
        <f>(D733*E733)+(D733*F733)</f>
        <v>0</v>
      </c>
      <c r="I733" s="51">
        <f>1.5*1*3</f>
        <v>4.5</v>
      </c>
      <c r="J733" s="22">
        <f>1.65*1.5</f>
        <v>2.4749999999999996</v>
      </c>
      <c r="K733" s="51">
        <f>SUM(I733:J733)</f>
        <v>6.9749999999999996</v>
      </c>
      <c r="L733" s="22">
        <f>1.65*0.6</f>
        <v>0.98999999999999988</v>
      </c>
      <c r="M733" s="51">
        <f>SUM(K733:L733)</f>
        <v>7.9649999999999999</v>
      </c>
    </row>
    <row r="734" spans="1:15" ht="13.5">
      <c r="A734" s="196"/>
      <c r="B734" s="265" t="s">
        <v>500</v>
      </c>
      <c r="C734" s="106" t="s">
        <v>153</v>
      </c>
      <c r="D734" s="93">
        <v>8</v>
      </c>
      <c r="E734" s="82"/>
      <c r="F734" s="95"/>
      <c r="G734" s="96">
        <f t="shared" ref="G734:G736" si="114">(D734*E734)+(D734*F734)</f>
        <v>0</v>
      </c>
      <c r="I734" s="51">
        <f>1.5*1*3</f>
        <v>4.5</v>
      </c>
      <c r="J734" s="22">
        <f>1.65*1.5</f>
        <v>2.4749999999999996</v>
      </c>
      <c r="K734" s="51">
        <f>SUM(I734:J734)</f>
        <v>6.9749999999999996</v>
      </c>
      <c r="L734" s="22">
        <f>1.65*0.6</f>
        <v>0.98999999999999988</v>
      </c>
      <c r="M734" s="51">
        <f>SUM(K734:L734)</f>
        <v>7.9649999999999999</v>
      </c>
    </row>
    <row r="735" spans="1:15" ht="24">
      <c r="A735" s="196"/>
      <c r="B735" s="265" t="s">
        <v>501</v>
      </c>
      <c r="C735" s="106" t="s">
        <v>153</v>
      </c>
      <c r="D735" s="93">
        <v>99.23</v>
      </c>
      <c r="E735" s="82"/>
      <c r="F735" s="95"/>
      <c r="G735" s="96">
        <f t="shared" si="114"/>
        <v>0</v>
      </c>
      <c r="I735" s="51">
        <f>25.8*2</f>
        <v>51.6</v>
      </c>
      <c r="J735" s="22">
        <f>1.35*8.5</f>
        <v>11.475000000000001</v>
      </c>
      <c r="K735" s="51">
        <f>1.5*1*3</f>
        <v>4.5</v>
      </c>
      <c r="L735" s="22">
        <f>1.65*1.5</f>
        <v>2.4749999999999996</v>
      </c>
      <c r="M735" s="22">
        <f>2.45*1.5</f>
        <v>3.6750000000000003</v>
      </c>
      <c r="N735" s="22">
        <f>3*8.5</f>
        <v>25.5</v>
      </c>
      <c r="O735" s="51">
        <f>SUM(I735:N735)</f>
        <v>99.224999999999994</v>
      </c>
    </row>
    <row r="736" spans="1:15" ht="13.5">
      <c r="A736" s="196"/>
      <c r="B736" s="265" t="s">
        <v>367</v>
      </c>
      <c r="C736" s="106" t="s">
        <v>153</v>
      </c>
      <c r="D736" s="93">
        <v>40</v>
      </c>
      <c r="E736" s="82"/>
      <c r="F736" s="95"/>
      <c r="G736" s="96">
        <f t="shared" si="114"/>
        <v>0</v>
      </c>
      <c r="I736" s="22">
        <f>25.8*0.775*2</f>
        <v>39.99</v>
      </c>
    </row>
    <row r="737" spans="1:11">
      <c r="A737" s="196"/>
      <c r="B737" s="265"/>
      <c r="C737" s="106"/>
      <c r="D737" s="93"/>
      <c r="E737" s="82"/>
      <c r="F737" s="95"/>
      <c r="G737" s="96"/>
    </row>
    <row r="738" spans="1:11">
      <c r="A738" s="139" t="s">
        <v>387</v>
      </c>
      <c r="B738" s="261" t="s">
        <v>388</v>
      </c>
      <c r="C738" s="151"/>
      <c r="D738" s="142"/>
      <c r="E738" s="143"/>
      <c r="F738" s="142"/>
      <c r="G738" s="204"/>
    </row>
    <row r="739" spans="1:11" ht="36">
      <c r="A739" s="78" t="s">
        <v>176</v>
      </c>
      <c r="B739" s="265" t="s">
        <v>389</v>
      </c>
      <c r="C739" s="106" t="s">
        <v>384</v>
      </c>
      <c r="D739" s="93">
        <v>52</v>
      </c>
      <c r="E739" s="82"/>
      <c r="F739" s="95"/>
      <c r="G739" s="96"/>
      <c r="I739" s="22">
        <f>25.8*2</f>
        <v>51.6</v>
      </c>
    </row>
    <row r="740" spans="1:11">
      <c r="A740" s="78"/>
      <c r="B740" s="265"/>
      <c r="C740" s="106"/>
      <c r="D740" s="93"/>
      <c r="E740" s="82"/>
      <c r="F740" s="95"/>
      <c r="G740" s="96"/>
    </row>
    <row r="741" spans="1:11">
      <c r="A741" s="78"/>
      <c r="B741" s="265"/>
      <c r="C741" s="106"/>
      <c r="D741" s="93"/>
      <c r="E741" s="82"/>
      <c r="F741" s="95"/>
      <c r="G741" s="96"/>
    </row>
    <row r="742" spans="1:11">
      <c r="A742" s="78"/>
      <c r="B742" s="265"/>
      <c r="C742" s="106"/>
      <c r="D742" s="93"/>
      <c r="E742" s="82"/>
      <c r="F742" s="95"/>
      <c r="G742" s="96"/>
    </row>
    <row r="743" spans="1:11">
      <c r="A743" s="78"/>
      <c r="B743" s="265"/>
      <c r="C743" s="106"/>
      <c r="D743" s="93"/>
      <c r="E743" s="82"/>
      <c r="F743" s="95"/>
      <c r="G743" s="96"/>
    </row>
    <row r="744" spans="1:11">
      <c r="A744" s="78"/>
      <c r="B744" s="265"/>
      <c r="C744" s="106"/>
      <c r="D744" s="93"/>
      <c r="E744" s="82"/>
      <c r="F744" s="95"/>
      <c r="G744" s="96"/>
    </row>
    <row r="745" spans="1:11" ht="12.75" thickBot="1">
      <c r="A745" s="196"/>
      <c r="B745" s="265"/>
      <c r="C745" s="106"/>
      <c r="D745" s="93"/>
      <c r="E745" s="82"/>
      <c r="F745" s="95"/>
      <c r="G745" s="96"/>
    </row>
    <row r="746" spans="1:11">
      <c r="A746" s="64"/>
      <c r="B746" s="65" t="s">
        <v>207</v>
      </c>
      <c r="C746" s="66"/>
      <c r="D746" s="67"/>
      <c r="E746" s="68"/>
      <c r="F746" s="70"/>
      <c r="G746" s="70"/>
    </row>
    <row r="747" spans="1:11" ht="12.75" thickBot="1">
      <c r="A747" s="71"/>
      <c r="B747" s="72" t="s">
        <v>115</v>
      </c>
      <c r="C747" s="73"/>
      <c r="D747" s="74"/>
      <c r="E747" s="75"/>
      <c r="F747" s="384"/>
      <c r="G747" s="77">
        <f>SUM(G728:G735)</f>
        <v>0</v>
      </c>
    </row>
    <row r="748" spans="1:11">
      <c r="A748" s="78"/>
      <c r="C748" s="92"/>
      <c r="D748" s="93"/>
      <c r="E748" s="82"/>
      <c r="F748" s="95"/>
      <c r="G748" s="96"/>
    </row>
    <row r="749" spans="1:11">
      <c r="A749" s="78"/>
      <c r="B749" s="79" t="s">
        <v>116</v>
      </c>
      <c r="C749" s="92"/>
      <c r="D749" s="93"/>
      <c r="E749" s="82"/>
      <c r="F749" s="95"/>
      <c r="G749" s="96"/>
    </row>
    <row r="750" spans="1:11">
      <c r="A750" s="78"/>
      <c r="B750" s="85" t="s">
        <v>95</v>
      </c>
      <c r="C750" s="92"/>
      <c r="D750" s="93"/>
      <c r="E750" s="82"/>
      <c r="F750" s="95"/>
      <c r="G750" s="96"/>
    </row>
    <row r="751" spans="1:11">
      <c r="A751" s="196" t="s">
        <v>117</v>
      </c>
      <c r="B751" s="123" t="s">
        <v>41</v>
      </c>
      <c r="C751" s="92" t="s">
        <v>59</v>
      </c>
      <c r="D751" s="93"/>
      <c r="E751" s="82"/>
      <c r="F751" s="95"/>
      <c r="G751" s="96"/>
      <c r="I751" s="35"/>
      <c r="J751" s="30">
        <v>80.599999999999994</v>
      </c>
      <c r="K751" s="30"/>
    </row>
    <row r="752" spans="1:11" s="37" customFormat="1" ht="76.5" customHeight="1">
      <c r="A752" s="100"/>
      <c r="B752" s="104" t="s">
        <v>303</v>
      </c>
      <c r="C752" s="134"/>
      <c r="D752" s="134"/>
      <c r="E752" s="134"/>
      <c r="F752" s="134"/>
      <c r="G752" s="266"/>
      <c r="I752" s="35"/>
      <c r="J752" s="44"/>
      <c r="K752" s="30"/>
    </row>
    <row r="753" spans="1:13" s="37" customFormat="1" ht="29.25" customHeight="1">
      <c r="A753" s="100"/>
      <c r="B753" s="104" t="s">
        <v>301</v>
      </c>
      <c r="C753" s="134"/>
      <c r="D753" s="134"/>
      <c r="E753" s="134"/>
      <c r="F753" s="134"/>
      <c r="G753" s="266"/>
      <c r="I753" s="35"/>
      <c r="J753" s="30">
        <v>168.85</v>
      </c>
      <c r="K753" s="30"/>
    </row>
    <row r="754" spans="1:13" s="37" customFormat="1" ht="50.25" customHeight="1">
      <c r="A754" s="100"/>
      <c r="B754" s="104" t="s">
        <v>302</v>
      </c>
      <c r="C754" s="134"/>
      <c r="D754" s="134"/>
      <c r="E754" s="134"/>
      <c r="F754" s="134"/>
      <c r="G754" s="266"/>
      <c r="I754" s="35"/>
      <c r="J754" s="44"/>
      <c r="K754" s="30"/>
    </row>
    <row r="755" spans="1:13" s="37" customFormat="1" ht="66.75" customHeight="1">
      <c r="A755" s="100"/>
      <c r="B755" s="104" t="s">
        <v>169</v>
      </c>
      <c r="C755" s="134"/>
      <c r="D755" s="134"/>
      <c r="E755" s="134"/>
      <c r="F755" s="134"/>
      <c r="G755" s="266"/>
      <c r="I755" s="42"/>
      <c r="J755" s="30">
        <v>139</v>
      </c>
      <c r="K755" s="43"/>
    </row>
    <row r="756" spans="1:13">
      <c r="A756" s="241" t="s">
        <v>161</v>
      </c>
      <c r="B756" s="242" t="s">
        <v>67</v>
      </c>
      <c r="C756" s="243"/>
      <c r="D756" s="244"/>
      <c r="E756" s="231"/>
      <c r="F756" s="177"/>
      <c r="G756" s="178"/>
      <c r="I756" s="30"/>
      <c r="J756" s="43"/>
      <c r="K756" s="30"/>
    </row>
    <row r="757" spans="1:13" ht="24">
      <c r="A757" s="78"/>
      <c r="B757" s="267" t="s">
        <v>122</v>
      </c>
      <c r="C757" s="268" t="s">
        <v>153</v>
      </c>
      <c r="D757" s="93">
        <f>D489</f>
        <v>256.82</v>
      </c>
      <c r="E757" s="82"/>
      <c r="F757" s="95"/>
      <c r="G757" s="96">
        <f t="shared" ref="G757:G759" si="115">(D757*E757)+(D757*F757)</f>
        <v>0</v>
      </c>
      <c r="I757" s="30"/>
      <c r="J757" s="44"/>
      <c r="K757" s="30"/>
    </row>
    <row r="758" spans="1:13" ht="14.25" customHeight="1">
      <c r="A758" s="78"/>
      <c r="B758" s="267" t="s">
        <v>123</v>
      </c>
      <c r="C758" s="268" t="s">
        <v>153</v>
      </c>
      <c r="D758" s="93">
        <f>D491</f>
        <v>484.83</v>
      </c>
      <c r="E758" s="82"/>
      <c r="F758" s="95"/>
      <c r="G758" s="96">
        <f t="shared" si="115"/>
        <v>0</v>
      </c>
      <c r="I758" s="30"/>
      <c r="J758" s="30">
        <v>143.19999999999999</v>
      </c>
      <c r="K758" s="30"/>
    </row>
    <row r="759" spans="1:13" ht="13.5">
      <c r="A759" s="78"/>
      <c r="B759" s="267" t="s">
        <v>124</v>
      </c>
      <c r="C759" s="268" t="s">
        <v>153</v>
      </c>
      <c r="D759" s="93">
        <v>103.73</v>
      </c>
      <c r="E759" s="82"/>
      <c r="F759" s="95"/>
      <c r="G759" s="96">
        <f t="shared" si="115"/>
        <v>0</v>
      </c>
      <c r="I759" s="30">
        <f>3.5*1.5*2</f>
        <v>10.5</v>
      </c>
      <c r="J759" s="44">
        <f>3*1.4</f>
        <v>4.1999999999999993</v>
      </c>
      <c r="K759" s="30">
        <f>SUM(I759:J759)</f>
        <v>14.7</v>
      </c>
      <c r="L759" s="22">
        <f>3*4.22</f>
        <v>12.66</v>
      </c>
      <c r="M759" s="33">
        <f>K759+L759+D529+D531+D534+1.32</f>
        <v>103.73</v>
      </c>
    </row>
    <row r="760" spans="1:13">
      <c r="A760" s="78"/>
      <c r="B760" s="267"/>
      <c r="C760" s="268"/>
      <c r="D760" s="93"/>
      <c r="E760" s="82"/>
      <c r="F760" s="95"/>
      <c r="G760" s="96"/>
      <c r="I760" s="43"/>
      <c r="J760" s="30"/>
      <c r="K760" s="30"/>
    </row>
    <row r="761" spans="1:13">
      <c r="A761" s="241" t="s">
        <v>162</v>
      </c>
      <c r="B761" s="242" t="s">
        <v>69</v>
      </c>
      <c r="C761" s="243"/>
      <c r="D761" s="244"/>
      <c r="E761" s="231"/>
      <c r="F761" s="177"/>
      <c r="G761" s="178"/>
      <c r="I761" s="30"/>
      <c r="J761" s="43"/>
      <c r="K761" s="30"/>
    </row>
    <row r="762" spans="1:13" ht="24">
      <c r="A762" s="78"/>
      <c r="B762" s="267" t="s">
        <v>122</v>
      </c>
      <c r="C762" s="268" t="s">
        <v>153</v>
      </c>
      <c r="D762" s="93">
        <f>D495</f>
        <v>292</v>
      </c>
      <c r="E762" s="82"/>
      <c r="F762" s="95"/>
      <c r="G762" s="96">
        <f t="shared" ref="G762:G764" si="116">(D762*E762)+(D762*F762)</f>
        <v>0</v>
      </c>
      <c r="I762" s="30"/>
      <c r="J762" s="44"/>
      <c r="K762" s="30"/>
    </row>
    <row r="763" spans="1:13" ht="11.25" customHeight="1">
      <c r="A763" s="78"/>
      <c r="B763" s="267" t="s">
        <v>123</v>
      </c>
      <c r="C763" s="268" t="s">
        <v>153</v>
      </c>
      <c r="D763" s="93">
        <f>D497</f>
        <v>475.73</v>
      </c>
      <c r="E763" s="82"/>
      <c r="F763" s="95"/>
      <c r="G763" s="96">
        <f t="shared" si="116"/>
        <v>0</v>
      </c>
      <c r="I763" s="30"/>
      <c r="J763" s="30">
        <v>143.19999999999999</v>
      </c>
      <c r="K763" s="30"/>
    </row>
    <row r="764" spans="1:13" ht="13.5">
      <c r="A764" s="78"/>
      <c r="B764" s="267" t="s">
        <v>124</v>
      </c>
      <c r="C764" s="268" t="s">
        <v>153</v>
      </c>
      <c r="D764" s="93">
        <v>103.73</v>
      </c>
      <c r="E764" s="82"/>
      <c r="F764" s="95"/>
      <c r="G764" s="96">
        <f t="shared" si="116"/>
        <v>0</v>
      </c>
      <c r="I764" s="30">
        <f>3.5*1.5*2</f>
        <v>10.5</v>
      </c>
      <c r="J764" s="44">
        <f>3*1.4</f>
        <v>4.1999999999999993</v>
      </c>
      <c r="K764" s="30">
        <f>SUM(I764:J764)</f>
        <v>14.7</v>
      </c>
      <c r="L764" s="22">
        <f>3*4.22</f>
        <v>12.66</v>
      </c>
      <c r="M764" s="33">
        <f>K764+L764+D538+D540+D542+1.32</f>
        <v>103.73</v>
      </c>
    </row>
    <row r="765" spans="1:13">
      <c r="A765" s="78"/>
      <c r="B765" s="267"/>
      <c r="C765" s="268"/>
      <c r="D765" s="93"/>
      <c r="E765" s="82"/>
      <c r="F765" s="95"/>
      <c r="G765" s="96"/>
      <c r="I765" s="63"/>
      <c r="J765" s="44"/>
      <c r="K765" s="63"/>
    </row>
    <row r="766" spans="1:13">
      <c r="A766" s="241" t="s">
        <v>57</v>
      </c>
      <c r="B766" s="242" t="s">
        <v>71</v>
      </c>
      <c r="C766" s="243"/>
      <c r="D766" s="244"/>
      <c r="E766" s="231"/>
      <c r="F766" s="177"/>
      <c r="G766" s="178"/>
      <c r="J766" s="30">
        <v>319.60000000000002</v>
      </c>
    </row>
    <row r="767" spans="1:13" ht="24">
      <c r="A767" s="78"/>
      <c r="B767" s="267" t="s">
        <v>122</v>
      </c>
      <c r="C767" s="268" t="s">
        <v>153</v>
      </c>
      <c r="D767" s="93">
        <f>D501</f>
        <v>292</v>
      </c>
      <c r="E767" s="82"/>
      <c r="F767" s="95"/>
      <c r="G767" s="96">
        <f t="shared" ref="G767:G769" si="117">(D767*E767)+(D767*F767)</f>
        <v>0</v>
      </c>
      <c r="J767" s="43"/>
    </row>
    <row r="768" spans="1:13" ht="13.5">
      <c r="A768" s="78"/>
      <c r="B768" s="267" t="s">
        <v>123</v>
      </c>
      <c r="C768" s="268" t="s">
        <v>153</v>
      </c>
      <c r="D768" s="93">
        <f>D503</f>
        <v>500.32</v>
      </c>
      <c r="E768" s="82"/>
      <c r="F768" s="95"/>
      <c r="G768" s="96">
        <f t="shared" si="117"/>
        <v>0</v>
      </c>
      <c r="J768" s="44"/>
    </row>
    <row r="769" spans="1:16" ht="13.5">
      <c r="A769" s="78"/>
      <c r="B769" s="267" t="s">
        <v>124</v>
      </c>
      <c r="C769" s="268" t="s">
        <v>153</v>
      </c>
      <c r="D769" s="93">
        <v>100.83</v>
      </c>
      <c r="E769" s="82"/>
      <c r="F769" s="95"/>
      <c r="G769" s="96">
        <f t="shared" si="117"/>
        <v>0</v>
      </c>
      <c r="I769" s="33">
        <f>25.8*2</f>
        <v>51.6</v>
      </c>
      <c r="J769" s="30">
        <f>1.35*8.5</f>
        <v>11.475000000000001</v>
      </c>
      <c r="K769" s="51">
        <f>1.65*0.8</f>
        <v>1.32</v>
      </c>
      <c r="L769" s="33">
        <f>2.4*1.65</f>
        <v>3.9599999999999995</v>
      </c>
      <c r="M769" s="22">
        <f>1.5*1.65</f>
        <v>2.4749999999999996</v>
      </c>
      <c r="N769" s="22">
        <f>8.5*3</f>
        <v>25.5</v>
      </c>
      <c r="O769" s="22">
        <f>1.5*3</f>
        <v>4.5</v>
      </c>
      <c r="P769" s="33">
        <f>SUM(I769:O769)</f>
        <v>100.82999999999998</v>
      </c>
    </row>
    <row r="770" spans="1:16">
      <c r="A770" s="241" t="s">
        <v>163</v>
      </c>
      <c r="B770" s="242" t="s">
        <v>293</v>
      </c>
      <c r="C770" s="243"/>
      <c r="D770" s="244"/>
      <c r="E770" s="231"/>
      <c r="F770" s="177"/>
      <c r="G770" s="178"/>
      <c r="J770" s="30"/>
    </row>
    <row r="771" spans="1:16" ht="24">
      <c r="A771" s="78"/>
      <c r="B771" s="267" t="s">
        <v>122</v>
      </c>
      <c r="C771" s="268" t="s">
        <v>153</v>
      </c>
      <c r="D771" s="93">
        <f>D507</f>
        <v>24.1</v>
      </c>
      <c r="E771" s="82"/>
      <c r="F771" s="95"/>
      <c r="G771" s="96">
        <f t="shared" ref="G771:G773" si="118">(D771*E771)+(D771*F771)</f>
        <v>0</v>
      </c>
      <c r="J771" s="30"/>
    </row>
    <row r="772" spans="1:16" ht="13.5">
      <c r="A772" s="78"/>
      <c r="B772" s="267" t="s">
        <v>123</v>
      </c>
      <c r="C772" s="268" t="s">
        <v>153</v>
      </c>
      <c r="D772" s="93">
        <f>D509</f>
        <v>24.1</v>
      </c>
      <c r="E772" s="82"/>
      <c r="F772" s="95"/>
      <c r="G772" s="96">
        <f t="shared" si="118"/>
        <v>0</v>
      </c>
      <c r="J772" s="30"/>
    </row>
    <row r="773" spans="1:16" ht="13.5">
      <c r="A773" s="78"/>
      <c r="B773" s="267" t="s">
        <v>370</v>
      </c>
      <c r="C773" s="268" t="s">
        <v>153</v>
      </c>
      <c r="D773" s="93">
        <f>D736</f>
        <v>40</v>
      </c>
      <c r="E773" s="82"/>
      <c r="F773" s="95"/>
      <c r="G773" s="96">
        <f t="shared" si="118"/>
        <v>0</v>
      </c>
      <c r="J773" s="30"/>
    </row>
    <row r="774" spans="1:16">
      <c r="A774" s="78"/>
      <c r="B774" s="267"/>
      <c r="C774" s="268"/>
      <c r="D774" s="93"/>
      <c r="E774" s="82"/>
      <c r="F774" s="95"/>
      <c r="G774" s="96"/>
      <c r="J774" s="63"/>
    </row>
    <row r="775" spans="1:16">
      <c r="A775" s="78"/>
      <c r="B775" s="267"/>
      <c r="C775" s="268"/>
      <c r="D775" s="93"/>
      <c r="E775" s="82"/>
      <c r="F775" s="95"/>
      <c r="G775" s="96"/>
      <c r="J775" s="63"/>
    </row>
    <row r="776" spans="1:16">
      <c r="A776" s="78"/>
      <c r="B776" s="267"/>
      <c r="C776" s="268"/>
      <c r="D776" s="93"/>
      <c r="E776" s="82"/>
      <c r="F776" s="95"/>
      <c r="G776" s="96"/>
      <c r="J776" s="63"/>
    </row>
    <row r="777" spans="1:16">
      <c r="A777" s="78"/>
      <c r="B777" s="267"/>
      <c r="C777" s="268"/>
      <c r="D777" s="93"/>
      <c r="E777" s="82"/>
      <c r="F777" s="95"/>
      <c r="G777" s="96"/>
      <c r="J777" s="63"/>
    </row>
    <row r="778" spans="1:16">
      <c r="A778" s="78"/>
      <c r="B778" s="267"/>
      <c r="C778" s="268"/>
      <c r="D778" s="93"/>
      <c r="E778" s="82"/>
      <c r="F778" s="95"/>
      <c r="G778" s="96"/>
      <c r="J778" s="63"/>
    </row>
    <row r="779" spans="1:16">
      <c r="A779" s="78"/>
      <c r="B779" s="267"/>
      <c r="C779" s="268"/>
      <c r="D779" s="93"/>
      <c r="E779" s="82"/>
      <c r="F779" s="95"/>
      <c r="G779" s="96"/>
      <c r="J779" s="63"/>
    </row>
    <row r="780" spans="1:16">
      <c r="A780" s="78"/>
      <c r="B780" s="267"/>
      <c r="C780" s="268"/>
      <c r="D780" s="93"/>
      <c r="E780" s="82"/>
      <c r="F780" s="95"/>
      <c r="G780" s="96"/>
      <c r="J780" s="63"/>
    </row>
    <row r="781" spans="1:16">
      <c r="A781" s="78"/>
      <c r="B781" s="267"/>
      <c r="C781" s="268"/>
      <c r="D781" s="93"/>
      <c r="E781" s="82"/>
      <c r="F781" s="95"/>
      <c r="G781" s="96"/>
      <c r="J781" s="63"/>
    </row>
    <row r="782" spans="1:16">
      <c r="A782" s="78"/>
      <c r="B782" s="267"/>
      <c r="C782" s="268"/>
      <c r="D782" s="93"/>
      <c r="E782" s="82"/>
      <c r="F782" s="95"/>
      <c r="G782" s="96"/>
      <c r="J782" s="63"/>
    </row>
    <row r="783" spans="1:16">
      <c r="A783" s="78"/>
      <c r="B783" s="267"/>
      <c r="C783" s="268"/>
      <c r="D783" s="93"/>
      <c r="E783" s="82"/>
      <c r="F783" s="95"/>
      <c r="G783" s="96"/>
      <c r="J783" s="63"/>
    </row>
    <row r="784" spans="1:16" ht="12.75" thickBot="1">
      <c r="A784" s="78"/>
      <c r="B784" s="267"/>
      <c r="C784" s="268"/>
      <c r="D784" s="93"/>
      <c r="E784" s="82"/>
      <c r="F784" s="95"/>
      <c r="G784" s="96"/>
      <c r="J784" s="63"/>
    </row>
    <row r="785" spans="1:9">
      <c r="A785" s="64"/>
      <c r="B785" s="65" t="s">
        <v>208</v>
      </c>
      <c r="C785" s="66"/>
      <c r="D785" s="67"/>
      <c r="E785" s="68"/>
      <c r="F785" s="70"/>
      <c r="G785" s="70"/>
    </row>
    <row r="786" spans="1:9" ht="12.75" thickBot="1">
      <c r="A786" s="71"/>
      <c r="B786" s="72" t="s">
        <v>119</v>
      </c>
      <c r="C786" s="73"/>
      <c r="D786" s="74"/>
      <c r="E786" s="75"/>
      <c r="F786" s="384"/>
      <c r="G786" s="77">
        <f>SUM(G757:G769)</f>
        <v>0</v>
      </c>
    </row>
    <row r="787" spans="1:9">
      <c r="A787" s="78"/>
      <c r="B787" s="79" t="s">
        <v>120</v>
      </c>
      <c r="C787" s="92"/>
      <c r="D787" s="93"/>
      <c r="E787" s="82"/>
      <c r="F787" s="95"/>
      <c r="G787" s="96"/>
    </row>
    <row r="788" spans="1:9">
      <c r="A788" s="78"/>
      <c r="B788" s="85" t="s">
        <v>97</v>
      </c>
      <c r="C788" s="92"/>
      <c r="D788" s="93"/>
      <c r="E788" s="82"/>
      <c r="F788" s="95"/>
      <c r="G788" s="96"/>
    </row>
    <row r="789" spans="1:9">
      <c r="A789" s="196" t="s">
        <v>121</v>
      </c>
      <c r="B789" s="123" t="s">
        <v>41</v>
      </c>
      <c r="C789" s="92"/>
      <c r="D789" s="93"/>
      <c r="E789" s="82"/>
      <c r="F789" s="95"/>
      <c r="G789" s="96"/>
    </row>
    <row r="790" spans="1:9" s="37" customFormat="1" ht="53.25" customHeight="1">
      <c r="A790" s="100"/>
      <c r="B790" s="104" t="s">
        <v>150</v>
      </c>
      <c r="C790" s="104"/>
      <c r="D790" s="104"/>
      <c r="E790" s="104"/>
      <c r="F790" s="104"/>
      <c r="G790" s="171"/>
    </row>
    <row r="791" spans="1:9">
      <c r="A791" s="139" t="s">
        <v>184</v>
      </c>
      <c r="B791" s="140" t="s">
        <v>128</v>
      </c>
      <c r="C791" s="151"/>
      <c r="D791" s="142"/>
      <c r="E791" s="143"/>
      <c r="F791" s="142"/>
      <c r="G791" s="204"/>
    </row>
    <row r="792" spans="1:9">
      <c r="A792" s="241" t="s">
        <v>161</v>
      </c>
      <c r="B792" s="269" t="s">
        <v>67</v>
      </c>
      <c r="C792" s="270"/>
      <c r="D792" s="244"/>
      <c r="E792" s="231"/>
      <c r="F792" s="244"/>
      <c r="G792" s="271"/>
    </row>
    <row r="793" spans="1:9">
      <c r="A793" s="272" t="s">
        <v>176</v>
      </c>
      <c r="B793" s="273" t="s">
        <v>286</v>
      </c>
      <c r="C793" s="274" t="s">
        <v>114</v>
      </c>
      <c r="D793" s="275"/>
      <c r="E793" s="276"/>
      <c r="F793" s="167"/>
      <c r="G793" s="168"/>
    </row>
    <row r="794" spans="1:9" ht="25.5" customHeight="1">
      <c r="A794" s="196"/>
      <c r="B794" s="252" t="s">
        <v>406</v>
      </c>
      <c r="C794" s="253" t="s">
        <v>129</v>
      </c>
      <c r="D794" s="93">
        <v>7.8</v>
      </c>
      <c r="E794" s="82"/>
      <c r="F794" s="95"/>
      <c r="G794" s="96">
        <f>(D794*E794)+(D794*F794)</f>
        <v>0</v>
      </c>
    </row>
    <row r="795" spans="1:9" ht="39.75" customHeight="1">
      <c r="A795" s="196"/>
      <c r="B795" s="252" t="s">
        <v>502</v>
      </c>
      <c r="C795" s="253" t="s">
        <v>129</v>
      </c>
      <c r="D795" s="93">
        <v>7.2</v>
      </c>
      <c r="E795" s="82"/>
      <c r="F795" s="95"/>
      <c r="G795" s="96">
        <f>(D795*E795)+(D795*F795)</f>
        <v>0</v>
      </c>
      <c r="I795" s="22">
        <f>3.6*2</f>
        <v>7.2</v>
      </c>
    </row>
    <row r="796" spans="1:9">
      <c r="A796" s="241" t="s">
        <v>162</v>
      </c>
      <c r="B796" s="269" t="s">
        <v>69</v>
      </c>
      <c r="C796" s="270"/>
      <c r="D796" s="244"/>
      <c r="E796" s="231"/>
      <c r="F796" s="244"/>
      <c r="G796" s="271"/>
    </row>
    <row r="797" spans="1:9">
      <c r="A797" s="272" t="s">
        <v>176</v>
      </c>
      <c r="B797" s="273" t="s">
        <v>368</v>
      </c>
      <c r="C797" s="274" t="s">
        <v>114</v>
      </c>
      <c r="D797" s="275"/>
      <c r="E797" s="276"/>
      <c r="F797" s="167"/>
      <c r="G797" s="168"/>
    </row>
    <row r="798" spans="1:9" ht="25.5" customHeight="1">
      <c r="A798" s="196"/>
      <c r="B798" s="252" t="s">
        <v>406</v>
      </c>
      <c r="C798" s="253" t="s">
        <v>129</v>
      </c>
      <c r="D798" s="93">
        <v>7</v>
      </c>
      <c r="E798" s="82"/>
      <c r="F798" s="95"/>
      <c r="G798" s="96">
        <f>(D798*E798)+(D798*F798)</f>
        <v>0</v>
      </c>
    </row>
    <row r="799" spans="1:9" ht="36" customHeight="1">
      <c r="A799" s="196"/>
      <c r="B799" s="252" t="s">
        <v>407</v>
      </c>
      <c r="C799" s="253" t="s">
        <v>129</v>
      </c>
      <c r="D799" s="93">
        <v>7.2</v>
      </c>
      <c r="E799" s="82"/>
      <c r="F799" s="95"/>
      <c r="G799" s="96">
        <f>(D799*E799)+(D799*F799)</f>
        <v>0</v>
      </c>
    </row>
    <row r="800" spans="1:9" ht="11.25" customHeight="1">
      <c r="A800" s="272" t="s">
        <v>177</v>
      </c>
      <c r="B800" s="273" t="s">
        <v>369</v>
      </c>
      <c r="C800" s="274" t="s">
        <v>114</v>
      </c>
      <c r="D800" s="275"/>
      <c r="E800" s="276"/>
      <c r="F800" s="167"/>
      <c r="G800" s="168"/>
    </row>
    <row r="801" spans="1:10" ht="25.5" customHeight="1">
      <c r="A801" s="196"/>
      <c r="B801" s="252" t="s">
        <v>503</v>
      </c>
      <c r="C801" s="253" t="s">
        <v>129</v>
      </c>
      <c r="D801" s="93">
        <v>27.6</v>
      </c>
      <c r="E801" s="82"/>
      <c r="F801" s="95"/>
      <c r="G801" s="96">
        <f>(D801*E801)+(D801*F801)</f>
        <v>0</v>
      </c>
      <c r="I801" s="22">
        <f>24+3.6</f>
        <v>27.6</v>
      </c>
    </row>
    <row r="802" spans="1:10">
      <c r="A802" s="241" t="s">
        <v>57</v>
      </c>
      <c r="B802" s="269" t="s">
        <v>71</v>
      </c>
      <c r="C802" s="270"/>
      <c r="D802" s="244"/>
      <c r="E802" s="231"/>
      <c r="F802" s="244"/>
      <c r="G802" s="271"/>
    </row>
    <row r="803" spans="1:10">
      <c r="A803" s="272" t="s">
        <v>176</v>
      </c>
      <c r="B803" s="273" t="s">
        <v>369</v>
      </c>
      <c r="C803" s="274" t="s">
        <v>114</v>
      </c>
      <c r="D803" s="275"/>
      <c r="E803" s="276"/>
      <c r="F803" s="167"/>
      <c r="G803" s="168"/>
    </row>
    <row r="804" spans="1:10" ht="29.25" customHeight="1">
      <c r="A804" s="196"/>
      <c r="B804" s="252" t="s">
        <v>503</v>
      </c>
      <c r="C804" s="253" t="s">
        <v>129</v>
      </c>
      <c r="D804" s="93">
        <v>27.6</v>
      </c>
      <c r="E804" s="82"/>
      <c r="F804" s="95"/>
      <c r="G804" s="96">
        <f>(D804*E804)+(D804*F804)</f>
        <v>0</v>
      </c>
    </row>
    <row r="805" spans="1:10">
      <c r="A805" s="139" t="s">
        <v>184</v>
      </c>
      <c r="B805" s="140" t="s">
        <v>372</v>
      </c>
      <c r="C805" s="151"/>
      <c r="D805" s="142"/>
      <c r="E805" s="143"/>
      <c r="F805" s="142"/>
      <c r="G805" s="204"/>
    </row>
    <row r="806" spans="1:10" ht="48" customHeight="1">
      <c r="A806" s="78" t="s">
        <v>176</v>
      </c>
      <c r="B806" s="252" t="s">
        <v>521</v>
      </c>
      <c r="C806" s="253"/>
      <c r="D806" s="93"/>
      <c r="E806" s="82"/>
      <c r="F806" s="95"/>
      <c r="G806" s="96">
        <f t="shared" ref="G806:G809" si="119">(D806*E806)+(D806*F806)</f>
        <v>0</v>
      </c>
    </row>
    <row r="807" spans="1:10">
      <c r="A807" s="196"/>
      <c r="B807" s="252" t="s">
        <v>371</v>
      </c>
      <c r="C807" s="253" t="s">
        <v>114</v>
      </c>
      <c r="D807" s="93">
        <v>18</v>
      </c>
      <c r="E807" s="82"/>
      <c r="F807" s="95"/>
      <c r="G807" s="96">
        <f t="shared" si="119"/>
        <v>0</v>
      </c>
    </row>
    <row r="808" spans="1:10" ht="36">
      <c r="A808" s="78" t="s">
        <v>177</v>
      </c>
      <c r="B808" s="252" t="s">
        <v>390</v>
      </c>
      <c r="C808" s="253" t="s">
        <v>373</v>
      </c>
      <c r="D808" s="93">
        <v>25.4</v>
      </c>
      <c r="E808" s="82"/>
      <c r="F808" s="95"/>
      <c r="G808" s="96">
        <f t="shared" si="119"/>
        <v>0</v>
      </c>
    </row>
    <row r="809" spans="1:10" ht="24">
      <c r="A809" s="78" t="s">
        <v>374</v>
      </c>
      <c r="B809" s="252" t="s">
        <v>382</v>
      </c>
      <c r="C809" s="253" t="s">
        <v>373</v>
      </c>
      <c r="D809" s="93">
        <v>433.4</v>
      </c>
      <c r="E809" s="82"/>
      <c r="F809" s="95"/>
      <c r="G809" s="96">
        <f t="shared" si="119"/>
        <v>0</v>
      </c>
      <c r="I809" s="22">
        <f>25.8*8*2</f>
        <v>412.8</v>
      </c>
      <c r="J809" s="22">
        <f>I809*105%</f>
        <v>433.44000000000005</v>
      </c>
    </row>
    <row r="810" spans="1:10" ht="24">
      <c r="A810" s="78" t="s">
        <v>375</v>
      </c>
      <c r="B810" s="252" t="s">
        <v>381</v>
      </c>
      <c r="C810" s="268" t="s">
        <v>153</v>
      </c>
      <c r="D810" s="93">
        <v>341.6</v>
      </c>
      <c r="E810" s="82"/>
      <c r="F810" s="95"/>
      <c r="G810" s="96">
        <f t="shared" ref="G810" si="120">(D810*E810)+(D810*F810)</f>
        <v>0</v>
      </c>
      <c r="I810" s="22">
        <f>25.8*6.62*2</f>
        <v>341.59200000000004</v>
      </c>
    </row>
    <row r="811" spans="1:10" ht="36">
      <c r="A811" s="78" t="s">
        <v>377</v>
      </c>
      <c r="B811" s="252" t="s">
        <v>376</v>
      </c>
      <c r="C811" s="268" t="s">
        <v>153</v>
      </c>
      <c r="D811" s="93">
        <f>D810</f>
        <v>341.6</v>
      </c>
      <c r="E811" s="82"/>
      <c r="F811" s="95"/>
      <c r="G811" s="96">
        <f t="shared" ref="G811" si="121">(D811*E811)+(D811*F811)</f>
        <v>0</v>
      </c>
    </row>
    <row r="812" spans="1:10" ht="24">
      <c r="A812" s="78" t="s">
        <v>378</v>
      </c>
      <c r="B812" s="252" t="s">
        <v>379</v>
      </c>
      <c r="C812" s="268" t="s">
        <v>153</v>
      </c>
      <c r="D812" s="93">
        <f>D810</f>
        <v>341.6</v>
      </c>
      <c r="E812" s="82"/>
      <c r="F812" s="95"/>
      <c r="G812" s="96">
        <f t="shared" ref="G812" si="122">(D812*E812)+(D812*F812)</f>
        <v>0</v>
      </c>
    </row>
    <row r="813" spans="1:10" ht="24">
      <c r="A813" s="78" t="s">
        <v>380</v>
      </c>
      <c r="B813" s="252" t="s">
        <v>383</v>
      </c>
      <c r="C813" s="268" t="s">
        <v>384</v>
      </c>
      <c r="D813" s="93">
        <v>26</v>
      </c>
      <c r="E813" s="82"/>
      <c r="F813" s="95"/>
      <c r="G813" s="96">
        <f t="shared" ref="G813" si="123">(D813*E813)+(D813*F813)</f>
        <v>0</v>
      </c>
    </row>
    <row r="814" spans="1:10" ht="24">
      <c r="A814" s="78" t="s">
        <v>194</v>
      </c>
      <c r="B814" s="252" t="s">
        <v>385</v>
      </c>
      <c r="C814" s="268" t="s">
        <v>384</v>
      </c>
      <c r="D814" s="93">
        <v>27</v>
      </c>
      <c r="E814" s="82"/>
      <c r="F814" s="95"/>
      <c r="G814" s="96">
        <f t="shared" ref="G814" si="124">(D814*E814)+(D814*F814)</f>
        <v>0</v>
      </c>
      <c r="I814" s="22">
        <f>6.7*4</f>
        <v>26.8</v>
      </c>
    </row>
    <row r="815" spans="1:10" ht="36">
      <c r="A815" s="78" t="s">
        <v>195</v>
      </c>
      <c r="B815" s="252" t="s">
        <v>386</v>
      </c>
      <c r="C815" s="268" t="s">
        <v>384</v>
      </c>
      <c r="D815" s="93">
        <v>51.7</v>
      </c>
      <c r="E815" s="82"/>
      <c r="F815" s="95"/>
      <c r="G815" s="96">
        <f t="shared" ref="G815" si="125">(D815*E815)+(D815*F815)</f>
        <v>0</v>
      </c>
    </row>
    <row r="816" spans="1:10">
      <c r="A816" s="78"/>
      <c r="B816" s="252"/>
      <c r="C816" s="268"/>
      <c r="D816" s="93"/>
      <c r="E816" s="82"/>
      <c r="F816" s="95"/>
      <c r="G816" s="96"/>
    </row>
    <row r="817" spans="1:7" ht="12.75" thickBot="1">
      <c r="A817" s="78"/>
      <c r="B817" s="252"/>
      <c r="C817" s="268"/>
      <c r="D817" s="93"/>
      <c r="E817" s="82"/>
      <c r="F817" s="95"/>
      <c r="G817" s="96"/>
    </row>
    <row r="818" spans="1:7">
      <c r="A818" s="385"/>
      <c r="B818" s="65" t="s">
        <v>209</v>
      </c>
      <c r="C818" s="66"/>
      <c r="D818" s="67"/>
      <c r="E818" s="68"/>
      <c r="F818" s="349"/>
      <c r="G818" s="70"/>
    </row>
    <row r="819" spans="1:7" ht="12.75" thickBot="1">
      <c r="A819" s="386"/>
      <c r="B819" s="72" t="s">
        <v>125</v>
      </c>
      <c r="C819" s="73"/>
      <c r="D819" s="74"/>
      <c r="E819" s="75"/>
      <c r="F819" s="353"/>
      <c r="G819" s="77">
        <f>SUM(G794:G818)</f>
        <v>0</v>
      </c>
    </row>
    <row r="820" spans="1:7">
      <c r="A820" s="196"/>
      <c r="B820" s="105"/>
      <c r="C820" s="92"/>
      <c r="D820" s="93"/>
      <c r="E820" s="82"/>
      <c r="F820" s="95"/>
      <c r="G820" s="96"/>
    </row>
    <row r="821" spans="1:7">
      <c r="A821" s="78"/>
      <c r="B821" s="79" t="s">
        <v>126</v>
      </c>
      <c r="C821" s="92"/>
      <c r="D821" s="93"/>
      <c r="E821" s="82"/>
      <c r="F821" s="95"/>
      <c r="G821" s="96"/>
    </row>
    <row r="822" spans="1:7">
      <c r="A822" s="78"/>
      <c r="B822" s="85" t="s">
        <v>132</v>
      </c>
      <c r="C822" s="92"/>
      <c r="D822" s="93"/>
      <c r="E822" s="82"/>
      <c r="F822" s="95"/>
      <c r="G822" s="96"/>
    </row>
    <row r="823" spans="1:7">
      <c r="A823" s="196" t="s">
        <v>127</v>
      </c>
      <c r="B823" s="123" t="s">
        <v>41</v>
      </c>
      <c r="C823" s="92"/>
      <c r="D823" s="93"/>
      <c r="E823" s="82"/>
      <c r="F823" s="95"/>
      <c r="G823" s="96"/>
    </row>
    <row r="824" spans="1:7" ht="36" customHeight="1">
      <c r="A824" s="78"/>
      <c r="B824" s="99" t="s">
        <v>172</v>
      </c>
      <c r="C824" s="197"/>
      <c r="D824" s="197"/>
      <c r="E824" s="197"/>
      <c r="F824" s="197"/>
      <c r="G824" s="198"/>
    </row>
    <row r="825" spans="1:7" ht="51" customHeight="1">
      <c r="A825" s="126"/>
      <c r="B825" s="99" t="s">
        <v>171</v>
      </c>
      <c r="C825" s="197"/>
      <c r="D825" s="197"/>
      <c r="E825" s="197"/>
      <c r="F825" s="197"/>
      <c r="G825" s="198"/>
    </row>
    <row r="826" spans="1:7" ht="28.5" customHeight="1">
      <c r="A826" s="78"/>
      <c r="B826" s="99" t="s">
        <v>284</v>
      </c>
      <c r="C826" s="197"/>
      <c r="D826" s="197"/>
      <c r="E826" s="197"/>
      <c r="F826" s="197"/>
      <c r="G826" s="198"/>
    </row>
    <row r="827" spans="1:7" ht="36.75" customHeight="1">
      <c r="A827" s="78"/>
      <c r="B827" s="99" t="s">
        <v>170</v>
      </c>
      <c r="C827" s="197"/>
      <c r="D827" s="197"/>
      <c r="E827" s="197"/>
      <c r="F827" s="197"/>
      <c r="G827" s="198"/>
    </row>
    <row r="828" spans="1:7" ht="29.25" customHeight="1">
      <c r="A828" s="78"/>
      <c r="B828" s="99" t="s">
        <v>285</v>
      </c>
      <c r="C828" s="197"/>
      <c r="D828" s="197"/>
      <c r="E828" s="197"/>
      <c r="F828" s="197"/>
      <c r="G828" s="198"/>
    </row>
    <row r="829" spans="1:7">
      <c r="A829" s="277" t="s">
        <v>161</v>
      </c>
      <c r="B829" s="278" t="s">
        <v>67</v>
      </c>
      <c r="C829" s="279"/>
      <c r="D829" s="280"/>
      <c r="E829" s="264"/>
      <c r="F829" s="177"/>
      <c r="G829" s="178">
        <f>D829*E829</f>
        <v>0</v>
      </c>
    </row>
    <row r="830" spans="1:7">
      <c r="A830" s="281" t="s">
        <v>176</v>
      </c>
      <c r="B830" s="282" t="s">
        <v>134</v>
      </c>
      <c r="C830" s="228"/>
      <c r="D830" s="283"/>
      <c r="E830" s="215"/>
      <c r="F830" s="229"/>
      <c r="G830" s="284"/>
    </row>
    <row r="831" spans="1:7">
      <c r="A831" s="285" t="s">
        <v>199</v>
      </c>
      <c r="B831" s="193" t="s">
        <v>224</v>
      </c>
      <c r="C831" s="106" t="s">
        <v>15</v>
      </c>
      <c r="D831" s="194">
        <v>1</v>
      </c>
      <c r="E831" s="82"/>
      <c r="F831" s="95"/>
      <c r="G831" s="96">
        <f>(D831*E831)+(D831*F831)</f>
        <v>0</v>
      </c>
    </row>
    <row r="832" spans="1:7" ht="27" customHeight="1">
      <c r="A832" s="285" t="s">
        <v>200</v>
      </c>
      <c r="B832" s="193" t="s">
        <v>225</v>
      </c>
      <c r="C832" s="106" t="s">
        <v>15</v>
      </c>
      <c r="D832" s="194">
        <v>1</v>
      </c>
      <c r="E832" s="82"/>
      <c r="F832" s="95"/>
      <c r="G832" s="96">
        <f>(D832*E832)+(D832*F832)</f>
        <v>0</v>
      </c>
    </row>
    <row r="833" spans="1:7" ht="36">
      <c r="A833" s="285" t="s">
        <v>202</v>
      </c>
      <c r="B833" s="193" t="s">
        <v>265</v>
      </c>
      <c r="C833" s="106" t="s">
        <v>114</v>
      </c>
      <c r="D833" s="194">
        <v>1</v>
      </c>
      <c r="E833" s="82"/>
      <c r="F833" s="95"/>
      <c r="G833" s="96">
        <f>(D833*E833)+(D833*F833)</f>
        <v>0</v>
      </c>
    </row>
    <row r="834" spans="1:7">
      <c r="A834" s="281" t="s">
        <v>177</v>
      </c>
      <c r="B834" s="286" t="s">
        <v>135</v>
      </c>
      <c r="C834" s="228"/>
      <c r="D834" s="283"/>
      <c r="E834" s="215"/>
      <c r="F834" s="216"/>
      <c r="G834" s="217">
        <f>D834*E834</f>
        <v>0</v>
      </c>
    </row>
    <row r="835" spans="1:7">
      <c r="A835" s="285"/>
      <c r="B835" s="193" t="s">
        <v>136</v>
      </c>
      <c r="C835" s="106" t="s">
        <v>114</v>
      </c>
      <c r="D835" s="194">
        <v>3</v>
      </c>
      <c r="E835" s="82"/>
      <c r="F835" s="95"/>
      <c r="G835" s="96">
        <f>(D835*E835)+(D835*F835)</f>
        <v>0</v>
      </c>
    </row>
    <row r="836" spans="1:7">
      <c r="A836" s="285"/>
      <c r="B836" s="193" t="s">
        <v>226</v>
      </c>
      <c r="C836" s="106" t="s">
        <v>114</v>
      </c>
      <c r="D836" s="194">
        <v>1</v>
      </c>
      <c r="E836" s="82"/>
      <c r="F836" s="95"/>
      <c r="G836" s="96">
        <f t="shared" ref="G836:G844" si="126">(D836*E836)+(D836*F836)</f>
        <v>0</v>
      </c>
    </row>
    <row r="837" spans="1:7">
      <c r="A837" s="285"/>
      <c r="B837" s="193" t="s">
        <v>137</v>
      </c>
      <c r="C837" s="106" t="s">
        <v>114</v>
      </c>
      <c r="D837" s="194">
        <f>D836</f>
        <v>1</v>
      </c>
      <c r="E837" s="82"/>
      <c r="F837" s="95"/>
      <c r="G837" s="96">
        <f t="shared" si="126"/>
        <v>0</v>
      </c>
    </row>
    <row r="838" spans="1:7">
      <c r="A838" s="285"/>
      <c r="B838" s="193" t="s">
        <v>138</v>
      </c>
      <c r="C838" s="106" t="s">
        <v>114</v>
      </c>
      <c r="D838" s="194">
        <f>D835</f>
        <v>3</v>
      </c>
      <c r="E838" s="82"/>
      <c r="F838" s="95"/>
      <c r="G838" s="96">
        <f t="shared" si="126"/>
        <v>0</v>
      </c>
    </row>
    <row r="839" spans="1:7">
      <c r="A839" s="285"/>
      <c r="B839" s="193" t="s">
        <v>139</v>
      </c>
      <c r="C839" s="106" t="s">
        <v>114</v>
      </c>
      <c r="D839" s="194">
        <f>D835</f>
        <v>3</v>
      </c>
      <c r="E839" s="82"/>
      <c r="F839" s="95"/>
      <c r="G839" s="96">
        <f t="shared" si="126"/>
        <v>0</v>
      </c>
    </row>
    <row r="840" spans="1:7">
      <c r="A840" s="285"/>
      <c r="B840" s="193" t="s">
        <v>140</v>
      </c>
      <c r="C840" s="106" t="s">
        <v>114</v>
      </c>
      <c r="D840" s="194">
        <f>D835</f>
        <v>3</v>
      </c>
      <c r="E840" s="82"/>
      <c r="F840" s="95"/>
      <c r="G840" s="96">
        <f t="shared" si="126"/>
        <v>0</v>
      </c>
    </row>
    <row r="841" spans="1:7">
      <c r="A841" s="285"/>
      <c r="B841" s="193" t="s">
        <v>198</v>
      </c>
      <c r="C841" s="106" t="s">
        <v>114</v>
      </c>
      <c r="D841" s="194">
        <v>5</v>
      </c>
      <c r="E841" s="82"/>
      <c r="F841" s="95"/>
      <c r="G841" s="96">
        <f t="shared" si="126"/>
        <v>0</v>
      </c>
    </row>
    <row r="842" spans="1:7">
      <c r="A842" s="285"/>
      <c r="B842" s="193" t="s">
        <v>227</v>
      </c>
      <c r="C842" s="106" t="s">
        <v>114</v>
      </c>
      <c r="D842" s="194">
        <f>D835</f>
        <v>3</v>
      </c>
      <c r="E842" s="82"/>
      <c r="F842" s="95"/>
      <c r="G842" s="96">
        <f t="shared" si="126"/>
        <v>0</v>
      </c>
    </row>
    <row r="843" spans="1:7">
      <c r="A843" s="285"/>
      <c r="B843" s="193" t="s">
        <v>505</v>
      </c>
      <c r="C843" s="106" t="s">
        <v>114</v>
      </c>
      <c r="D843" s="194">
        <v>1</v>
      </c>
      <c r="E843" s="82"/>
      <c r="F843" s="95"/>
      <c r="G843" s="96">
        <f t="shared" ref="G843" si="127">(D843*E843)+(D843*F843)</f>
        <v>0</v>
      </c>
    </row>
    <row r="844" spans="1:7">
      <c r="A844" s="285"/>
      <c r="B844" s="193" t="s">
        <v>281</v>
      </c>
      <c r="C844" s="106" t="s">
        <v>114</v>
      </c>
      <c r="D844" s="194">
        <v>4</v>
      </c>
      <c r="E844" s="82"/>
      <c r="F844" s="95"/>
      <c r="G844" s="96">
        <f t="shared" si="126"/>
        <v>0</v>
      </c>
    </row>
    <row r="845" spans="1:7">
      <c r="A845" s="285"/>
      <c r="B845" s="193" t="s">
        <v>504</v>
      </c>
      <c r="C845" s="106" t="s">
        <v>114</v>
      </c>
      <c r="D845" s="194">
        <v>3</v>
      </c>
      <c r="E845" s="82"/>
      <c r="F845" s="95"/>
      <c r="G845" s="96">
        <f t="shared" ref="G845" si="128">(D845*E845)+(D845*F845)</f>
        <v>0</v>
      </c>
    </row>
    <row r="846" spans="1:7" ht="12.75" customHeight="1">
      <c r="A846" s="281" t="s">
        <v>177</v>
      </c>
      <c r="B846" s="287" t="s">
        <v>228</v>
      </c>
      <c r="C846" s="288"/>
      <c r="D846" s="283"/>
      <c r="E846" s="215"/>
      <c r="F846" s="216"/>
      <c r="G846" s="217">
        <f t="shared" ref="G846:G849" si="129">(D846*E846)+(D846*F846)</f>
        <v>0</v>
      </c>
    </row>
    <row r="847" spans="1:7" ht="47.25" customHeight="1">
      <c r="A847" s="285" t="s">
        <v>176</v>
      </c>
      <c r="B847" s="193" t="s">
        <v>229</v>
      </c>
      <c r="C847" s="106" t="s">
        <v>15</v>
      </c>
      <c r="D847" s="194">
        <v>1</v>
      </c>
      <c r="E847" s="82"/>
      <c r="F847" s="95"/>
      <c r="G847" s="96">
        <f t="shared" si="129"/>
        <v>0</v>
      </c>
    </row>
    <row r="848" spans="1:7" ht="36.75" customHeight="1">
      <c r="A848" s="285" t="s">
        <v>177</v>
      </c>
      <c r="B848" s="193" t="s">
        <v>230</v>
      </c>
      <c r="C848" s="106" t="s">
        <v>15</v>
      </c>
      <c r="D848" s="194">
        <v>1</v>
      </c>
      <c r="E848" s="82"/>
      <c r="F848" s="95"/>
      <c r="G848" s="96">
        <f t="shared" si="129"/>
        <v>0</v>
      </c>
    </row>
    <row r="849" spans="1:10" ht="63.75" customHeight="1">
      <c r="A849" s="285" t="s">
        <v>189</v>
      </c>
      <c r="B849" s="193" t="s">
        <v>438</v>
      </c>
      <c r="C849" s="161" t="s">
        <v>151</v>
      </c>
      <c r="D849" s="194">
        <v>1.8</v>
      </c>
      <c r="E849" s="82"/>
      <c r="F849" s="95"/>
      <c r="G849" s="96">
        <f t="shared" si="129"/>
        <v>0</v>
      </c>
      <c r="I849" s="33"/>
      <c r="J849" s="33"/>
    </row>
    <row r="850" spans="1:10" ht="12" customHeight="1">
      <c r="A850" s="285"/>
      <c r="B850" s="193"/>
      <c r="C850" s="106"/>
      <c r="D850" s="194"/>
      <c r="E850" s="82"/>
      <c r="F850" s="95"/>
      <c r="G850" s="96"/>
      <c r="I850" s="33"/>
      <c r="J850" s="33"/>
    </row>
    <row r="851" spans="1:10" ht="12" customHeight="1">
      <c r="A851" s="285"/>
      <c r="B851" s="193"/>
      <c r="C851" s="106"/>
      <c r="D851" s="194"/>
      <c r="E851" s="82"/>
      <c r="F851" s="95"/>
      <c r="G851" s="96"/>
      <c r="I851" s="33"/>
      <c r="J851" s="33"/>
    </row>
    <row r="852" spans="1:10" ht="12" customHeight="1">
      <c r="A852" s="285"/>
      <c r="B852" s="193"/>
      <c r="C852" s="106"/>
      <c r="D852" s="194"/>
      <c r="E852" s="82"/>
      <c r="F852" s="95"/>
      <c r="G852" s="96"/>
      <c r="I852" s="33"/>
      <c r="J852" s="33"/>
    </row>
    <row r="853" spans="1:10" ht="12" customHeight="1">
      <c r="A853" s="285"/>
      <c r="B853" s="193"/>
      <c r="C853" s="106"/>
      <c r="D853" s="194"/>
      <c r="E853" s="82"/>
      <c r="F853" s="95"/>
      <c r="G853" s="96"/>
      <c r="I853" s="33"/>
      <c r="J853" s="33"/>
    </row>
    <row r="854" spans="1:10" ht="12" customHeight="1">
      <c r="A854" s="285"/>
      <c r="B854" s="193"/>
      <c r="C854" s="106"/>
      <c r="D854" s="194"/>
      <c r="E854" s="82"/>
      <c r="F854" s="95"/>
      <c r="G854" s="96"/>
      <c r="I854" s="33"/>
      <c r="J854" s="33"/>
    </row>
    <row r="855" spans="1:10" ht="12" customHeight="1" thickBot="1">
      <c r="A855" s="387"/>
      <c r="B855" s="388"/>
      <c r="C855" s="389"/>
      <c r="D855" s="390"/>
      <c r="E855" s="365"/>
      <c r="F855" s="340"/>
      <c r="G855" s="361"/>
      <c r="I855" s="33"/>
      <c r="J855" s="33"/>
    </row>
    <row r="856" spans="1:10" ht="12" customHeight="1">
      <c r="A856" s="285"/>
      <c r="B856" s="193"/>
      <c r="C856" s="106"/>
      <c r="D856" s="194"/>
      <c r="E856" s="82"/>
      <c r="F856" s="95"/>
      <c r="G856" s="96"/>
      <c r="I856" s="33"/>
      <c r="J856" s="33"/>
    </row>
    <row r="857" spans="1:10" ht="12" customHeight="1">
      <c r="A857" s="277" t="s">
        <v>162</v>
      </c>
      <c r="B857" s="278" t="s">
        <v>69</v>
      </c>
      <c r="C857" s="279"/>
      <c r="D857" s="280"/>
      <c r="E857" s="264"/>
      <c r="F857" s="177"/>
      <c r="G857" s="178"/>
    </row>
    <row r="858" spans="1:10">
      <c r="A858" s="281" t="s">
        <v>176</v>
      </c>
      <c r="B858" s="282" t="s">
        <v>134</v>
      </c>
      <c r="C858" s="228"/>
      <c r="D858" s="283"/>
      <c r="E858" s="215"/>
      <c r="F858" s="229"/>
      <c r="G858" s="284"/>
      <c r="I858" s="33"/>
      <c r="J858" s="33"/>
    </row>
    <row r="859" spans="1:10">
      <c r="A859" s="285" t="s">
        <v>199</v>
      </c>
      <c r="B859" s="193" t="s">
        <v>224</v>
      </c>
      <c r="C859" s="106" t="s">
        <v>15</v>
      </c>
      <c r="D859" s="194">
        <v>1</v>
      </c>
      <c r="E859" s="82"/>
      <c r="F859" s="95"/>
      <c r="G859" s="96">
        <f>(D859*E859)+(D859*F859)</f>
        <v>0</v>
      </c>
    </row>
    <row r="860" spans="1:10" ht="24">
      <c r="A860" s="285" t="s">
        <v>200</v>
      </c>
      <c r="B860" s="193" t="s">
        <v>225</v>
      </c>
      <c r="C860" s="106" t="s">
        <v>15</v>
      </c>
      <c r="D860" s="194">
        <v>1</v>
      </c>
      <c r="E860" s="82"/>
      <c r="F860" s="95"/>
      <c r="G860" s="96">
        <f>(D860*E860)+(D860*F860)</f>
        <v>0</v>
      </c>
    </row>
    <row r="861" spans="1:10" ht="12.75" customHeight="1">
      <c r="A861" s="281" t="s">
        <v>177</v>
      </c>
      <c r="B861" s="286" t="s">
        <v>135</v>
      </c>
      <c r="C861" s="228"/>
      <c r="D861" s="283"/>
      <c r="E861" s="215"/>
      <c r="F861" s="216"/>
      <c r="G861" s="217">
        <f>D861*E861</f>
        <v>0</v>
      </c>
    </row>
    <row r="862" spans="1:10">
      <c r="A862" s="285"/>
      <c r="B862" s="193" t="s">
        <v>136</v>
      </c>
      <c r="C862" s="106" t="s">
        <v>114</v>
      </c>
      <c r="D862" s="194">
        <v>3</v>
      </c>
      <c r="E862" s="82"/>
      <c r="F862" s="95"/>
      <c r="G862" s="96">
        <f>(D862*E862)+(D862*F862)</f>
        <v>0</v>
      </c>
    </row>
    <row r="863" spans="1:10">
      <c r="A863" s="285"/>
      <c r="B863" s="193" t="s">
        <v>226</v>
      </c>
      <c r="C863" s="106" t="s">
        <v>114</v>
      </c>
      <c r="D863" s="194">
        <v>1</v>
      </c>
      <c r="E863" s="82"/>
      <c r="F863" s="95"/>
      <c r="G863" s="96">
        <f t="shared" ref="G863:G874" si="130">(D863*E863)+(D863*F863)</f>
        <v>0</v>
      </c>
    </row>
    <row r="864" spans="1:10">
      <c r="A864" s="285"/>
      <c r="B864" s="193" t="s">
        <v>137</v>
      </c>
      <c r="C864" s="106" t="s">
        <v>114</v>
      </c>
      <c r="D864" s="194">
        <f>D863</f>
        <v>1</v>
      </c>
      <c r="E864" s="82"/>
      <c r="F864" s="95"/>
      <c r="G864" s="96">
        <f t="shared" si="130"/>
        <v>0</v>
      </c>
    </row>
    <row r="865" spans="1:7" ht="14.25" customHeight="1">
      <c r="A865" s="285"/>
      <c r="B865" s="193" t="s">
        <v>138</v>
      </c>
      <c r="C865" s="106" t="s">
        <v>114</v>
      </c>
      <c r="D865" s="194">
        <f>D862</f>
        <v>3</v>
      </c>
      <c r="E865" s="82"/>
      <c r="F865" s="95"/>
      <c r="G865" s="96">
        <f t="shared" si="130"/>
        <v>0</v>
      </c>
    </row>
    <row r="866" spans="1:7" ht="14.25" customHeight="1">
      <c r="A866" s="285"/>
      <c r="B866" s="193" t="s">
        <v>139</v>
      </c>
      <c r="C866" s="106" t="s">
        <v>114</v>
      </c>
      <c r="D866" s="194">
        <f>D862</f>
        <v>3</v>
      </c>
      <c r="E866" s="82"/>
      <c r="F866" s="95"/>
      <c r="G866" s="96">
        <f t="shared" si="130"/>
        <v>0</v>
      </c>
    </row>
    <row r="867" spans="1:7">
      <c r="A867" s="285"/>
      <c r="B867" s="193" t="s">
        <v>140</v>
      </c>
      <c r="C867" s="106" t="s">
        <v>114</v>
      </c>
      <c r="D867" s="194">
        <f>D862</f>
        <v>3</v>
      </c>
      <c r="E867" s="82"/>
      <c r="F867" s="95"/>
      <c r="G867" s="96">
        <f t="shared" si="130"/>
        <v>0</v>
      </c>
    </row>
    <row r="868" spans="1:7">
      <c r="A868" s="285"/>
      <c r="B868" s="193" t="s">
        <v>198</v>
      </c>
      <c r="C868" s="106" t="s">
        <v>114</v>
      </c>
      <c r="D868" s="194">
        <v>5</v>
      </c>
      <c r="E868" s="82"/>
      <c r="F868" s="95"/>
      <c r="G868" s="96">
        <f t="shared" si="130"/>
        <v>0</v>
      </c>
    </row>
    <row r="869" spans="1:7">
      <c r="A869" s="285"/>
      <c r="B869" s="193" t="s">
        <v>227</v>
      </c>
      <c r="C869" s="106" t="s">
        <v>114</v>
      </c>
      <c r="D869" s="194">
        <f>D862</f>
        <v>3</v>
      </c>
      <c r="E869" s="82"/>
      <c r="F869" s="95"/>
      <c r="G869" s="96">
        <f t="shared" si="130"/>
        <v>0</v>
      </c>
    </row>
    <row r="870" spans="1:7">
      <c r="A870" s="285"/>
      <c r="B870" s="193" t="s">
        <v>505</v>
      </c>
      <c r="C870" s="106" t="s">
        <v>114</v>
      </c>
      <c r="D870" s="194">
        <v>1</v>
      </c>
      <c r="E870" s="82"/>
      <c r="F870" s="95"/>
      <c r="G870" s="96">
        <f t="shared" si="130"/>
        <v>0</v>
      </c>
    </row>
    <row r="871" spans="1:7">
      <c r="A871" s="285"/>
      <c r="B871" s="193" t="s">
        <v>281</v>
      </c>
      <c r="C871" s="106" t="s">
        <v>114</v>
      </c>
      <c r="D871" s="194">
        <v>4</v>
      </c>
      <c r="E871" s="82"/>
      <c r="F871" s="95"/>
      <c r="G871" s="96">
        <f t="shared" si="130"/>
        <v>0</v>
      </c>
    </row>
    <row r="872" spans="1:7">
      <c r="A872" s="285"/>
      <c r="B872" s="193" t="s">
        <v>504</v>
      </c>
      <c r="C872" s="106" t="s">
        <v>114</v>
      </c>
      <c r="D872" s="194">
        <v>3</v>
      </c>
      <c r="E872" s="82"/>
      <c r="F872" s="95"/>
      <c r="G872" s="96">
        <f t="shared" si="130"/>
        <v>0</v>
      </c>
    </row>
    <row r="873" spans="1:7">
      <c r="A873" s="281" t="s">
        <v>177</v>
      </c>
      <c r="B873" s="287" t="s">
        <v>228</v>
      </c>
      <c r="C873" s="288"/>
      <c r="D873" s="283"/>
      <c r="E873" s="215"/>
      <c r="F873" s="216"/>
      <c r="G873" s="217">
        <f t="shared" si="130"/>
        <v>0</v>
      </c>
    </row>
    <row r="874" spans="1:7" ht="48">
      <c r="A874" s="285" t="s">
        <v>176</v>
      </c>
      <c r="B874" s="193" t="s">
        <v>229</v>
      </c>
      <c r="C874" s="106" t="s">
        <v>15</v>
      </c>
      <c r="D874" s="194">
        <v>1</v>
      </c>
      <c r="E874" s="82"/>
      <c r="F874" s="95"/>
      <c r="G874" s="96">
        <f t="shared" si="130"/>
        <v>0</v>
      </c>
    </row>
    <row r="875" spans="1:7">
      <c r="A875" s="277" t="s">
        <v>57</v>
      </c>
      <c r="B875" s="278" t="s">
        <v>71</v>
      </c>
      <c r="C875" s="279"/>
      <c r="D875" s="280"/>
      <c r="E875" s="264"/>
      <c r="F875" s="177"/>
      <c r="G875" s="178"/>
    </row>
    <row r="876" spans="1:7">
      <c r="A876" s="281" t="s">
        <v>176</v>
      </c>
      <c r="B876" s="282" t="s">
        <v>134</v>
      </c>
      <c r="C876" s="228"/>
      <c r="D876" s="283"/>
      <c r="E876" s="215"/>
      <c r="F876" s="229"/>
      <c r="G876" s="284"/>
    </row>
    <row r="877" spans="1:7">
      <c r="A877" s="285" t="s">
        <v>199</v>
      </c>
      <c r="B877" s="193" t="s">
        <v>224</v>
      </c>
      <c r="C877" s="106" t="s">
        <v>15</v>
      </c>
      <c r="D877" s="194">
        <v>1</v>
      </c>
      <c r="E877" s="82"/>
      <c r="F877" s="95"/>
      <c r="G877" s="96">
        <f>(D877*E877)+(D877*F877)</f>
        <v>0</v>
      </c>
    </row>
    <row r="878" spans="1:7" ht="24">
      <c r="A878" s="285" t="s">
        <v>200</v>
      </c>
      <c r="B878" s="193" t="s">
        <v>225</v>
      </c>
      <c r="C878" s="106" t="s">
        <v>15</v>
      </c>
      <c r="D878" s="194">
        <v>1</v>
      </c>
      <c r="E878" s="82"/>
      <c r="F878" s="95"/>
      <c r="G878" s="96">
        <f>(D878*E878)+(D878*F878)</f>
        <v>0</v>
      </c>
    </row>
    <row r="879" spans="1:7">
      <c r="A879" s="281" t="s">
        <v>177</v>
      </c>
      <c r="B879" s="286" t="s">
        <v>135</v>
      </c>
      <c r="C879" s="228"/>
      <c r="D879" s="283"/>
      <c r="E879" s="215"/>
      <c r="F879" s="216"/>
      <c r="G879" s="217">
        <f>D879*E879</f>
        <v>0</v>
      </c>
    </row>
    <row r="880" spans="1:7">
      <c r="A880" s="285"/>
      <c r="B880" s="193" t="s">
        <v>136</v>
      </c>
      <c r="C880" s="106" t="s">
        <v>114</v>
      </c>
      <c r="D880" s="194">
        <v>3</v>
      </c>
      <c r="E880" s="82"/>
      <c r="F880" s="95"/>
      <c r="G880" s="96">
        <f>(D880*E880)+(D880*F880)</f>
        <v>0</v>
      </c>
    </row>
    <row r="881" spans="1:7">
      <c r="A881" s="285"/>
      <c r="B881" s="193" t="s">
        <v>226</v>
      </c>
      <c r="C881" s="106" t="s">
        <v>114</v>
      </c>
      <c r="D881" s="194">
        <v>1</v>
      </c>
      <c r="E881" s="82"/>
      <c r="F881" s="95"/>
      <c r="G881" s="96">
        <f t="shared" ref="G881:G892" si="131">(D881*E881)+(D881*F881)</f>
        <v>0</v>
      </c>
    </row>
    <row r="882" spans="1:7">
      <c r="A882" s="285"/>
      <c r="B882" s="193" t="s">
        <v>137</v>
      </c>
      <c r="C882" s="106" t="s">
        <v>114</v>
      </c>
      <c r="D882" s="194">
        <f>D881</f>
        <v>1</v>
      </c>
      <c r="E882" s="82"/>
      <c r="F882" s="95"/>
      <c r="G882" s="96">
        <f t="shared" si="131"/>
        <v>0</v>
      </c>
    </row>
    <row r="883" spans="1:7">
      <c r="A883" s="285"/>
      <c r="B883" s="193" t="s">
        <v>138</v>
      </c>
      <c r="C883" s="106" t="s">
        <v>114</v>
      </c>
      <c r="D883" s="194">
        <f>D880</f>
        <v>3</v>
      </c>
      <c r="E883" s="82"/>
      <c r="F883" s="95"/>
      <c r="G883" s="96">
        <f t="shared" si="131"/>
        <v>0</v>
      </c>
    </row>
    <row r="884" spans="1:7">
      <c r="A884" s="285"/>
      <c r="B884" s="193" t="s">
        <v>139</v>
      </c>
      <c r="C884" s="106" t="s">
        <v>114</v>
      </c>
      <c r="D884" s="194">
        <f>D880</f>
        <v>3</v>
      </c>
      <c r="E884" s="82"/>
      <c r="F884" s="95"/>
      <c r="G884" s="96">
        <f t="shared" si="131"/>
        <v>0</v>
      </c>
    </row>
    <row r="885" spans="1:7">
      <c r="A885" s="285"/>
      <c r="B885" s="193" t="s">
        <v>140</v>
      </c>
      <c r="C885" s="106" t="s">
        <v>114</v>
      </c>
      <c r="D885" s="194">
        <f>D880</f>
        <v>3</v>
      </c>
      <c r="E885" s="82"/>
      <c r="F885" s="95"/>
      <c r="G885" s="96">
        <f t="shared" si="131"/>
        <v>0</v>
      </c>
    </row>
    <row r="886" spans="1:7">
      <c r="A886" s="285"/>
      <c r="B886" s="193" t="s">
        <v>198</v>
      </c>
      <c r="C886" s="106" t="s">
        <v>114</v>
      </c>
      <c r="D886" s="194">
        <v>5</v>
      </c>
      <c r="E886" s="82"/>
      <c r="F886" s="95"/>
      <c r="G886" s="96">
        <f t="shared" si="131"/>
        <v>0</v>
      </c>
    </row>
    <row r="887" spans="1:7">
      <c r="A887" s="285"/>
      <c r="B887" s="193" t="s">
        <v>227</v>
      </c>
      <c r="C887" s="106" t="s">
        <v>114</v>
      </c>
      <c r="D887" s="194">
        <f>D880</f>
        <v>3</v>
      </c>
      <c r="E887" s="82"/>
      <c r="F887" s="95"/>
      <c r="G887" s="96">
        <f t="shared" si="131"/>
        <v>0</v>
      </c>
    </row>
    <row r="888" spans="1:7">
      <c r="A888" s="285"/>
      <c r="B888" s="193" t="s">
        <v>505</v>
      </c>
      <c r="C888" s="106" t="s">
        <v>114</v>
      </c>
      <c r="D888" s="194">
        <v>1</v>
      </c>
      <c r="E888" s="82"/>
      <c r="F888" s="95"/>
      <c r="G888" s="96">
        <f t="shared" si="131"/>
        <v>0</v>
      </c>
    </row>
    <row r="889" spans="1:7">
      <c r="A889" s="285"/>
      <c r="B889" s="193" t="s">
        <v>281</v>
      </c>
      <c r="C889" s="106" t="s">
        <v>114</v>
      </c>
      <c r="D889" s="194">
        <v>4</v>
      </c>
      <c r="E889" s="82"/>
      <c r="F889" s="95"/>
      <c r="G889" s="96">
        <f t="shared" si="131"/>
        <v>0</v>
      </c>
    </row>
    <row r="890" spans="1:7">
      <c r="A890" s="285"/>
      <c r="B890" s="193" t="s">
        <v>504</v>
      </c>
      <c r="C890" s="106" t="s">
        <v>114</v>
      </c>
      <c r="D890" s="194">
        <v>3</v>
      </c>
      <c r="E890" s="82"/>
      <c r="F890" s="95"/>
      <c r="G890" s="96">
        <f t="shared" si="131"/>
        <v>0</v>
      </c>
    </row>
    <row r="891" spans="1:7">
      <c r="A891" s="281" t="s">
        <v>177</v>
      </c>
      <c r="B891" s="287" t="s">
        <v>228</v>
      </c>
      <c r="C891" s="288"/>
      <c r="D891" s="283"/>
      <c r="E891" s="215"/>
      <c r="F891" s="216"/>
      <c r="G891" s="217">
        <f t="shared" si="131"/>
        <v>0</v>
      </c>
    </row>
    <row r="892" spans="1:7" ht="48">
      <c r="A892" s="285" t="s">
        <v>176</v>
      </c>
      <c r="B892" s="193" t="s">
        <v>229</v>
      </c>
      <c r="C892" s="106" t="s">
        <v>15</v>
      </c>
      <c r="D892" s="194">
        <v>1</v>
      </c>
      <c r="E892" s="82"/>
      <c r="F892" s="95"/>
      <c r="G892" s="96">
        <f t="shared" si="131"/>
        <v>0</v>
      </c>
    </row>
    <row r="893" spans="1:7">
      <c r="A893" s="277" t="s">
        <v>163</v>
      </c>
      <c r="B893" s="278" t="s">
        <v>293</v>
      </c>
      <c r="C893" s="279"/>
      <c r="D893" s="280"/>
      <c r="E893" s="264"/>
      <c r="F893" s="177"/>
      <c r="G893" s="178"/>
    </row>
    <row r="894" spans="1:7">
      <c r="A894" s="281" t="s">
        <v>189</v>
      </c>
      <c r="B894" s="287" t="s">
        <v>228</v>
      </c>
      <c r="C894" s="288"/>
      <c r="D894" s="283"/>
      <c r="E894" s="215"/>
      <c r="F894" s="216"/>
      <c r="G894" s="217">
        <f t="shared" ref="G894:G895" si="132">(D894*E894)+(D894*F894)</f>
        <v>0</v>
      </c>
    </row>
    <row r="895" spans="1:7" ht="48">
      <c r="A895" s="285" t="s">
        <v>176</v>
      </c>
      <c r="B895" s="193" t="s">
        <v>392</v>
      </c>
      <c r="C895" s="106" t="s">
        <v>15</v>
      </c>
      <c r="D895" s="194">
        <v>1</v>
      </c>
      <c r="E895" s="82"/>
      <c r="F895" s="95"/>
      <c r="G895" s="96">
        <f t="shared" si="132"/>
        <v>0</v>
      </c>
    </row>
    <row r="896" spans="1:7">
      <c r="A896" s="78"/>
      <c r="B896" s="252"/>
      <c r="C896" s="268"/>
      <c r="D896" s="93"/>
      <c r="E896" s="82"/>
      <c r="F896" s="95"/>
      <c r="G896" s="96"/>
    </row>
    <row r="897" spans="1:7">
      <c r="A897" s="78"/>
      <c r="B897" s="252"/>
      <c r="C897" s="268"/>
      <c r="D897" s="93"/>
      <c r="E897" s="82"/>
      <c r="F897" s="95"/>
      <c r="G897" s="96"/>
    </row>
    <row r="898" spans="1:7">
      <c r="A898" s="78"/>
      <c r="B898" s="252"/>
      <c r="C898" s="268"/>
      <c r="D898" s="93"/>
      <c r="E898" s="82"/>
      <c r="F898" s="95"/>
      <c r="G898" s="96"/>
    </row>
    <row r="899" spans="1:7">
      <c r="A899" s="78"/>
      <c r="B899" s="252"/>
      <c r="C899" s="268"/>
      <c r="D899" s="93"/>
      <c r="E899" s="82"/>
      <c r="F899" s="95"/>
      <c r="G899" s="96"/>
    </row>
    <row r="900" spans="1:7" ht="12.75" thickBot="1">
      <c r="A900" s="78"/>
      <c r="B900" s="252"/>
      <c r="C900" s="268"/>
      <c r="D900" s="93"/>
      <c r="E900" s="82"/>
      <c r="F900" s="95"/>
      <c r="G900" s="96"/>
    </row>
    <row r="901" spans="1:7">
      <c r="A901" s="64"/>
      <c r="B901" s="65" t="s">
        <v>210</v>
      </c>
      <c r="C901" s="66"/>
      <c r="D901" s="67"/>
      <c r="E901" s="68"/>
      <c r="F901" s="349"/>
      <c r="G901" s="70"/>
    </row>
    <row r="902" spans="1:7" ht="12.75" thickBot="1">
      <c r="A902" s="71"/>
      <c r="B902" s="72" t="s">
        <v>130</v>
      </c>
      <c r="C902" s="73"/>
      <c r="D902" s="74"/>
      <c r="E902" s="75"/>
      <c r="F902" s="353"/>
      <c r="G902" s="77">
        <f>SUM(G831:G901)</f>
        <v>0</v>
      </c>
    </row>
    <row r="903" spans="1:7">
      <c r="A903" s="159"/>
      <c r="B903" s="202"/>
      <c r="C903" s="161"/>
      <c r="D903" s="116"/>
      <c r="E903" s="117"/>
      <c r="F903" s="95"/>
      <c r="G903" s="96"/>
    </row>
    <row r="904" spans="1:7">
      <c r="A904" s="78"/>
      <c r="B904" s="79" t="s">
        <v>131</v>
      </c>
      <c r="C904" s="92"/>
      <c r="D904" s="93"/>
      <c r="E904" s="82"/>
      <c r="F904" s="95"/>
      <c r="G904" s="96"/>
    </row>
    <row r="905" spans="1:7">
      <c r="A905" s="78"/>
      <c r="B905" s="85" t="s">
        <v>100</v>
      </c>
      <c r="C905" s="92"/>
      <c r="D905" s="93"/>
      <c r="E905" s="82"/>
      <c r="F905" s="95"/>
      <c r="G905" s="96"/>
    </row>
    <row r="906" spans="1:7">
      <c r="A906" s="289" t="s">
        <v>133</v>
      </c>
      <c r="B906" s="123" t="s">
        <v>41</v>
      </c>
      <c r="C906" s="92"/>
      <c r="D906" s="93"/>
      <c r="E906" s="290"/>
      <c r="F906" s="95"/>
      <c r="G906" s="96"/>
    </row>
    <row r="907" spans="1:7" ht="26.25" customHeight="1">
      <c r="A907" s="291"/>
      <c r="B907" s="449" t="s">
        <v>299</v>
      </c>
      <c r="C907" s="450"/>
      <c r="D907" s="450"/>
      <c r="E907" s="451"/>
      <c r="F907" s="197"/>
      <c r="G907" s="198"/>
    </row>
    <row r="908" spans="1:7" ht="39.75" customHeight="1">
      <c r="A908" s="291"/>
      <c r="B908" s="449" t="s">
        <v>300</v>
      </c>
      <c r="C908" s="450"/>
      <c r="D908" s="450"/>
      <c r="E908" s="451"/>
      <c r="F908" s="197"/>
      <c r="G908" s="198"/>
    </row>
    <row r="909" spans="1:7" ht="41.25" customHeight="1">
      <c r="A909" s="291"/>
      <c r="B909" s="449" t="s">
        <v>298</v>
      </c>
      <c r="C909" s="450"/>
      <c r="D909" s="450"/>
      <c r="E909" s="451"/>
      <c r="F909" s="197"/>
      <c r="G909" s="198"/>
    </row>
    <row r="910" spans="1:7" ht="38.25" customHeight="1">
      <c r="A910" s="292"/>
      <c r="B910" s="449" t="s">
        <v>196</v>
      </c>
      <c r="C910" s="450"/>
      <c r="D910" s="450"/>
      <c r="E910" s="451"/>
      <c r="F910" s="197"/>
      <c r="G910" s="198"/>
    </row>
    <row r="911" spans="1:7" ht="27" customHeight="1">
      <c r="A911" s="291"/>
      <c r="B911" s="452" t="s">
        <v>527</v>
      </c>
      <c r="C911" s="453"/>
      <c r="D911" s="453"/>
      <c r="E911" s="454"/>
      <c r="F911" s="197"/>
      <c r="G911" s="198"/>
    </row>
    <row r="912" spans="1:7">
      <c r="A912" s="293" t="s">
        <v>161</v>
      </c>
      <c r="B912" s="294" t="s">
        <v>67</v>
      </c>
      <c r="C912" s="295"/>
      <c r="D912" s="296"/>
      <c r="E912" s="297"/>
      <c r="F912" s="298"/>
      <c r="G912" s="299"/>
    </row>
    <row r="913" spans="1:7" ht="12.75">
      <c r="A913" s="300" t="s">
        <v>176</v>
      </c>
      <c r="B913" s="301" t="s">
        <v>237</v>
      </c>
      <c r="C913" s="220"/>
      <c r="D913" s="221"/>
      <c r="E913" s="209"/>
      <c r="F913" s="189"/>
      <c r="G913" s="222">
        <f>D913*E913</f>
        <v>0</v>
      </c>
    </row>
    <row r="914" spans="1:7" ht="25.5" customHeight="1">
      <c r="A914" s="302" t="s">
        <v>199</v>
      </c>
      <c r="B914" s="303" t="s">
        <v>514</v>
      </c>
      <c r="C914" s="304" t="s">
        <v>8</v>
      </c>
      <c r="D914" s="305">
        <v>1</v>
      </c>
      <c r="E914" s="306"/>
      <c r="F914" s="306"/>
      <c r="G914" s="307">
        <f>+D914*E914+D914*F914</f>
        <v>0</v>
      </c>
    </row>
    <row r="915" spans="1:7" ht="24.75" customHeight="1">
      <c r="A915" s="302" t="s">
        <v>200</v>
      </c>
      <c r="B915" s="308" t="s">
        <v>513</v>
      </c>
      <c r="C915" s="304"/>
      <c r="D915" s="305"/>
      <c r="E915" s="209"/>
      <c r="F915" s="306"/>
      <c r="G915" s="307"/>
    </row>
    <row r="916" spans="1:7" ht="12.75">
      <c r="A916" s="302" t="s">
        <v>506</v>
      </c>
      <c r="B916" s="309" t="s">
        <v>507</v>
      </c>
      <c r="C916" s="304" t="s">
        <v>8</v>
      </c>
      <c r="D916" s="305">
        <v>1</v>
      </c>
      <c r="E916" s="209"/>
      <c r="F916" s="306"/>
      <c r="G916" s="307">
        <f t="shared" ref="G916:G917" si="133">+D916*E916+D916*F916</f>
        <v>0</v>
      </c>
    </row>
    <row r="917" spans="1:7" ht="12.75">
      <c r="A917" s="302" t="s">
        <v>508</v>
      </c>
      <c r="B917" s="309" t="s">
        <v>509</v>
      </c>
      <c r="C917" s="304" t="s">
        <v>8</v>
      </c>
      <c r="D917" s="305">
        <v>1</v>
      </c>
      <c r="E917" s="209"/>
      <c r="F917" s="306"/>
      <c r="G917" s="307">
        <f t="shared" si="133"/>
        <v>0</v>
      </c>
    </row>
    <row r="918" spans="1:7" ht="12.75">
      <c r="A918" s="300" t="s">
        <v>177</v>
      </c>
      <c r="B918" s="301" t="s">
        <v>238</v>
      </c>
      <c r="C918" s="310"/>
      <c r="D918" s="311"/>
      <c r="E918" s="209"/>
      <c r="F918" s="306"/>
      <c r="G918" s="312">
        <f t="shared" ref="G918:G947" si="134">+D918*E918+D918*F918</f>
        <v>0</v>
      </c>
    </row>
    <row r="919" spans="1:7" ht="12.75">
      <c r="A919" s="302"/>
      <c r="B919" s="309" t="s">
        <v>393</v>
      </c>
      <c r="C919" s="220" t="s">
        <v>8</v>
      </c>
      <c r="D919" s="221">
        <v>24</v>
      </c>
      <c r="E919" s="209"/>
      <c r="F919" s="306"/>
      <c r="G919" s="312">
        <f t="shared" si="134"/>
        <v>0</v>
      </c>
    </row>
    <row r="920" spans="1:7" ht="12.75">
      <c r="A920" s="302"/>
      <c r="B920" s="309" t="s">
        <v>394</v>
      </c>
      <c r="C920" s="220" t="s">
        <v>8</v>
      </c>
      <c r="D920" s="221">
        <v>8</v>
      </c>
      <c r="E920" s="209"/>
      <c r="F920" s="306"/>
      <c r="G920" s="312">
        <f t="shared" ref="G920" si="135">+D920*E920+D920*F920</f>
        <v>0</v>
      </c>
    </row>
    <row r="921" spans="1:7" ht="12.75">
      <c r="A921" s="302"/>
      <c r="B921" s="309" t="s">
        <v>306</v>
      </c>
      <c r="C921" s="220" t="s">
        <v>8</v>
      </c>
      <c r="D921" s="221">
        <v>11</v>
      </c>
      <c r="E921" s="209"/>
      <c r="F921" s="306"/>
      <c r="G921" s="312">
        <f t="shared" ref="G921" si="136">+D921*E921+D921*F921</f>
        <v>0</v>
      </c>
    </row>
    <row r="922" spans="1:7" ht="12.75">
      <c r="A922" s="302"/>
      <c r="B922" s="309" t="s">
        <v>307</v>
      </c>
      <c r="C922" s="220" t="s">
        <v>8</v>
      </c>
      <c r="D922" s="221">
        <v>9</v>
      </c>
      <c r="E922" s="209"/>
      <c r="F922" s="306"/>
      <c r="G922" s="312">
        <f t="shared" si="134"/>
        <v>0</v>
      </c>
    </row>
    <row r="923" spans="1:7" ht="12.75">
      <c r="A923" s="302"/>
      <c r="B923" s="309" t="s">
        <v>289</v>
      </c>
      <c r="C923" s="220" t="s">
        <v>8</v>
      </c>
      <c r="D923" s="221">
        <v>12</v>
      </c>
      <c r="E923" s="209"/>
      <c r="F923" s="306"/>
      <c r="G923" s="312">
        <f t="shared" si="134"/>
        <v>0</v>
      </c>
    </row>
    <row r="924" spans="1:7" ht="12.75">
      <c r="A924" s="302"/>
      <c r="B924" s="309" t="s">
        <v>405</v>
      </c>
      <c r="C924" s="304" t="s">
        <v>8</v>
      </c>
      <c r="D924" s="305">
        <v>2</v>
      </c>
      <c r="E924" s="209"/>
      <c r="F924" s="306"/>
      <c r="G924" s="312">
        <f t="shared" ref="G924:G928" si="137">+D924*E924+D924*F924</f>
        <v>0</v>
      </c>
    </row>
    <row r="925" spans="1:7" ht="12.75">
      <c r="A925" s="302"/>
      <c r="B925" s="309" t="s">
        <v>515</v>
      </c>
      <c r="C925" s="304" t="s">
        <v>8</v>
      </c>
      <c r="D925" s="305">
        <v>17</v>
      </c>
      <c r="E925" s="209"/>
      <c r="F925" s="306"/>
      <c r="G925" s="312">
        <f t="shared" ref="G925" si="138">+D925*E925+D925*F925</f>
        <v>0</v>
      </c>
    </row>
    <row r="926" spans="1:7" ht="12.75">
      <c r="A926" s="302"/>
      <c r="B926" s="309" t="s">
        <v>395</v>
      </c>
      <c r="C926" s="304" t="s">
        <v>8</v>
      </c>
      <c r="D926" s="305">
        <v>12</v>
      </c>
      <c r="E926" s="209"/>
      <c r="F926" s="306"/>
      <c r="G926" s="312">
        <f t="shared" si="137"/>
        <v>0</v>
      </c>
    </row>
    <row r="927" spans="1:7" ht="12.75">
      <c r="A927" s="302"/>
      <c r="B927" s="309" t="s">
        <v>526</v>
      </c>
      <c r="C927" s="304" t="s">
        <v>8</v>
      </c>
      <c r="D927" s="305">
        <v>5</v>
      </c>
      <c r="E927" s="209"/>
      <c r="F927" s="306"/>
      <c r="G927" s="312">
        <f t="shared" ref="G927" si="139">+D927*E927+D927*F927</f>
        <v>0</v>
      </c>
    </row>
    <row r="928" spans="1:7" ht="12.75">
      <c r="A928" s="302"/>
      <c r="B928" s="309" t="s">
        <v>516</v>
      </c>
      <c r="C928" s="220" t="s">
        <v>8</v>
      </c>
      <c r="D928" s="221">
        <v>5</v>
      </c>
      <c r="E928" s="209"/>
      <c r="F928" s="306"/>
      <c r="G928" s="312">
        <f t="shared" si="137"/>
        <v>0</v>
      </c>
    </row>
    <row r="929" spans="1:7" ht="12.75">
      <c r="A929" s="302"/>
      <c r="B929" s="309" t="s">
        <v>396</v>
      </c>
      <c r="C929" s="220" t="s">
        <v>8</v>
      </c>
      <c r="D929" s="221">
        <v>1</v>
      </c>
      <c r="E929" s="209"/>
      <c r="F929" s="306"/>
      <c r="G929" s="312">
        <f t="shared" ref="G929:G931" si="140">+D929*E929+D929*F929</f>
        <v>0</v>
      </c>
    </row>
    <row r="930" spans="1:7" ht="12.75">
      <c r="A930" s="302"/>
      <c r="B930" s="309" t="s">
        <v>397</v>
      </c>
      <c r="C930" s="220" t="s">
        <v>8</v>
      </c>
      <c r="D930" s="221">
        <v>3</v>
      </c>
      <c r="E930" s="209"/>
      <c r="F930" s="306"/>
      <c r="G930" s="312">
        <f t="shared" si="140"/>
        <v>0</v>
      </c>
    </row>
    <row r="931" spans="1:7" ht="12.75">
      <c r="A931" s="302"/>
      <c r="B931" s="309" t="s">
        <v>398</v>
      </c>
      <c r="C931" s="220" t="s">
        <v>8</v>
      </c>
      <c r="D931" s="221">
        <v>9</v>
      </c>
      <c r="E931" s="209"/>
      <c r="F931" s="306"/>
      <c r="G931" s="312">
        <f t="shared" si="140"/>
        <v>0</v>
      </c>
    </row>
    <row r="932" spans="1:7" ht="12.75">
      <c r="A932" s="302"/>
      <c r="B932" s="309" t="s">
        <v>399</v>
      </c>
      <c r="C932" s="220" t="s">
        <v>8</v>
      </c>
      <c r="D932" s="221">
        <f>D923</f>
        <v>12</v>
      </c>
      <c r="E932" s="209"/>
      <c r="F932" s="306"/>
      <c r="G932" s="312">
        <f t="shared" si="134"/>
        <v>0</v>
      </c>
    </row>
    <row r="933" spans="1:7" ht="12.75">
      <c r="A933" s="302"/>
      <c r="B933" s="309" t="s">
        <v>400</v>
      </c>
      <c r="C933" s="220" t="s">
        <v>8</v>
      </c>
      <c r="D933" s="221">
        <v>3</v>
      </c>
      <c r="E933" s="209"/>
      <c r="F933" s="306"/>
      <c r="G933" s="312">
        <f t="shared" ref="G933" si="141">+D933*E933+D933*F933</f>
        <v>0</v>
      </c>
    </row>
    <row r="934" spans="1:7" ht="12.75">
      <c r="A934" s="302"/>
      <c r="B934" s="309" t="s">
        <v>401</v>
      </c>
      <c r="C934" s="220" t="s">
        <v>8</v>
      </c>
      <c r="D934" s="221">
        <v>3</v>
      </c>
      <c r="E934" s="209"/>
      <c r="F934" s="306"/>
      <c r="G934" s="312">
        <f t="shared" si="134"/>
        <v>0</v>
      </c>
    </row>
    <row r="935" spans="1:7" ht="12.75">
      <c r="A935" s="302"/>
      <c r="B935" s="309" t="s">
        <v>402</v>
      </c>
      <c r="C935" s="220" t="s">
        <v>8</v>
      </c>
      <c r="D935" s="221">
        <v>3</v>
      </c>
      <c r="E935" s="209"/>
      <c r="F935" s="306"/>
      <c r="G935" s="312">
        <f t="shared" ref="G935:G938" si="142">+D935*E935+D935*F935</f>
        <v>0</v>
      </c>
    </row>
    <row r="936" spans="1:7" ht="12.75">
      <c r="A936" s="302"/>
      <c r="B936" s="309" t="s">
        <v>431</v>
      </c>
      <c r="C936" s="220" t="s">
        <v>8</v>
      </c>
      <c r="D936" s="221">
        <v>7</v>
      </c>
      <c r="E936" s="209"/>
      <c r="F936" s="306"/>
      <c r="G936" s="312">
        <f t="shared" si="142"/>
        <v>0</v>
      </c>
    </row>
    <row r="937" spans="1:7" ht="12.75">
      <c r="A937" s="302"/>
      <c r="B937" s="309" t="s">
        <v>403</v>
      </c>
      <c r="C937" s="220" t="s">
        <v>8</v>
      </c>
      <c r="D937" s="221">
        <v>6</v>
      </c>
      <c r="E937" s="209"/>
      <c r="F937" s="306"/>
      <c r="G937" s="312">
        <f t="shared" si="142"/>
        <v>0</v>
      </c>
    </row>
    <row r="938" spans="1:7" ht="12.75">
      <c r="A938" s="302"/>
      <c r="B938" s="309" t="s">
        <v>432</v>
      </c>
      <c r="C938" s="220" t="s">
        <v>8</v>
      </c>
      <c r="D938" s="221">
        <v>3</v>
      </c>
      <c r="E938" s="209"/>
      <c r="F938" s="306"/>
      <c r="G938" s="312">
        <f t="shared" si="142"/>
        <v>0</v>
      </c>
    </row>
    <row r="939" spans="1:7" ht="12.75">
      <c r="A939" s="300" t="s">
        <v>189</v>
      </c>
      <c r="B939" s="301" t="s">
        <v>239</v>
      </c>
      <c r="C939" s="310"/>
      <c r="D939" s="311"/>
      <c r="E939" s="209"/>
      <c r="F939" s="306"/>
      <c r="G939" s="312">
        <f t="shared" si="134"/>
        <v>0</v>
      </c>
    </row>
    <row r="940" spans="1:7" ht="13.5">
      <c r="A940" s="78" t="s">
        <v>176</v>
      </c>
      <c r="B940" s="252" t="s">
        <v>263</v>
      </c>
      <c r="C940" s="268" t="s">
        <v>241</v>
      </c>
      <c r="D940" s="93">
        <f>D919+D922+D923+D921+D920</f>
        <v>64</v>
      </c>
      <c r="E940" s="82"/>
      <c r="F940" s="306"/>
      <c r="G940" s="312">
        <f t="shared" si="134"/>
        <v>0</v>
      </c>
    </row>
    <row r="941" spans="1:7" ht="13.5">
      <c r="A941" s="78" t="s">
        <v>177</v>
      </c>
      <c r="B941" s="252" t="s">
        <v>262</v>
      </c>
      <c r="C941" s="268" t="s">
        <v>241</v>
      </c>
      <c r="D941" s="93">
        <f>D924+D925+D926+D927</f>
        <v>36</v>
      </c>
      <c r="E941" s="82"/>
      <c r="F941" s="306"/>
      <c r="G941" s="312">
        <f t="shared" si="134"/>
        <v>0</v>
      </c>
    </row>
    <row r="942" spans="1:7" ht="13.5">
      <c r="A942" s="78" t="s">
        <v>189</v>
      </c>
      <c r="B942" s="252" t="s">
        <v>264</v>
      </c>
      <c r="C942" s="268" t="s">
        <v>114</v>
      </c>
      <c r="D942" s="93">
        <f>D916+D917</f>
        <v>2</v>
      </c>
      <c r="E942" s="82"/>
      <c r="F942" s="306"/>
      <c r="G942" s="312">
        <f t="shared" si="134"/>
        <v>0</v>
      </c>
    </row>
    <row r="943" spans="1:7">
      <c r="A943" s="78" t="s">
        <v>190</v>
      </c>
      <c r="B943" s="252" t="s">
        <v>240</v>
      </c>
      <c r="C943" s="268" t="s">
        <v>114</v>
      </c>
      <c r="D943" s="93">
        <f>D935</f>
        <v>3</v>
      </c>
      <c r="E943" s="82"/>
      <c r="F943" s="306"/>
      <c r="G943" s="312">
        <f t="shared" si="134"/>
        <v>0</v>
      </c>
    </row>
    <row r="944" spans="1:7">
      <c r="A944" s="78" t="s">
        <v>191</v>
      </c>
      <c r="B944" s="252" t="s">
        <v>517</v>
      </c>
      <c r="C944" s="268" t="s">
        <v>114</v>
      </c>
      <c r="D944" s="93">
        <f>D933</f>
        <v>3</v>
      </c>
      <c r="E944" s="82"/>
      <c r="F944" s="306"/>
      <c r="G944" s="312">
        <f t="shared" si="134"/>
        <v>0</v>
      </c>
    </row>
    <row r="945" spans="1:7">
      <c r="A945" s="78" t="s">
        <v>192</v>
      </c>
      <c r="B945" s="252" t="s">
        <v>518</v>
      </c>
      <c r="C945" s="268" t="s">
        <v>114</v>
      </c>
      <c r="D945" s="93">
        <f>D934</f>
        <v>3</v>
      </c>
      <c r="E945" s="82"/>
      <c r="F945" s="306"/>
      <c r="G945" s="312">
        <f t="shared" si="134"/>
        <v>0</v>
      </c>
    </row>
    <row r="946" spans="1:7">
      <c r="A946" s="78" t="s">
        <v>193</v>
      </c>
      <c r="B946" s="252" t="s">
        <v>519</v>
      </c>
      <c r="C946" s="268" t="s">
        <v>114</v>
      </c>
      <c r="D946" s="93">
        <f>3</f>
        <v>3</v>
      </c>
      <c r="E946" s="82"/>
      <c r="F946" s="306"/>
      <c r="G946" s="312">
        <f t="shared" si="134"/>
        <v>0</v>
      </c>
    </row>
    <row r="947" spans="1:7" ht="12.75" thickBot="1">
      <c r="A947" s="78" t="s">
        <v>194</v>
      </c>
      <c r="B947" s="252" t="s">
        <v>520</v>
      </c>
      <c r="C947" s="268" t="s">
        <v>114</v>
      </c>
      <c r="D947" s="93">
        <f>D936</f>
        <v>7</v>
      </c>
      <c r="E947" s="82"/>
      <c r="F947" s="306"/>
      <c r="G947" s="312">
        <f t="shared" si="134"/>
        <v>0</v>
      </c>
    </row>
    <row r="948" spans="1:7">
      <c r="A948" s="410"/>
      <c r="B948" s="406"/>
      <c r="C948" s="411"/>
      <c r="D948" s="362"/>
      <c r="E948" s="363"/>
      <c r="F948" s="412"/>
      <c r="G948" s="413"/>
    </row>
    <row r="949" spans="1:7">
      <c r="A949" s="293" t="s">
        <v>162</v>
      </c>
      <c r="B949" s="294" t="s">
        <v>69</v>
      </c>
      <c r="C949" s="295"/>
      <c r="D949" s="296"/>
      <c r="E949" s="297"/>
      <c r="F949" s="298"/>
      <c r="G949" s="299"/>
    </row>
    <row r="950" spans="1:7" ht="12.75">
      <c r="A950" s="300" t="s">
        <v>176</v>
      </c>
      <c r="B950" s="301" t="s">
        <v>237</v>
      </c>
      <c r="C950" s="220"/>
      <c r="D950" s="221"/>
      <c r="E950" s="209"/>
      <c r="F950" s="189"/>
      <c r="G950" s="222">
        <f>D950*E950</f>
        <v>0</v>
      </c>
    </row>
    <row r="951" spans="1:7" ht="27.75" customHeight="1">
      <c r="A951" s="302" t="s">
        <v>512</v>
      </c>
      <c r="B951" s="308" t="s">
        <v>513</v>
      </c>
      <c r="C951" s="304"/>
      <c r="D951" s="305"/>
      <c r="E951" s="209"/>
      <c r="F951" s="306"/>
      <c r="G951" s="307"/>
    </row>
    <row r="952" spans="1:7" ht="12.75">
      <c r="A952" s="302" t="s">
        <v>510</v>
      </c>
      <c r="B952" s="309" t="s">
        <v>507</v>
      </c>
      <c r="C952" s="304" t="s">
        <v>8</v>
      </c>
      <c r="D952" s="305">
        <v>1</v>
      </c>
      <c r="E952" s="209"/>
      <c r="F952" s="306"/>
      <c r="G952" s="307">
        <f t="shared" ref="G952:G982" si="143">+D952*E952+D952*F952</f>
        <v>0</v>
      </c>
    </row>
    <row r="953" spans="1:7" ht="12.75">
      <c r="A953" s="302" t="s">
        <v>511</v>
      </c>
      <c r="B953" s="309" t="s">
        <v>509</v>
      </c>
      <c r="C953" s="304" t="s">
        <v>8</v>
      </c>
      <c r="D953" s="305">
        <v>1</v>
      </c>
      <c r="E953" s="209"/>
      <c r="F953" s="306"/>
      <c r="G953" s="307">
        <f t="shared" si="143"/>
        <v>0</v>
      </c>
    </row>
    <row r="954" spans="1:7" ht="12.75">
      <c r="A954" s="300" t="s">
        <v>177</v>
      </c>
      <c r="B954" s="301" t="s">
        <v>238</v>
      </c>
      <c r="C954" s="310"/>
      <c r="D954" s="311"/>
      <c r="E954" s="209"/>
      <c r="F954" s="306"/>
      <c r="G954" s="312">
        <f t="shared" si="143"/>
        <v>0</v>
      </c>
    </row>
    <row r="955" spans="1:7" ht="12.75">
      <c r="A955" s="302"/>
      <c r="B955" s="309" t="s">
        <v>393</v>
      </c>
      <c r="C955" s="220" t="s">
        <v>8</v>
      </c>
      <c r="D955" s="221">
        <v>24</v>
      </c>
      <c r="E955" s="209"/>
      <c r="F955" s="306"/>
      <c r="G955" s="312">
        <f t="shared" si="143"/>
        <v>0</v>
      </c>
    </row>
    <row r="956" spans="1:7" ht="12.75">
      <c r="A956" s="302"/>
      <c r="B956" s="309" t="s">
        <v>404</v>
      </c>
      <c r="C956" s="220" t="s">
        <v>8</v>
      </c>
      <c r="D956" s="221">
        <v>2</v>
      </c>
      <c r="E956" s="209"/>
      <c r="F956" s="306"/>
      <c r="G956" s="312">
        <f t="shared" si="143"/>
        <v>0</v>
      </c>
    </row>
    <row r="957" spans="1:7" ht="12.75">
      <c r="A957" s="302"/>
      <c r="B957" s="309" t="s">
        <v>394</v>
      </c>
      <c r="C957" s="220" t="s">
        <v>8</v>
      </c>
      <c r="D957" s="221">
        <v>8</v>
      </c>
      <c r="E957" s="209"/>
      <c r="F957" s="306"/>
      <c r="G957" s="312">
        <f t="shared" si="143"/>
        <v>0</v>
      </c>
    </row>
    <row r="958" spans="1:7" ht="12.75">
      <c r="A958" s="302"/>
      <c r="B958" s="309" t="s">
        <v>306</v>
      </c>
      <c r="C958" s="220" t="s">
        <v>8</v>
      </c>
      <c r="D958" s="221">
        <v>11</v>
      </c>
      <c r="E958" s="209"/>
      <c r="F958" s="306"/>
      <c r="G958" s="312">
        <f t="shared" si="143"/>
        <v>0</v>
      </c>
    </row>
    <row r="959" spans="1:7" ht="12.75">
      <c r="A959" s="302"/>
      <c r="B959" s="309" t="s">
        <v>289</v>
      </c>
      <c r="C959" s="220" t="s">
        <v>8</v>
      </c>
      <c r="D959" s="221">
        <v>12</v>
      </c>
      <c r="E959" s="209"/>
      <c r="F959" s="306"/>
      <c r="G959" s="312">
        <f t="shared" si="143"/>
        <v>0</v>
      </c>
    </row>
    <row r="960" spans="1:7" ht="12.75">
      <c r="A960" s="302"/>
      <c r="B960" s="309" t="s">
        <v>522</v>
      </c>
      <c r="C960" s="304" t="s">
        <v>8</v>
      </c>
      <c r="D960" s="305">
        <v>23</v>
      </c>
      <c r="E960" s="209"/>
      <c r="F960" s="306"/>
      <c r="G960" s="312">
        <f t="shared" si="143"/>
        <v>0</v>
      </c>
    </row>
    <row r="961" spans="1:7" ht="12.75">
      <c r="A961" s="302"/>
      <c r="B961" s="309" t="s">
        <v>395</v>
      </c>
      <c r="C961" s="304" t="s">
        <v>8</v>
      </c>
      <c r="D961" s="305">
        <v>12</v>
      </c>
      <c r="E961" s="209"/>
      <c r="F961" s="306"/>
      <c r="G961" s="312">
        <f t="shared" si="143"/>
        <v>0</v>
      </c>
    </row>
    <row r="962" spans="1:7" ht="12.75">
      <c r="A962" s="302"/>
      <c r="B962" s="309" t="s">
        <v>526</v>
      </c>
      <c r="C962" s="304" t="s">
        <v>8</v>
      </c>
      <c r="D962" s="305">
        <v>5</v>
      </c>
      <c r="E962" s="209"/>
      <c r="F962" s="306"/>
      <c r="G962" s="312">
        <f t="shared" si="143"/>
        <v>0</v>
      </c>
    </row>
    <row r="963" spans="1:7" ht="12.75">
      <c r="A963" s="302"/>
      <c r="B963" s="309" t="s">
        <v>516</v>
      </c>
      <c r="C963" s="220" t="s">
        <v>8</v>
      </c>
      <c r="D963" s="221">
        <v>5</v>
      </c>
      <c r="E963" s="209"/>
      <c r="F963" s="306"/>
      <c r="G963" s="312">
        <f t="shared" si="143"/>
        <v>0</v>
      </c>
    </row>
    <row r="964" spans="1:7" ht="12.75">
      <c r="A964" s="302"/>
      <c r="B964" s="309" t="s">
        <v>396</v>
      </c>
      <c r="C964" s="220" t="s">
        <v>8</v>
      </c>
      <c r="D964" s="221">
        <v>2</v>
      </c>
      <c r="E964" s="209"/>
      <c r="F964" s="306"/>
      <c r="G964" s="312">
        <f t="shared" si="143"/>
        <v>0</v>
      </c>
    </row>
    <row r="965" spans="1:7" ht="12.75">
      <c r="A965" s="302"/>
      <c r="B965" s="309" t="s">
        <v>397</v>
      </c>
      <c r="C965" s="220" t="s">
        <v>8</v>
      </c>
      <c r="D965" s="221">
        <v>0</v>
      </c>
      <c r="E965" s="209"/>
      <c r="F965" s="306"/>
      <c r="G965" s="312">
        <f t="shared" si="143"/>
        <v>0</v>
      </c>
    </row>
    <row r="966" spans="1:7" ht="12.75">
      <c r="A966" s="302"/>
      <c r="B966" s="309" t="s">
        <v>398</v>
      </c>
      <c r="C966" s="220" t="s">
        <v>8</v>
      </c>
      <c r="D966" s="221">
        <v>9</v>
      </c>
      <c r="E966" s="209"/>
      <c r="F966" s="306"/>
      <c r="G966" s="312">
        <f t="shared" si="143"/>
        <v>0</v>
      </c>
    </row>
    <row r="967" spans="1:7" ht="12.75">
      <c r="A967" s="302"/>
      <c r="B967" s="309" t="s">
        <v>399</v>
      </c>
      <c r="C967" s="220" t="s">
        <v>8</v>
      </c>
      <c r="D967" s="221">
        <f>D959</f>
        <v>12</v>
      </c>
      <c r="E967" s="209"/>
      <c r="F967" s="306"/>
      <c r="G967" s="312">
        <f t="shared" si="143"/>
        <v>0</v>
      </c>
    </row>
    <row r="968" spans="1:7" ht="12.75">
      <c r="A968" s="302"/>
      <c r="B968" s="309" t="s">
        <v>400</v>
      </c>
      <c r="C968" s="220" t="s">
        <v>8</v>
      </c>
      <c r="D968" s="221">
        <v>3</v>
      </c>
      <c r="E968" s="209"/>
      <c r="F968" s="306"/>
      <c r="G968" s="312">
        <f t="shared" si="143"/>
        <v>0</v>
      </c>
    </row>
    <row r="969" spans="1:7" ht="12.75">
      <c r="A969" s="302"/>
      <c r="B969" s="309" t="s">
        <v>401</v>
      </c>
      <c r="C969" s="220" t="s">
        <v>8</v>
      </c>
      <c r="D969" s="221">
        <v>3</v>
      </c>
      <c r="E969" s="209"/>
      <c r="F969" s="306"/>
      <c r="G969" s="312">
        <f t="shared" si="143"/>
        <v>0</v>
      </c>
    </row>
    <row r="970" spans="1:7" ht="12.75">
      <c r="A970" s="302"/>
      <c r="B970" s="309" t="s">
        <v>402</v>
      </c>
      <c r="C970" s="220" t="s">
        <v>8</v>
      </c>
      <c r="D970" s="221">
        <v>3</v>
      </c>
      <c r="E970" s="209"/>
      <c r="F970" s="306"/>
      <c r="G970" s="312">
        <f t="shared" si="143"/>
        <v>0</v>
      </c>
    </row>
    <row r="971" spans="1:7" ht="12.75">
      <c r="A971" s="302"/>
      <c r="B971" s="309" t="s">
        <v>431</v>
      </c>
      <c r="C971" s="220" t="s">
        <v>8</v>
      </c>
      <c r="D971" s="221">
        <v>7</v>
      </c>
      <c r="E971" s="209"/>
      <c r="F971" s="306"/>
      <c r="G971" s="312">
        <f t="shared" si="143"/>
        <v>0</v>
      </c>
    </row>
    <row r="972" spans="1:7" ht="12.75">
      <c r="A972" s="302"/>
      <c r="B972" s="309" t="s">
        <v>403</v>
      </c>
      <c r="C972" s="220" t="s">
        <v>8</v>
      </c>
      <c r="D972" s="221">
        <v>6</v>
      </c>
      <c r="E972" s="209"/>
      <c r="F972" s="306"/>
      <c r="G972" s="312">
        <f t="shared" si="143"/>
        <v>0</v>
      </c>
    </row>
    <row r="973" spans="1:7" ht="12.75">
      <c r="A973" s="302"/>
      <c r="B973" s="309" t="s">
        <v>432</v>
      </c>
      <c r="C973" s="220" t="s">
        <v>8</v>
      </c>
      <c r="D973" s="221">
        <v>3</v>
      </c>
      <c r="E973" s="209"/>
      <c r="F973" s="306"/>
      <c r="G973" s="312">
        <f t="shared" si="143"/>
        <v>0</v>
      </c>
    </row>
    <row r="974" spans="1:7" ht="12.75">
      <c r="A974" s="300" t="s">
        <v>189</v>
      </c>
      <c r="B974" s="301" t="s">
        <v>239</v>
      </c>
      <c r="C974" s="310"/>
      <c r="D974" s="311"/>
      <c r="E974" s="209"/>
      <c r="F974" s="306"/>
      <c r="G974" s="312">
        <f t="shared" si="143"/>
        <v>0</v>
      </c>
    </row>
    <row r="975" spans="1:7" ht="13.5">
      <c r="A975" s="78" t="s">
        <v>176</v>
      </c>
      <c r="B975" s="252" t="s">
        <v>263</v>
      </c>
      <c r="C975" s="268" t="s">
        <v>241</v>
      </c>
      <c r="D975" s="93">
        <f>D955+D958+D959+D957+D956</f>
        <v>57</v>
      </c>
      <c r="E975" s="82"/>
      <c r="F975" s="306"/>
      <c r="G975" s="312">
        <f t="shared" si="143"/>
        <v>0</v>
      </c>
    </row>
    <row r="976" spans="1:7" ht="13.5">
      <c r="A976" s="78" t="s">
        <v>177</v>
      </c>
      <c r="B976" s="252" t="s">
        <v>262</v>
      </c>
      <c r="C976" s="268" t="s">
        <v>241</v>
      </c>
      <c r="D976" s="93">
        <f>D960+D961+D962</f>
        <v>40</v>
      </c>
      <c r="E976" s="82"/>
      <c r="F976" s="306"/>
      <c r="G976" s="312">
        <f t="shared" si="143"/>
        <v>0</v>
      </c>
    </row>
    <row r="977" spans="1:7" ht="13.5">
      <c r="A977" s="78" t="s">
        <v>189</v>
      </c>
      <c r="B977" s="252" t="s">
        <v>264</v>
      </c>
      <c r="C977" s="268" t="s">
        <v>114</v>
      </c>
      <c r="D977" s="93">
        <f>D952+D953</f>
        <v>2</v>
      </c>
      <c r="E977" s="82"/>
      <c r="F977" s="306"/>
      <c r="G977" s="312">
        <f t="shared" si="143"/>
        <v>0</v>
      </c>
    </row>
    <row r="978" spans="1:7">
      <c r="A978" s="78" t="s">
        <v>190</v>
      </c>
      <c r="B978" s="252" t="s">
        <v>240</v>
      </c>
      <c r="C978" s="268" t="s">
        <v>114</v>
      </c>
      <c r="D978" s="93">
        <f>D970</f>
        <v>3</v>
      </c>
      <c r="E978" s="82"/>
      <c r="F978" s="306"/>
      <c r="G978" s="312">
        <f t="shared" si="143"/>
        <v>0</v>
      </c>
    </row>
    <row r="979" spans="1:7">
      <c r="A979" s="78" t="s">
        <v>191</v>
      </c>
      <c r="B979" s="252" t="s">
        <v>517</v>
      </c>
      <c r="C979" s="268" t="s">
        <v>114</v>
      </c>
      <c r="D979" s="93">
        <f>D968</f>
        <v>3</v>
      </c>
      <c r="E979" s="82"/>
      <c r="F979" s="306"/>
      <c r="G979" s="312">
        <f t="shared" si="143"/>
        <v>0</v>
      </c>
    </row>
    <row r="980" spans="1:7">
      <c r="A980" s="78" t="s">
        <v>192</v>
      </c>
      <c r="B980" s="252" t="s">
        <v>518</v>
      </c>
      <c r="C980" s="268" t="s">
        <v>114</v>
      </c>
      <c r="D980" s="93">
        <f>D969</f>
        <v>3</v>
      </c>
      <c r="E980" s="82"/>
      <c r="F980" s="306"/>
      <c r="G980" s="312">
        <f t="shared" si="143"/>
        <v>0</v>
      </c>
    </row>
    <row r="981" spans="1:7">
      <c r="A981" s="78" t="s">
        <v>193</v>
      </c>
      <c r="B981" s="252" t="s">
        <v>519</v>
      </c>
      <c r="C981" s="268" t="s">
        <v>114</v>
      </c>
      <c r="D981" s="93">
        <f>3</f>
        <v>3</v>
      </c>
      <c r="E981" s="82"/>
      <c r="F981" s="306"/>
      <c r="G981" s="312">
        <f t="shared" si="143"/>
        <v>0</v>
      </c>
    </row>
    <row r="982" spans="1:7">
      <c r="A982" s="78" t="s">
        <v>194</v>
      </c>
      <c r="B982" s="252" t="s">
        <v>520</v>
      </c>
      <c r="C982" s="268" t="s">
        <v>114</v>
      </c>
      <c r="D982" s="93">
        <f>D971</f>
        <v>7</v>
      </c>
      <c r="E982" s="82"/>
      <c r="F982" s="306"/>
      <c r="G982" s="312">
        <f t="shared" si="143"/>
        <v>0</v>
      </c>
    </row>
    <row r="983" spans="1:7">
      <c r="A983" s="78"/>
      <c r="B983" s="252"/>
      <c r="C983" s="268"/>
      <c r="D983" s="93"/>
      <c r="E983" s="82"/>
      <c r="F983" s="306"/>
      <c r="G983" s="312"/>
    </row>
    <row r="984" spans="1:7">
      <c r="A984" s="293" t="s">
        <v>57</v>
      </c>
      <c r="B984" s="294" t="s">
        <v>71</v>
      </c>
      <c r="C984" s="295"/>
      <c r="D984" s="296"/>
      <c r="E984" s="297"/>
      <c r="F984" s="298"/>
      <c r="G984" s="299"/>
    </row>
    <row r="985" spans="1:7" ht="12.75">
      <c r="A985" s="300" t="s">
        <v>176</v>
      </c>
      <c r="B985" s="301" t="s">
        <v>237</v>
      </c>
      <c r="C985" s="220"/>
      <c r="D985" s="221"/>
      <c r="E985" s="209"/>
      <c r="F985" s="189"/>
      <c r="G985" s="222">
        <f>D985*E985</f>
        <v>0</v>
      </c>
    </row>
    <row r="986" spans="1:7" ht="26.25" customHeight="1">
      <c r="A986" s="302" t="s">
        <v>512</v>
      </c>
      <c r="B986" s="308" t="s">
        <v>513</v>
      </c>
      <c r="C986" s="304"/>
      <c r="D986" s="305"/>
      <c r="E986" s="209"/>
      <c r="F986" s="306"/>
      <c r="G986" s="307"/>
    </row>
    <row r="987" spans="1:7" ht="12.75">
      <c r="A987" s="302" t="s">
        <v>510</v>
      </c>
      <c r="B987" s="309" t="s">
        <v>507</v>
      </c>
      <c r="C987" s="304" t="s">
        <v>8</v>
      </c>
      <c r="D987" s="305">
        <v>1</v>
      </c>
      <c r="E987" s="209"/>
      <c r="F987" s="306"/>
      <c r="G987" s="307">
        <f t="shared" ref="G987:G1017" si="144">+D987*E987+D987*F987</f>
        <v>0</v>
      </c>
    </row>
    <row r="988" spans="1:7" ht="12.75">
      <c r="A988" s="302" t="s">
        <v>511</v>
      </c>
      <c r="B988" s="309" t="s">
        <v>509</v>
      </c>
      <c r="C988" s="304" t="s">
        <v>8</v>
      </c>
      <c r="D988" s="305">
        <v>1</v>
      </c>
      <c r="E988" s="209"/>
      <c r="F988" s="306"/>
      <c r="G988" s="307">
        <f t="shared" si="144"/>
        <v>0</v>
      </c>
    </row>
    <row r="989" spans="1:7" ht="12.75">
      <c r="A989" s="300" t="s">
        <v>177</v>
      </c>
      <c r="B989" s="301" t="s">
        <v>238</v>
      </c>
      <c r="C989" s="310"/>
      <c r="D989" s="311"/>
      <c r="E989" s="209"/>
      <c r="F989" s="306"/>
      <c r="G989" s="312">
        <f t="shared" si="144"/>
        <v>0</v>
      </c>
    </row>
    <row r="990" spans="1:7" ht="12.75">
      <c r="A990" s="302"/>
      <c r="B990" s="309" t="s">
        <v>393</v>
      </c>
      <c r="C990" s="220" t="s">
        <v>8</v>
      </c>
      <c r="D990" s="221">
        <v>24</v>
      </c>
      <c r="E990" s="209"/>
      <c r="F990" s="306"/>
      <c r="G990" s="312">
        <f t="shared" si="144"/>
        <v>0</v>
      </c>
    </row>
    <row r="991" spans="1:7" ht="12.75">
      <c r="A991" s="302"/>
      <c r="B991" s="309" t="s">
        <v>404</v>
      </c>
      <c r="C991" s="220" t="s">
        <v>8</v>
      </c>
      <c r="D991" s="221">
        <v>2</v>
      </c>
      <c r="E991" s="209"/>
      <c r="F991" s="306"/>
      <c r="G991" s="312">
        <f t="shared" si="144"/>
        <v>0</v>
      </c>
    </row>
    <row r="992" spans="1:7" ht="12.75">
      <c r="A992" s="302"/>
      <c r="B992" s="309" t="s">
        <v>394</v>
      </c>
      <c r="C992" s="220" t="s">
        <v>8</v>
      </c>
      <c r="D992" s="221">
        <v>8</v>
      </c>
      <c r="E992" s="209"/>
      <c r="F992" s="306"/>
      <c r="G992" s="312">
        <f t="shared" si="144"/>
        <v>0</v>
      </c>
    </row>
    <row r="993" spans="1:7" ht="12.75">
      <c r="A993" s="302"/>
      <c r="B993" s="309" t="s">
        <v>306</v>
      </c>
      <c r="C993" s="220" t="s">
        <v>8</v>
      </c>
      <c r="D993" s="221">
        <v>11</v>
      </c>
      <c r="E993" s="209"/>
      <c r="F993" s="306"/>
      <c r="G993" s="312">
        <f t="shared" si="144"/>
        <v>0</v>
      </c>
    </row>
    <row r="994" spans="1:7" ht="12.75">
      <c r="A994" s="302"/>
      <c r="B994" s="309" t="s">
        <v>289</v>
      </c>
      <c r="C994" s="220" t="s">
        <v>8</v>
      </c>
      <c r="D994" s="221">
        <v>12</v>
      </c>
      <c r="E994" s="209"/>
      <c r="F994" s="306"/>
      <c r="G994" s="312">
        <f t="shared" si="144"/>
        <v>0</v>
      </c>
    </row>
    <row r="995" spans="1:7" ht="12.75">
      <c r="A995" s="302"/>
      <c r="B995" s="309" t="s">
        <v>522</v>
      </c>
      <c r="C995" s="304" t="s">
        <v>8</v>
      </c>
      <c r="D995" s="305">
        <v>23</v>
      </c>
      <c r="E995" s="209"/>
      <c r="F995" s="306"/>
      <c r="G995" s="312">
        <f t="shared" si="144"/>
        <v>0</v>
      </c>
    </row>
    <row r="996" spans="1:7" ht="12.75">
      <c r="A996" s="302"/>
      <c r="B996" s="309" t="s">
        <v>395</v>
      </c>
      <c r="C996" s="304" t="s">
        <v>8</v>
      </c>
      <c r="D996" s="305">
        <v>12</v>
      </c>
      <c r="E996" s="209"/>
      <c r="F996" s="306"/>
      <c r="G996" s="312">
        <f t="shared" si="144"/>
        <v>0</v>
      </c>
    </row>
    <row r="997" spans="1:7" ht="12.75">
      <c r="A997" s="302"/>
      <c r="B997" s="309" t="s">
        <v>526</v>
      </c>
      <c r="C997" s="304" t="s">
        <v>8</v>
      </c>
      <c r="D997" s="305">
        <v>5</v>
      </c>
      <c r="E997" s="209"/>
      <c r="F997" s="306"/>
      <c r="G997" s="312">
        <f t="shared" si="144"/>
        <v>0</v>
      </c>
    </row>
    <row r="998" spans="1:7" ht="12.75">
      <c r="A998" s="302"/>
      <c r="B998" s="309" t="s">
        <v>516</v>
      </c>
      <c r="C998" s="220" t="s">
        <v>8</v>
      </c>
      <c r="D998" s="221">
        <v>5</v>
      </c>
      <c r="E998" s="209"/>
      <c r="F998" s="306"/>
      <c r="G998" s="312">
        <f t="shared" si="144"/>
        <v>0</v>
      </c>
    </row>
    <row r="999" spans="1:7" ht="12.75">
      <c r="A999" s="302"/>
      <c r="B999" s="309" t="s">
        <v>396</v>
      </c>
      <c r="C999" s="220" t="s">
        <v>8</v>
      </c>
      <c r="D999" s="221">
        <v>2</v>
      </c>
      <c r="E999" s="209"/>
      <c r="F999" s="306"/>
      <c r="G999" s="312">
        <f t="shared" si="144"/>
        <v>0</v>
      </c>
    </row>
    <row r="1000" spans="1:7" ht="13.5" thickBot="1">
      <c r="A1000" s="392"/>
      <c r="B1000" s="393" t="s">
        <v>397</v>
      </c>
      <c r="C1000" s="368" t="s">
        <v>8</v>
      </c>
      <c r="D1000" s="369">
        <v>0</v>
      </c>
      <c r="E1000" s="394"/>
      <c r="F1000" s="395"/>
      <c r="G1000" s="391">
        <f t="shared" si="144"/>
        <v>0</v>
      </c>
    </row>
    <row r="1001" spans="1:7" ht="12.75">
      <c r="A1001" s="414"/>
      <c r="B1001" s="415" t="s">
        <v>398</v>
      </c>
      <c r="C1001" s="416" t="s">
        <v>8</v>
      </c>
      <c r="D1001" s="417">
        <v>9</v>
      </c>
      <c r="E1001" s="418"/>
      <c r="F1001" s="419"/>
      <c r="G1001" s="413">
        <f t="shared" si="144"/>
        <v>0</v>
      </c>
    </row>
    <row r="1002" spans="1:7" ht="12.75">
      <c r="A1002" s="302"/>
      <c r="B1002" s="309" t="s">
        <v>399</v>
      </c>
      <c r="C1002" s="220" t="s">
        <v>8</v>
      </c>
      <c r="D1002" s="221">
        <f>D994</f>
        <v>12</v>
      </c>
      <c r="E1002" s="209"/>
      <c r="F1002" s="306"/>
      <c r="G1002" s="312">
        <f t="shared" si="144"/>
        <v>0</v>
      </c>
    </row>
    <row r="1003" spans="1:7" ht="12.75">
      <c r="A1003" s="302"/>
      <c r="B1003" s="309" t="s">
        <v>400</v>
      </c>
      <c r="C1003" s="220" t="s">
        <v>8</v>
      </c>
      <c r="D1003" s="221">
        <v>3</v>
      </c>
      <c r="E1003" s="209"/>
      <c r="F1003" s="306"/>
      <c r="G1003" s="312">
        <f t="shared" si="144"/>
        <v>0</v>
      </c>
    </row>
    <row r="1004" spans="1:7" ht="12.75">
      <c r="A1004" s="302"/>
      <c r="B1004" s="309" t="s">
        <v>401</v>
      </c>
      <c r="C1004" s="220" t="s">
        <v>8</v>
      </c>
      <c r="D1004" s="221">
        <v>3</v>
      </c>
      <c r="E1004" s="209"/>
      <c r="F1004" s="306"/>
      <c r="G1004" s="312">
        <f t="shared" si="144"/>
        <v>0</v>
      </c>
    </row>
    <row r="1005" spans="1:7" ht="12.75">
      <c r="A1005" s="302"/>
      <c r="B1005" s="309" t="s">
        <v>402</v>
      </c>
      <c r="C1005" s="220" t="s">
        <v>8</v>
      </c>
      <c r="D1005" s="221">
        <v>3</v>
      </c>
      <c r="E1005" s="209"/>
      <c r="F1005" s="306"/>
      <c r="G1005" s="312">
        <f t="shared" si="144"/>
        <v>0</v>
      </c>
    </row>
    <row r="1006" spans="1:7" ht="12.75">
      <c r="A1006" s="302"/>
      <c r="B1006" s="309" t="s">
        <v>431</v>
      </c>
      <c r="C1006" s="220" t="s">
        <v>8</v>
      </c>
      <c r="D1006" s="221">
        <v>7</v>
      </c>
      <c r="E1006" s="209"/>
      <c r="F1006" s="306"/>
      <c r="G1006" s="312">
        <f t="shared" si="144"/>
        <v>0</v>
      </c>
    </row>
    <row r="1007" spans="1:7" ht="12.75">
      <c r="A1007" s="302"/>
      <c r="B1007" s="309" t="s">
        <v>403</v>
      </c>
      <c r="C1007" s="220" t="s">
        <v>8</v>
      </c>
      <c r="D1007" s="221">
        <v>6</v>
      </c>
      <c r="E1007" s="209"/>
      <c r="F1007" s="306"/>
      <c r="G1007" s="312">
        <f t="shared" si="144"/>
        <v>0</v>
      </c>
    </row>
    <row r="1008" spans="1:7" ht="12.75">
      <c r="A1008" s="302"/>
      <c r="B1008" s="309" t="s">
        <v>432</v>
      </c>
      <c r="C1008" s="220" t="s">
        <v>8</v>
      </c>
      <c r="D1008" s="221">
        <v>3</v>
      </c>
      <c r="E1008" s="209"/>
      <c r="F1008" s="306"/>
      <c r="G1008" s="312">
        <f t="shared" si="144"/>
        <v>0</v>
      </c>
    </row>
    <row r="1009" spans="1:7" ht="12.75">
      <c r="A1009" s="300" t="s">
        <v>189</v>
      </c>
      <c r="B1009" s="301" t="s">
        <v>239</v>
      </c>
      <c r="C1009" s="310"/>
      <c r="D1009" s="311"/>
      <c r="E1009" s="209"/>
      <c r="F1009" s="306"/>
      <c r="G1009" s="312">
        <f t="shared" si="144"/>
        <v>0</v>
      </c>
    </row>
    <row r="1010" spans="1:7" ht="13.5">
      <c r="A1010" s="78" t="s">
        <v>176</v>
      </c>
      <c r="B1010" s="252" t="s">
        <v>263</v>
      </c>
      <c r="C1010" s="268" t="s">
        <v>241</v>
      </c>
      <c r="D1010" s="93">
        <f>D990+D993+D994+D992+D991</f>
        <v>57</v>
      </c>
      <c r="E1010" s="82"/>
      <c r="F1010" s="306"/>
      <c r="G1010" s="312">
        <f t="shared" si="144"/>
        <v>0</v>
      </c>
    </row>
    <row r="1011" spans="1:7" ht="13.5">
      <c r="A1011" s="78" t="s">
        <v>177</v>
      </c>
      <c r="B1011" s="252" t="s">
        <v>262</v>
      </c>
      <c r="C1011" s="268" t="s">
        <v>241</v>
      </c>
      <c r="D1011" s="93">
        <f>D995+D996+D997</f>
        <v>40</v>
      </c>
      <c r="E1011" s="82"/>
      <c r="F1011" s="306"/>
      <c r="G1011" s="312">
        <f t="shared" si="144"/>
        <v>0</v>
      </c>
    </row>
    <row r="1012" spans="1:7" ht="13.5">
      <c r="A1012" s="78" t="s">
        <v>189</v>
      </c>
      <c r="B1012" s="252" t="s">
        <v>264</v>
      </c>
      <c r="C1012" s="268" t="s">
        <v>114</v>
      </c>
      <c r="D1012" s="93">
        <f>D987+D988</f>
        <v>2</v>
      </c>
      <c r="E1012" s="82"/>
      <c r="F1012" s="306"/>
      <c r="G1012" s="312">
        <f t="shared" si="144"/>
        <v>0</v>
      </c>
    </row>
    <row r="1013" spans="1:7">
      <c r="A1013" s="78" t="s">
        <v>190</v>
      </c>
      <c r="B1013" s="252" t="s">
        <v>240</v>
      </c>
      <c r="C1013" s="268" t="s">
        <v>114</v>
      </c>
      <c r="D1013" s="93">
        <f>D1005</f>
        <v>3</v>
      </c>
      <c r="E1013" s="82"/>
      <c r="F1013" s="306"/>
      <c r="G1013" s="312">
        <f t="shared" si="144"/>
        <v>0</v>
      </c>
    </row>
    <row r="1014" spans="1:7">
      <c r="A1014" s="78" t="s">
        <v>191</v>
      </c>
      <c r="B1014" s="252" t="s">
        <v>517</v>
      </c>
      <c r="C1014" s="268" t="s">
        <v>114</v>
      </c>
      <c r="D1014" s="93">
        <f>D1003</f>
        <v>3</v>
      </c>
      <c r="E1014" s="82"/>
      <c r="F1014" s="306"/>
      <c r="G1014" s="312">
        <f t="shared" si="144"/>
        <v>0</v>
      </c>
    </row>
    <row r="1015" spans="1:7">
      <c r="A1015" s="78" t="s">
        <v>192</v>
      </c>
      <c r="B1015" s="252" t="s">
        <v>518</v>
      </c>
      <c r="C1015" s="268" t="s">
        <v>114</v>
      </c>
      <c r="D1015" s="93">
        <f>D1004</f>
        <v>3</v>
      </c>
      <c r="E1015" s="82"/>
      <c r="F1015" s="306"/>
      <c r="G1015" s="312">
        <f t="shared" si="144"/>
        <v>0</v>
      </c>
    </row>
    <row r="1016" spans="1:7">
      <c r="A1016" s="78" t="s">
        <v>193</v>
      </c>
      <c r="B1016" s="252" t="s">
        <v>519</v>
      </c>
      <c r="C1016" s="268" t="s">
        <v>114</v>
      </c>
      <c r="D1016" s="93">
        <f>3</f>
        <v>3</v>
      </c>
      <c r="E1016" s="82"/>
      <c r="F1016" s="306"/>
      <c r="G1016" s="312">
        <f t="shared" si="144"/>
        <v>0</v>
      </c>
    </row>
    <row r="1017" spans="1:7">
      <c r="A1017" s="78" t="s">
        <v>194</v>
      </c>
      <c r="B1017" s="252" t="s">
        <v>520</v>
      </c>
      <c r="C1017" s="268" t="s">
        <v>114</v>
      </c>
      <c r="D1017" s="93">
        <f>D1006</f>
        <v>7</v>
      </c>
      <c r="E1017" s="82"/>
      <c r="F1017" s="306"/>
      <c r="G1017" s="312">
        <f t="shared" si="144"/>
        <v>0</v>
      </c>
    </row>
    <row r="1018" spans="1:7" ht="12.75">
      <c r="A1018" s="302"/>
      <c r="B1018" s="309"/>
      <c r="C1018" s="304"/>
      <c r="D1018" s="305"/>
      <c r="E1018" s="209"/>
      <c r="F1018" s="306"/>
      <c r="G1018" s="312"/>
    </row>
    <row r="1019" spans="1:7" ht="12.75">
      <c r="A1019" s="302"/>
      <c r="B1019" s="309"/>
      <c r="C1019" s="304"/>
      <c r="D1019" s="305"/>
      <c r="E1019" s="209"/>
      <c r="F1019" s="306"/>
      <c r="G1019" s="312"/>
    </row>
    <row r="1020" spans="1:7" ht="12.75">
      <c r="A1020" s="302"/>
      <c r="B1020" s="309"/>
      <c r="C1020" s="304"/>
      <c r="D1020" s="305"/>
      <c r="E1020" s="209"/>
      <c r="F1020" s="306"/>
      <c r="G1020" s="312"/>
    </row>
    <row r="1021" spans="1:7" ht="12.75">
      <c r="A1021" s="302"/>
      <c r="B1021" s="309"/>
      <c r="C1021" s="304"/>
      <c r="D1021" s="305"/>
      <c r="E1021" s="209"/>
      <c r="F1021" s="306"/>
      <c r="G1021" s="312"/>
    </row>
    <row r="1022" spans="1:7" ht="12.75">
      <c r="A1022" s="302"/>
      <c r="B1022" s="309"/>
      <c r="C1022" s="304"/>
      <c r="D1022" s="305"/>
      <c r="E1022" s="209"/>
      <c r="F1022" s="306"/>
      <c r="G1022" s="312"/>
    </row>
    <row r="1023" spans="1:7" ht="12.75">
      <c r="A1023" s="302"/>
      <c r="B1023" s="309"/>
      <c r="C1023" s="304"/>
      <c r="D1023" s="305"/>
      <c r="E1023" s="209"/>
      <c r="F1023" s="306"/>
      <c r="G1023" s="312"/>
    </row>
    <row r="1024" spans="1:7" ht="12.75">
      <c r="A1024" s="302"/>
      <c r="B1024" s="309"/>
      <c r="C1024" s="304"/>
      <c r="D1024" s="305"/>
      <c r="E1024" s="209"/>
      <c r="F1024" s="306"/>
      <c r="G1024" s="312"/>
    </row>
    <row r="1025" spans="1:7" ht="12.75">
      <c r="A1025" s="302"/>
      <c r="B1025" s="309"/>
      <c r="C1025" s="304"/>
      <c r="D1025" s="305"/>
      <c r="E1025" s="209"/>
      <c r="F1025" s="306"/>
      <c r="G1025" s="312"/>
    </row>
    <row r="1026" spans="1:7" ht="12.75">
      <c r="A1026" s="302"/>
      <c r="B1026" s="309"/>
      <c r="C1026" s="304"/>
      <c r="D1026" s="305"/>
      <c r="E1026" s="209"/>
      <c r="F1026" s="306"/>
      <c r="G1026" s="312"/>
    </row>
    <row r="1027" spans="1:7" ht="12.75">
      <c r="A1027" s="302"/>
      <c r="B1027" s="309"/>
      <c r="C1027" s="304"/>
      <c r="D1027" s="305"/>
      <c r="E1027" s="209"/>
      <c r="F1027" s="306"/>
      <c r="G1027" s="312"/>
    </row>
    <row r="1028" spans="1:7" ht="12.75">
      <c r="A1028" s="302"/>
      <c r="B1028" s="309"/>
      <c r="C1028" s="304"/>
      <c r="D1028" s="305"/>
      <c r="E1028" s="209"/>
      <c r="F1028" s="306"/>
      <c r="G1028" s="312"/>
    </row>
    <row r="1029" spans="1:7" ht="12.75">
      <c r="A1029" s="302"/>
      <c r="B1029" s="309"/>
      <c r="C1029" s="304"/>
      <c r="D1029" s="305"/>
      <c r="E1029" s="209"/>
      <c r="F1029" s="306"/>
      <c r="G1029" s="312"/>
    </row>
    <row r="1030" spans="1:7" ht="12.75">
      <c r="A1030" s="302"/>
      <c r="B1030" s="309"/>
      <c r="C1030" s="304"/>
      <c r="D1030" s="305"/>
      <c r="E1030" s="209"/>
      <c r="F1030" s="306"/>
      <c r="G1030" s="312"/>
    </row>
    <row r="1031" spans="1:7" ht="12.75">
      <c r="A1031" s="302"/>
      <c r="B1031" s="309"/>
      <c r="C1031" s="304"/>
      <c r="D1031" s="305"/>
      <c r="E1031" s="209"/>
      <c r="F1031" s="306"/>
      <c r="G1031" s="312"/>
    </row>
    <row r="1032" spans="1:7" ht="12.75">
      <c r="A1032" s="302"/>
      <c r="B1032" s="309"/>
      <c r="C1032" s="304"/>
      <c r="D1032" s="305"/>
      <c r="E1032" s="209"/>
      <c r="F1032" s="306"/>
      <c r="G1032" s="312"/>
    </row>
    <row r="1033" spans="1:7" ht="12.75">
      <c r="A1033" s="302"/>
      <c r="B1033" s="309"/>
      <c r="C1033" s="304"/>
      <c r="D1033" s="305"/>
      <c r="E1033" s="209"/>
      <c r="F1033" s="306"/>
      <c r="G1033" s="312"/>
    </row>
    <row r="1034" spans="1:7" ht="12.75">
      <c r="A1034" s="302"/>
      <c r="B1034" s="309"/>
      <c r="C1034" s="304"/>
      <c r="D1034" s="305"/>
      <c r="E1034" s="209"/>
      <c r="F1034" s="306"/>
      <c r="G1034" s="312"/>
    </row>
    <row r="1035" spans="1:7" ht="12.75">
      <c r="A1035" s="302"/>
      <c r="B1035" s="309"/>
      <c r="C1035" s="304"/>
      <c r="D1035" s="305"/>
      <c r="E1035" s="209"/>
      <c r="F1035" s="306"/>
      <c r="G1035" s="312"/>
    </row>
    <row r="1036" spans="1:7" ht="12.75">
      <c r="A1036" s="302"/>
      <c r="B1036" s="309"/>
      <c r="C1036" s="304"/>
      <c r="D1036" s="305"/>
      <c r="E1036" s="209"/>
      <c r="F1036" s="306"/>
      <c r="G1036" s="312"/>
    </row>
    <row r="1037" spans="1:7" ht="12.75">
      <c r="A1037" s="302"/>
      <c r="B1037" s="309"/>
      <c r="C1037" s="304"/>
      <c r="D1037" s="305"/>
      <c r="E1037" s="209"/>
      <c r="F1037" s="306"/>
      <c r="G1037" s="312"/>
    </row>
    <row r="1038" spans="1:7" ht="12.75">
      <c r="A1038" s="302"/>
      <c r="B1038" s="309"/>
      <c r="C1038" s="304"/>
      <c r="D1038" s="305"/>
      <c r="E1038" s="209"/>
      <c r="F1038" s="306"/>
      <c r="G1038" s="312"/>
    </row>
    <row r="1039" spans="1:7" ht="12.75">
      <c r="A1039" s="302"/>
      <c r="B1039" s="309"/>
      <c r="C1039" s="304"/>
      <c r="D1039" s="305"/>
      <c r="E1039" s="209"/>
      <c r="F1039" s="306"/>
      <c r="G1039" s="312"/>
    </row>
    <row r="1040" spans="1:7" ht="12.75">
      <c r="A1040" s="302"/>
      <c r="B1040" s="309"/>
      <c r="C1040" s="304"/>
      <c r="D1040" s="305"/>
      <c r="E1040" s="209"/>
      <c r="F1040" s="306"/>
      <c r="G1040" s="312"/>
    </row>
    <row r="1041" spans="1:9" ht="12.75">
      <c r="A1041" s="302"/>
      <c r="B1041" s="309"/>
      <c r="C1041" s="304"/>
      <c r="D1041" s="305"/>
      <c r="E1041" s="209"/>
      <c r="F1041" s="306"/>
      <c r="G1041" s="312"/>
    </row>
    <row r="1042" spans="1:9" ht="12.75">
      <c r="A1042" s="302"/>
      <c r="B1042" s="309"/>
      <c r="C1042" s="304"/>
      <c r="D1042" s="305"/>
      <c r="E1042" s="209"/>
      <c r="F1042" s="306"/>
      <c r="G1042" s="312"/>
    </row>
    <row r="1043" spans="1:9" ht="12.75">
      <c r="A1043" s="302"/>
      <c r="B1043" s="309"/>
      <c r="C1043" s="304"/>
      <c r="D1043" s="305"/>
      <c r="E1043" s="209"/>
      <c r="F1043" s="306"/>
      <c r="G1043" s="312"/>
    </row>
    <row r="1044" spans="1:9" ht="12.75">
      <c r="A1044" s="302"/>
      <c r="B1044" s="309"/>
      <c r="C1044" s="304"/>
      <c r="D1044" s="305"/>
      <c r="E1044" s="209"/>
      <c r="F1044" s="306"/>
      <c r="G1044" s="312"/>
    </row>
    <row r="1045" spans="1:9" ht="12.75">
      <c r="A1045" s="302"/>
      <c r="B1045" s="309"/>
      <c r="C1045" s="304"/>
      <c r="D1045" s="305"/>
      <c r="E1045" s="209"/>
      <c r="F1045" s="306"/>
      <c r="G1045" s="312"/>
    </row>
    <row r="1046" spans="1:9" ht="12.75">
      <c r="A1046" s="302"/>
      <c r="B1046" s="309"/>
      <c r="C1046" s="304"/>
      <c r="D1046" s="305"/>
      <c r="E1046" s="209"/>
      <c r="F1046" s="306"/>
      <c r="G1046" s="312"/>
    </row>
    <row r="1047" spans="1:9" ht="12.75">
      <c r="A1047" s="302"/>
      <c r="B1047" s="309"/>
      <c r="C1047" s="304"/>
      <c r="D1047" s="305"/>
      <c r="E1047" s="209"/>
      <c r="F1047" s="306"/>
      <c r="G1047" s="312"/>
    </row>
    <row r="1048" spans="1:9" ht="12.75">
      <c r="A1048" s="302"/>
      <c r="B1048" s="309"/>
      <c r="C1048" s="304"/>
      <c r="D1048" s="305"/>
      <c r="E1048" s="209"/>
      <c r="F1048" s="306"/>
      <c r="G1048" s="312"/>
    </row>
    <row r="1049" spans="1:9" ht="12.75">
      <c r="A1049" s="302"/>
      <c r="B1049" s="309"/>
      <c r="C1049" s="304"/>
      <c r="D1049" s="305"/>
      <c r="E1049" s="209"/>
      <c r="F1049" s="306"/>
      <c r="G1049" s="312"/>
    </row>
    <row r="1050" spans="1:9" ht="12.75">
      <c r="A1050" s="302"/>
      <c r="B1050" s="309"/>
      <c r="C1050" s="304"/>
      <c r="D1050" s="305"/>
      <c r="E1050" s="209"/>
      <c r="F1050" s="306"/>
      <c r="G1050" s="312"/>
    </row>
    <row r="1051" spans="1:9" ht="12.75">
      <c r="A1051" s="302"/>
      <c r="B1051" s="309"/>
      <c r="C1051" s="304"/>
      <c r="D1051" s="305"/>
      <c r="E1051" s="209"/>
      <c r="F1051" s="306"/>
      <c r="G1051" s="312"/>
    </row>
    <row r="1052" spans="1:9" ht="12.75">
      <c r="A1052" s="302"/>
      <c r="B1052" s="309"/>
      <c r="C1052" s="304"/>
      <c r="D1052" s="305"/>
      <c r="E1052" s="209"/>
      <c r="F1052" s="306"/>
      <c r="G1052" s="312"/>
    </row>
    <row r="1053" spans="1:9" ht="13.5" thickBot="1">
      <c r="A1053" s="302"/>
      <c r="B1053" s="309"/>
      <c r="C1053" s="304"/>
      <c r="D1053" s="305"/>
      <c r="E1053" s="209"/>
      <c r="F1053" s="306"/>
      <c r="G1053" s="312"/>
    </row>
    <row r="1054" spans="1:9">
      <c r="A1054" s="64"/>
      <c r="B1054" s="65" t="s">
        <v>197</v>
      </c>
      <c r="C1054" s="347"/>
      <c r="D1054" s="396"/>
      <c r="E1054" s="348"/>
      <c r="F1054" s="349"/>
      <c r="G1054" s="70"/>
    </row>
    <row r="1055" spans="1:9" ht="12.75" thickBot="1">
      <c r="A1055" s="71"/>
      <c r="B1055" s="72" t="s">
        <v>141</v>
      </c>
      <c r="C1055" s="351"/>
      <c r="D1055" s="397"/>
      <c r="E1055" s="352"/>
      <c r="F1055" s="353"/>
      <c r="G1055" s="77">
        <f>SUM(G914:G1054)</f>
        <v>0</v>
      </c>
      <c r="I1055" s="51"/>
    </row>
    <row r="1056" spans="1:9">
      <c r="A1056" s="313"/>
      <c r="B1056" s="79" t="s">
        <v>413</v>
      </c>
      <c r="C1056" s="92"/>
      <c r="D1056" s="194"/>
      <c r="E1056" s="82"/>
      <c r="F1056" s="95"/>
      <c r="G1056" s="96"/>
    </row>
    <row r="1057" spans="1:7">
      <c r="A1057" s="313"/>
      <c r="B1057" s="85" t="s">
        <v>412</v>
      </c>
      <c r="C1057" s="92"/>
      <c r="D1057" s="194"/>
      <c r="E1057" s="82"/>
      <c r="F1057" s="95"/>
      <c r="G1057" s="96"/>
    </row>
    <row r="1058" spans="1:7">
      <c r="A1058" s="314">
        <v>12.1</v>
      </c>
      <c r="B1058" s="261" t="s">
        <v>414</v>
      </c>
      <c r="C1058" s="315"/>
      <c r="D1058" s="316"/>
      <c r="E1058" s="143"/>
      <c r="F1058" s="235"/>
      <c r="G1058" s="236"/>
    </row>
    <row r="1059" spans="1:7" ht="50.25" customHeight="1">
      <c r="A1059" s="313"/>
      <c r="B1059" s="448" t="s">
        <v>415</v>
      </c>
      <c r="C1059" s="448"/>
      <c r="D1059" s="448"/>
      <c r="E1059" s="448"/>
      <c r="F1059" s="95"/>
      <c r="G1059" s="96"/>
    </row>
    <row r="1060" spans="1:7" ht="30" customHeight="1">
      <c r="A1060" s="313"/>
      <c r="B1060" s="448" t="s">
        <v>416</v>
      </c>
      <c r="C1060" s="448"/>
      <c r="D1060" s="448"/>
      <c r="E1060" s="448"/>
      <c r="F1060" s="95"/>
      <c r="G1060" s="96"/>
    </row>
    <row r="1061" spans="1:7" ht="12.75" customHeight="1">
      <c r="A1061" s="313"/>
      <c r="B1061" s="448" t="s">
        <v>417</v>
      </c>
      <c r="C1061" s="448"/>
      <c r="D1061" s="448"/>
      <c r="E1061" s="448"/>
      <c r="F1061" s="95"/>
      <c r="G1061" s="96"/>
    </row>
    <row r="1062" spans="1:7" ht="27" customHeight="1">
      <c r="A1062" s="313"/>
      <c r="B1062" s="448" t="s">
        <v>418</v>
      </c>
      <c r="C1062" s="448"/>
      <c r="D1062" s="448"/>
      <c r="E1062" s="448"/>
      <c r="F1062" s="95"/>
      <c r="G1062" s="96"/>
    </row>
    <row r="1063" spans="1:7">
      <c r="A1063" s="317">
        <v>12.2</v>
      </c>
      <c r="B1063" s="318" t="s">
        <v>419</v>
      </c>
      <c r="C1063" s="319"/>
      <c r="D1063" s="320"/>
      <c r="E1063" s="276"/>
      <c r="F1063" s="167"/>
      <c r="G1063" s="168"/>
    </row>
    <row r="1064" spans="1:7" ht="24">
      <c r="A1064" s="313"/>
      <c r="B1064" s="252" t="s">
        <v>420</v>
      </c>
      <c r="C1064" s="268"/>
      <c r="D1064" s="194"/>
      <c r="E1064" s="82"/>
      <c r="F1064" s="95"/>
      <c r="G1064" s="96"/>
    </row>
    <row r="1065" spans="1:7">
      <c r="A1065" s="321">
        <v>1</v>
      </c>
      <c r="B1065" s="322" t="s">
        <v>67</v>
      </c>
      <c r="C1065" s="323"/>
      <c r="D1065" s="324"/>
      <c r="E1065" s="325"/>
      <c r="F1065" s="326"/>
      <c r="G1065" s="327"/>
    </row>
    <row r="1066" spans="1:7">
      <c r="A1066" s="328" t="s">
        <v>199</v>
      </c>
      <c r="B1066" s="329" t="s">
        <v>419</v>
      </c>
      <c r="C1066" s="319"/>
      <c r="D1066" s="320"/>
      <c r="E1066" s="276"/>
      <c r="F1066" s="205"/>
      <c r="G1066" s="312">
        <f t="shared" ref="G1066:G1074" si="145">+D1066*E1066+D1066*F1066</f>
        <v>0</v>
      </c>
    </row>
    <row r="1067" spans="1:7">
      <c r="A1067" s="313" t="s">
        <v>176</v>
      </c>
      <c r="B1067" s="252" t="s">
        <v>421</v>
      </c>
      <c r="C1067" s="268" t="s">
        <v>114</v>
      </c>
      <c r="D1067" s="194">
        <v>1</v>
      </c>
      <c r="E1067" s="82"/>
      <c r="F1067" s="95"/>
      <c r="G1067" s="312">
        <f t="shared" si="145"/>
        <v>0</v>
      </c>
    </row>
    <row r="1068" spans="1:7">
      <c r="A1068" s="313" t="s">
        <v>177</v>
      </c>
      <c r="B1068" s="252" t="s">
        <v>422</v>
      </c>
      <c r="C1068" s="268" t="s">
        <v>114</v>
      </c>
      <c r="D1068" s="194">
        <v>1</v>
      </c>
      <c r="E1068" s="82"/>
      <c r="F1068" s="95"/>
      <c r="G1068" s="312">
        <f t="shared" si="145"/>
        <v>0</v>
      </c>
    </row>
    <row r="1069" spans="1:7">
      <c r="A1069" s="313" t="s">
        <v>189</v>
      </c>
      <c r="B1069" s="252" t="s">
        <v>423</v>
      </c>
      <c r="C1069" s="268" t="s">
        <v>114</v>
      </c>
      <c r="D1069" s="194">
        <v>7</v>
      </c>
      <c r="E1069" s="82"/>
      <c r="F1069" s="95"/>
      <c r="G1069" s="312">
        <f t="shared" si="145"/>
        <v>0</v>
      </c>
    </row>
    <row r="1070" spans="1:7" ht="24">
      <c r="A1070" s="313" t="s">
        <v>190</v>
      </c>
      <c r="B1070" s="252" t="s">
        <v>424</v>
      </c>
      <c r="C1070" s="268" t="s">
        <v>114</v>
      </c>
      <c r="D1070" s="194">
        <v>1</v>
      </c>
      <c r="E1070" s="82"/>
      <c r="F1070" s="95"/>
      <c r="G1070" s="312">
        <f t="shared" si="145"/>
        <v>0</v>
      </c>
    </row>
    <row r="1071" spans="1:7">
      <c r="A1071" s="313" t="s">
        <v>191</v>
      </c>
      <c r="B1071" s="252" t="s">
        <v>425</v>
      </c>
      <c r="C1071" s="268" t="s">
        <v>114</v>
      </c>
      <c r="D1071" s="194">
        <v>1</v>
      </c>
      <c r="E1071" s="82"/>
      <c r="F1071" s="95"/>
      <c r="G1071" s="312">
        <f t="shared" si="145"/>
        <v>0</v>
      </c>
    </row>
    <row r="1072" spans="1:7">
      <c r="A1072" s="313" t="s">
        <v>192</v>
      </c>
      <c r="B1072" s="252" t="s">
        <v>426</v>
      </c>
      <c r="C1072" s="268" t="s">
        <v>114</v>
      </c>
      <c r="D1072" s="194">
        <v>8</v>
      </c>
      <c r="E1072" s="82"/>
      <c r="F1072" s="95"/>
      <c r="G1072" s="312">
        <f t="shared" si="145"/>
        <v>0</v>
      </c>
    </row>
    <row r="1073" spans="1:7">
      <c r="A1073" s="313" t="s">
        <v>193</v>
      </c>
      <c r="B1073" s="252" t="s">
        <v>427</v>
      </c>
      <c r="C1073" s="268" t="s">
        <v>114</v>
      </c>
      <c r="D1073" s="194">
        <v>1</v>
      </c>
      <c r="E1073" s="82"/>
      <c r="F1073" s="95"/>
      <c r="G1073" s="312">
        <f t="shared" si="145"/>
        <v>0</v>
      </c>
    </row>
    <row r="1074" spans="1:7">
      <c r="A1074" s="313" t="s">
        <v>194</v>
      </c>
      <c r="B1074" s="252" t="s">
        <v>428</v>
      </c>
      <c r="C1074" s="268" t="s">
        <v>114</v>
      </c>
      <c r="D1074" s="194">
        <v>1</v>
      </c>
      <c r="E1074" s="82"/>
      <c r="F1074" s="95"/>
      <c r="G1074" s="312">
        <f t="shared" si="145"/>
        <v>0</v>
      </c>
    </row>
    <row r="1075" spans="1:7">
      <c r="A1075" s="330"/>
      <c r="B1075" s="331"/>
      <c r="C1075" s="332"/>
      <c r="D1075" s="320"/>
      <c r="E1075" s="333"/>
      <c r="F1075" s="334"/>
      <c r="G1075" s="312"/>
    </row>
    <row r="1076" spans="1:7">
      <c r="A1076" s="321">
        <v>2</v>
      </c>
      <c r="B1076" s="322" t="s">
        <v>69</v>
      </c>
      <c r="C1076" s="323"/>
      <c r="D1076" s="324"/>
      <c r="E1076" s="325"/>
      <c r="F1076" s="326"/>
      <c r="G1076" s="327"/>
    </row>
    <row r="1077" spans="1:7">
      <c r="A1077" s="328" t="s">
        <v>199</v>
      </c>
      <c r="B1077" s="329" t="s">
        <v>419</v>
      </c>
      <c r="C1077" s="319"/>
      <c r="D1077" s="320"/>
      <c r="E1077" s="276"/>
      <c r="F1077" s="205"/>
      <c r="G1077" s="312">
        <f t="shared" ref="G1077:G1083" si="146">+D1077*E1077+D1077*F1077</f>
        <v>0</v>
      </c>
    </row>
    <row r="1078" spans="1:7">
      <c r="A1078" s="313" t="s">
        <v>176</v>
      </c>
      <c r="B1078" s="252" t="s">
        <v>423</v>
      </c>
      <c r="C1078" s="268" t="s">
        <v>114</v>
      </c>
      <c r="D1078" s="194">
        <v>7</v>
      </c>
      <c r="E1078" s="82"/>
      <c r="F1078" s="95"/>
      <c r="G1078" s="312">
        <f t="shared" si="146"/>
        <v>0</v>
      </c>
    </row>
    <row r="1079" spans="1:7" ht="24">
      <c r="A1079" s="313" t="s">
        <v>177</v>
      </c>
      <c r="B1079" s="252" t="s">
        <v>424</v>
      </c>
      <c r="C1079" s="268" t="s">
        <v>114</v>
      </c>
      <c r="D1079" s="194">
        <v>1</v>
      </c>
      <c r="E1079" s="82"/>
      <c r="F1079" s="95"/>
      <c r="G1079" s="312">
        <f t="shared" si="146"/>
        <v>0</v>
      </c>
    </row>
    <row r="1080" spans="1:7">
      <c r="A1080" s="313" t="s">
        <v>189</v>
      </c>
      <c r="B1080" s="252" t="s">
        <v>425</v>
      </c>
      <c r="C1080" s="268" t="s">
        <v>114</v>
      </c>
      <c r="D1080" s="194">
        <v>1</v>
      </c>
      <c r="E1080" s="82"/>
      <c r="F1080" s="95"/>
      <c r="G1080" s="312">
        <f t="shared" si="146"/>
        <v>0</v>
      </c>
    </row>
    <row r="1081" spans="1:7">
      <c r="A1081" s="313" t="s">
        <v>190</v>
      </c>
      <c r="B1081" s="252" t="s">
        <v>426</v>
      </c>
      <c r="C1081" s="268" t="s">
        <v>114</v>
      </c>
      <c r="D1081" s="194">
        <v>7</v>
      </c>
      <c r="E1081" s="82"/>
      <c r="F1081" s="95"/>
      <c r="G1081" s="312">
        <f t="shared" si="146"/>
        <v>0</v>
      </c>
    </row>
    <row r="1082" spans="1:7">
      <c r="A1082" s="313" t="s">
        <v>191</v>
      </c>
      <c r="B1082" s="252" t="s">
        <v>427</v>
      </c>
      <c r="C1082" s="268" t="s">
        <v>114</v>
      </c>
      <c r="D1082" s="194">
        <v>1</v>
      </c>
      <c r="E1082" s="82"/>
      <c r="F1082" s="95"/>
      <c r="G1082" s="312">
        <f t="shared" si="146"/>
        <v>0</v>
      </c>
    </row>
    <row r="1083" spans="1:7">
      <c r="A1083" s="313" t="s">
        <v>192</v>
      </c>
      <c r="B1083" s="252" t="s">
        <v>428</v>
      </c>
      <c r="C1083" s="268" t="s">
        <v>114</v>
      </c>
      <c r="D1083" s="194">
        <v>1</v>
      </c>
      <c r="E1083" s="82"/>
      <c r="F1083" s="95"/>
      <c r="G1083" s="312">
        <f t="shared" si="146"/>
        <v>0</v>
      </c>
    </row>
    <row r="1084" spans="1:7">
      <c r="A1084" s="330"/>
      <c r="B1084" s="331"/>
      <c r="C1084" s="332"/>
      <c r="D1084" s="320"/>
      <c r="E1084" s="333"/>
      <c r="F1084" s="334"/>
      <c r="G1084" s="312"/>
    </row>
    <row r="1085" spans="1:7">
      <c r="A1085" s="321">
        <v>3</v>
      </c>
      <c r="B1085" s="322" t="s">
        <v>71</v>
      </c>
      <c r="C1085" s="323"/>
      <c r="D1085" s="324"/>
      <c r="E1085" s="325"/>
      <c r="F1085" s="326"/>
      <c r="G1085" s="327"/>
    </row>
    <row r="1086" spans="1:7">
      <c r="A1086" s="328" t="s">
        <v>199</v>
      </c>
      <c r="B1086" s="329" t="s">
        <v>419</v>
      </c>
      <c r="C1086" s="319"/>
      <c r="D1086" s="320"/>
      <c r="E1086" s="276"/>
      <c r="F1086" s="205"/>
      <c r="G1086" s="312">
        <f t="shared" ref="G1086:G1092" si="147">+D1086*E1086+D1086*F1086</f>
        <v>0</v>
      </c>
    </row>
    <row r="1087" spans="1:7">
      <c r="A1087" s="313" t="s">
        <v>176</v>
      </c>
      <c r="B1087" s="252" t="s">
        <v>423</v>
      </c>
      <c r="C1087" s="268" t="s">
        <v>114</v>
      </c>
      <c r="D1087" s="194">
        <v>7</v>
      </c>
      <c r="E1087" s="82"/>
      <c r="F1087" s="95"/>
      <c r="G1087" s="312">
        <f t="shared" si="147"/>
        <v>0</v>
      </c>
    </row>
    <row r="1088" spans="1:7" ht="24">
      <c r="A1088" s="313" t="s">
        <v>177</v>
      </c>
      <c r="B1088" s="252" t="s">
        <v>424</v>
      </c>
      <c r="C1088" s="268" t="s">
        <v>114</v>
      </c>
      <c r="D1088" s="194">
        <v>1</v>
      </c>
      <c r="E1088" s="82"/>
      <c r="F1088" s="95"/>
      <c r="G1088" s="312">
        <f t="shared" si="147"/>
        <v>0</v>
      </c>
    </row>
    <row r="1089" spans="1:7">
      <c r="A1089" s="313" t="s">
        <v>189</v>
      </c>
      <c r="B1089" s="252" t="s">
        <v>425</v>
      </c>
      <c r="C1089" s="268" t="s">
        <v>114</v>
      </c>
      <c r="D1089" s="194">
        <v>1</v>
      </c>
      <c r="E1089" s="82"/>
      <c r="F1089" s="95"/>
      <c r="G1089" s="312">
        <f t="shared" si="147"/>
        <v>0</v>
      </c>
    </row>
    <row r="1090" spans="1:7">
      <c r="A1090" s="313" t="s">
        <v>190</v>
      </c>
      <c r="B1090" s="252" t="s">
        <v>426</v>
      </c>
      <c r="C1090" s="268" t="s">
        <v>114</v>
      </c>
      <c r="D1090" s="194">
        <v>7</v>
      </c>
      <c r="E1090" s="82"/>
      <c r="F1090" s="95"/>
      <c r="G1090" s="312">
        <f t="shared" si="147"/>
        <v>0</v>
      </c>
    </row>
    <row r="1091" spans="1:7">
      <c r="A1091" s="313" t="s">
        <v>191</v>
      </c>
      <c r="B1091" s="252" t="s">
        <v>427</v>
      </c>
      <c r="C1091" s="268" t="s">
        <v>114</v>
      </c>
      <c r="D1091" s="194">
        <v>1</v>
      </c>
      <c r="E1091" s="82"/>
      <c r="F1091" s="95"/>
      <c r="G1091" s="312">
        <f t="shared" si="147"/>
        <v>0</v>
      </c>
    </row>
    <row r="1092" spans="1:7">
      <c r="A1092" s="313" t="s">
        <v>192</v>
      </c>
      <c r="B1092" s="252" t="s">
        <v>428</v>
      </c>
      <c r="C1092" s="268" t="s">
        <v>114</v>
      </c>
      <c r="D1092" s="194">
        <v>1</v>
      </c>
      <c r="E1092" s="82"/>
      <c r="F1092" s="95"/>
      <c r="G1092" s="312">
        <f t="shared" si="147"/>
        <v>0</v>
      </c>
    </row>
    <row r="1093" spans="1:7">
      <c r="A1093" s="330"/>
      <c r="B1093" s="331"/>
      <c r="C1093" s="332"/>
      <c r="D1093" s="320"/>
      <c r="E1093" s="333"/>
      <c r="F1093" s="334"/>
      <c r="G1093" s="312"/>
    </row>
    <row r="1094" spans="1:7">
      <c r="A1094" s="330"/>
      <c r="B1094" s="331"/>
      <c r="C1094" s="332"/>
      <c r="D1094" s="320"/>
      <c r="E1094" s="333"/>
      <c r="F1094" s="334"/>
      <c r="G1094" s="312"/>
    </row>
    <row r="1095" spans="1:7">
      <c r="A1095" s="330"/>
      <c r="B1095" s="331"/>
      <c r="C1095" s="332"/>
      <c r="D1095" s="320"/>
      <c r="E1095" s="333"/>
      <c r="F1095" s="334"/>
      <c r="G1095" s="312"/>
    </row>
    <row r="1096" spans="1:7">
      <c r="A1096" s="330"/>
      <c r="B1096" s="331"/>
      <c r="C1096" s="332"/>
      <c r="D1096" s="320"/>
      <c r="E1096" s="333"/>
      <c r="F1096" s="334"/>
      <c r="G1096" s="312"/>
    </row>
    <row r="1097" spans="1:7">
      <c r="A1097" s="330"/>
      <c r="B1097" s="331"/>
      <c r="C1097" s="332"/>
      <c r="D1097" s="320"/>
      <c r="E1097" s="333"/>
      <c r="F1097" s="334"/>
      <c r="G1097" s="312"/>
    </row>
    <row r="1098" spans="1:7">
      <c r="A1098" s="330"/>
      <c r="B1098" s="331"/>
      <c r="C1098" s="332"/>
      <c r="D1098" s="320"/>
      <c r="E1098" s="333"/>
      <c r="F1098" s="334"/>
      <c r="G1098" s="312"/>
    </row>
    <row r="1099" spans="1:7">
      <c r="A1099" s="330"/>
      <c r="B1099" s="331"/>
      <c r="C1099" s="332"/>
      <c r="D1099" s="320"/>
      <c r="E1099" s="333"/>
      <c r="F1099" s="334"/>
      <c r="G1099" s="312"/>
    </row>
    <row r="1100" spans="1:7">
      <c r="A1100" s="330"/>
      <c r="B1100" s="331"/>
      <c r="C1100" s="332"/>
      <c r="D1100" s="320"/>
      <c r="E1100" s="333"/>
      <c r="F1100" s="334"/>
      <c r="G1100" s="312"/>
    </row>
    <row r="1101" spans="1:7" ht="12.75" thickBot="1">
      <c r="A1101" s="330"/>
      <c r="B1101" s="331"/>
      <c r="C1101" s="332"/>
      <c r="D1101" s="320"/>
      <c r="E1101" s="333"/>
      <c r="F1101" s="334"/>
      <c r="G1101" s="312"/>
    </row>
    <row r="1102" spans="1:7">
      <c r="A1102" s="346"/>
      <c r="B1102" s="65" t="s">
        <v>429</v>
      </c>
      <c r="C1102" s="347"/>
      <c r="D1102" s="69"/>
      <c r="E1102" s="348"/>
      <c r="F1102" s="349"/>
      <c r="G1102" s="70"/>
    </row>
    <row r="1103" spans="1:7" ht="12.75" thickBot="1">
      <c r="A1103" s="350"/>
      <c r="B1103" s="72" t="s">
        <v>430</v>
      </c>
      <c r="C1103" s="351"/>
      <c r="D1103" s="76"/>
      <c r="E1103" s="352"/>
      <c r="F1103" s="353"/>
      <c r="G1103" s="77">
        <f>SUM(G1059:G1102)</f>
        <v>0</v>
      </c>
    </row>
    <row r="1104" spans="1:7">
      <c r="A1104" s="313"/>
      <c r="B1104" s="79" t="s">
        <v>444</v>
      </c>
      <c r="C1104" s="92"/>
      <c r="D1104" s="194"/>
      <c r="E1104" s="82"/>
      <c r="F1104" s="95"/>
      <c r="G1104" s="96"/>
    </row>
    <row r="1105" spans="1:7">
      <c r="A1105" s="313"/>
      <c r="B1105" s="85" t="s">
        <v>441</v>
      </c>
      <c r="C1105" s="92"/>
      <c r="D1105" s="194"/>
      <c r="E1105" s="82"/>
      <c r="F1105" s="95"/>
      <c r="G1105" s="96"/>
    </row>
    <row r="1106" spans="1:7">
      <c r="A1106" s="314">
        <v>13.1</v>
      </c>
      <c r="B1106" s="261" t="s">
        <v>41</v>
      </c>
      <c r="C1106" s="315"/>
      <c r="D1106" s="316"/>
      <c r="E1106" s="143"/>
      <c r="F1106" s="235"/>
      <c r="G1106" s="236"/>
    </row>
    <row r="1107" spans="1:7">
      <c r="A1107" s="335"/>
      <c r="B1107" s="261" t="s">
        <v>443</v>
      </c>
      <c r="C1107" s="315"/>
      <c r="D1107" s="316"/>
      <c r="E1107" s="143"/>
      <c r="F1107" s="235"/>
      <c r="G1107" s="236"/>
    </row>
    <row r="1108" spans="1:7">
      <c r="A1108" s="313"/>
      <c r="B1108" s="252"/>
      <c r="C1108" s="268"/>
      <c r="D1108" s="194"/>
      <c r="E1108" s="82"/>
      <c r="F1108" s="95"/>
      <c r="G1108" s="96"/>
    </row>
    <row r="1109" spans="1:7">
      <c r="A1109" s="313"/>
      <c r="B1109" s="252"/>
      <c r="C1109" s="268"/>
      <c r="D1109" s="194"/>
      <c r="E1109" s="82"/>
      <c r="F1109" s="95"/>
      <c r="G1109" s="96"/>
    </row>
    <row r="1110" spans="1:7">
      <c r="A1110" s="313"/>
      <c r="B1110" s="252"/>
      <c r="C1110" s="268"/>
      <c r="D1110" s="194"/>
      <c r="E1110" s="82"/>
      <c r="F1110" s="95"/>
      <c r="G1110" s="96"/>
    </row>
    <row r="1111" spans="1:7">
      <c r="A1111" s="313"/>
      <c r="B1111" s="252"/>
      <c r="C1111" s="268"/>
      <c r="D1111" s="194"/>
      <c r="E1111" s="82"/>
      <c r="F1111" s="95"/>
      <c r="G1111" s="96"/>
    </row>
    <row r="1112" spans="1:7">
      <c r="A1112" s="313"/>
      <c r="B1112" s="252"/>
      <c r="C1112" s="268"/>
      <c r="D1112" s="194"/>
      <c r="E1112" s="82"/>
      <c r="F1112" s="95"/>
      <c r="G1112" s="96"/>
    </row>
    <row r="1113" spans="1:7">
      <c r="A1113" s="313"/>
      <c r="B1113" s="252"/>
      <c r="C1113" s="268"/>
      <c r="D1113" s="194"/>
      <c r="E1113" s="82"/>
      <c r="F1113" s="95"/>
      <c r="G1113" s="96"/>
    </row>
    <row r="1114" spans="1:7">
      <c r="A1114" s="313"/>
      <c r="B1114" s="252"/>
      <c r="C1114" s="268"/>
      <c r="D1114" s="194"/>
      <c r="E1114" s="82"/>
      <c r="F1114" s="95"/>
      <c r="G1114" s="96"/>
    </row>
    <row r="1115" spans="1:7">
      <c r="A1115" s="313"/>
      <c r="B1115" s="252"/>
      <c r="C1115" s="268"/>
      <c r="D1115" s="194"/>
      <c r="E1115" s="82"/>
      <c r="F1115" s="95"/>
      <c r="G1115" s="96"/>
    </row>
    <row r="1116" spans="1:7">
      <c r="A1116" s="313"/>
      <c r="B1116" s="252"/>
      <c r="C1116" s="268"/>
      <c r="D1116" s="194"/>
      <c r="E1116" s="82"/>
      <c r="F1116" s="95"/>
      <c r="G1116" s="96"/>
    </row>
    <row r="1117" spans="1:7">
      <c r="A1117" s="313"/>
      <c r="B1117" s="252"/>
      <c r="C1117" s="268"/>
      <c r="D1117" s="194"/>
      <c r="E1117" s="82"/>
      <c r="F1117" s="95"/>
      <c r="G1117" s="96"/>
    </row>
    <row r="1118" spans="1:7">
      <c r="A1118" s="313"/>
      <c r="B1118" s="252"/>
      <c r="C1118" s="268"/>
      <c r="D1118" s="194"/>
      <c r="E1118" s="82"/>
      <c r="F1118" s="95"/>
      <c r="G1118" s="96"/>
    </row>
    <row r="1119" spans="1:7">
      <c r="A1119" s="313"/>
      <c r="B1119" s="252"/>
      <c r="C1119" s="268"/>
      <c r="D1119" s="194"/>
      <c r="E1119" s="82"/>
      <c r="F1119" s="95"/>
      <c r="G1119" s="96"/>
    </row>
    <row r="1120" spans="1:7">
      <c r="A1120" s="313"/>
      <c r="B1120" s="252"/>
      <c r="C1120" s="268"/>
      <c r="D1120" s="194"/>
      <c r="E1120" s="82"/>
      <c r="F1120" s="95"/>
      <c r="G1120" s="96"/>
    </row>
    <row r="1121" spans="1:7">
      <c r="A1121" s="313"/>
      <c r="B1121" s="252"/>
      <c r="C1121" s="268"/>
      <c r="D1121" s="194"/>
      <c r="E1121" s="82"/>
      <c r="F1121" s="95"/>
      <c r="G1121" s="96"/>
    </row>
    <row r="1122" spans="1:7">
      <c r="A1122" s="313"/>
      <c r="B1122" s="252"/>
      <c r="C1122" s="268"/>
      <c r="D1122" s="194"/>
      <c r="E1122" s="82"/>
      <c r="F1122" s="95"/>
      <c r="G1122" s="96"/>
    </row>
    <row r="1123" spans="1:7">
      <c r="A1123" s="313"/>
      <c r="B1123" s="252"/>
      <c r="C1123" s="268"/>
      <c r="D1123" s="194"/>
      <c r="E1123" s="82"/>
      <c r="F1123" s="95"/>
      <c r="G1123" s="96"/>
    </row>
    <row r="1124" spans="1:7">
      <c r="A1124" s="313"/>
      <c r="B1124" s="252"/>
      <c r="C1124" s="268"/>
      <c r="D1124" s="194"/>
      <c r="E1124" s="82"/>
      <c r="F1124" s="95"/>
      <c r="G1124" s="96"/>
    </row>
    <row r="1125" spans="1:7">
      <c r="A1125" s="313"/>
      <c r="B1125" s="252"/>
      <c r="C1125" s="268"/>
      <c r="D1125" s="194"/>
      <c r="E1125" s="82"/>
      <c r="F1125" s="95"/>
      <c r="G1125" s="96"/>
    </row>
    <row r="1126" spans="1:7">
      <c r="A1126" s="313"/>
      <c r="B1126" s="252"/>
      <c r="C1126" s="268"/>
      <c r="D1126" s="194"/>
      <c r="E1126" s="82"/>
      <c r="F1126" s="95"/>
      <c r="G1126" s="96"/>
    </row>
    <row r="1127" spans="1:7">
      <c r="A1127" s="313"/>
      <c r="B1127" s="252"/>
      <c r="C1127" s="268"/>
      <c r="D1127" s="194"/>
      <c r="E1127" s="82"/>
      <c r="F1127" s="95"/>
      <c r="G1127" s="96"/>
    </row>
    <row r="1128" spans="1:7">
      <c r="A1128" s="313"/>
      <c r="B1128" s="252"/>
      <c r="C1128" s="268"/>
      <c r="D1128" s="194"/>
      <c r="E1128" s="82"/>
      <c r="F1128" s="95"/>
      <c r="G1128" s="96"/>
    </row>
    <row r="1129" spans="1:7">
      <c r="A1129" s="313"/>
      <c r="B1129" s="252"/>
      <c r="C1129" s="268"/>
      <c r="D1129" s="194"/>
      <c r="E1129" s="82"/>
      <c r="F1129" s="95"/>
      <c r="G1129" s="96"/>
    </row>
    <row r="1130" spans="1:7">
      <c r="A1130" s="313"/>
      <c r="B1130" s="252"/>
      <c r="C1130" s="268"/>
      <c r="D1130" s="194"/>
      <c r="E1130" s="82"/>
      <c r="F1130" s="95"/>
      <c r="G1130" s="96"/>
    </row>
    <row r="1131" spans="1:7">
      <c r="A1131" s="313"/>
      <c r="B1131" s="252"/>
      <c r="C1131" s="268"/>
      <c r="D1131" s="194"/>
      <c r="E1131" s="82"/>
      <c r="F1131" s="95"/>
      <c r="G1131" s="96"/>
    </row>
    <row r="1132" spans="1:7">
      <c r="A1132" s="313"/>
      <c r="B1132" s="252"/>
      <c r="C1132" s="268"/>
      <c r="D1132" s="194"/>
      <c r="E1132" s="82"/>
      <c r="F1132" s="95"/>
      <c r="G1132" s="96"/>
    </row>
    <row r="1133" spans="1:7">
      <c r="A1133" s="313"/>
      <c r="B1133" s="252"/>
      <c r="C1133" s="268"/>
      <c r="D1133" s="194"/>
      <c r="E1133" s="82"/>
      <c r="F1133" s="95"/>
      <c r="G1133" s="96"/>
    </row>
    <row r="1134" spans="1:7">
      <c r="A1134" s="313"/>
      <c r="B1134" s="252"/>
      <c r="C1134" s="268"/>
      <c r="D1134" s="194"/>
      <c r="E1134" s="82"/>
      <c r="F1134" s="95"/>
      <c r="G1134" s="96"/>
    </row>
    <row r="1135" spans="1:7">
      <c r="A1135" s="313"/>
      <c r="B1135" s="252"/>
      <c r="C1135" s="268"/>
      <c r="D1135" s="194"/>
      <c r="E1135" s="82"/>
      <c r="F1135" s="95"/>
      <c r="G1135" s="96"/>
    </row>
    <row r="1136" spans="1:7">
      <c r="A1136" s="313"/>
      <c r="B1136" s="252"/>
      <c r="C1136" s="268"/>
      <c r="D1136" s="194"/>
      <c r="E1136" s="82"/>
      <c r="F1136" s="95"/>
      <c r="G1136" s="96"/>
    </row>
    <row r="1137" spans="1:7">
      <c r="A1137" s="313"/>
      <c r="B1137" s="252"/>
      <c r="C1137" s="268"/>
      <c r="D1137" s="194"/>
      <c r="E1137" s="82"/>
      <c r="F1137" s="95"/>
      <c r="G1137" s="96"/>
    </row>
    <row r="1138" spans="1:7">
      <c r="A1138" s="313"/>
      <c r="B1138" s="252"/>
      <c r="C1138" s="268"/>
      <c r="D1138" s="194"/>
      <c r="E1138" s="82"/>
      <c r="F1138" s="95"/>
      <c r="G1138" s="96"/>
    </row>
    <row r="1139" spans="1:7">
      <c r="A1139" s="313"/>
      <c r="B1139" s="252"/>
      <c r="C1139" s="268"/>
      <c r="D1139" s="194"/>
      <c r="E1139" s="82"/>
      <c r="F1139" s="95"/>
      <c r="G1139" s="96"/>
    </row>
    <row r="1140" spans="1:7">
      <c r="A1140" s="313"/>
      <c r="B1140" s="252"/>
      <c r="C1140" s="268"/>
      <c r="D1140" s="194"/>
      <c r="E1140" s="82"/>
      <c r="F1140" s="95"/>
      <c r="G1140" s="96"/>
    </row>
    <row r="1141" spans="1:7">
      <c r="A1141" s="313"/>
      <c r="B1141" s="252"/>
      <c r="C1141" s="268"/>
      <c r="D1141" s="194"/>
      <c r="E1141" s="82"/>
      <c r="F1141" s="95"/>
      <c r="G1141" s="96"/>
    </row>
    <row r="1142" spans="1:7">
      <c r="A1142" s="313"/>
      <c r="B1142" s="252"/>
      <c r="C1142" s="268"/>
      <c r="D1142" s="194"/>
      <c r="E1142" s="82"/>
      <c r="F1142" s="95"/>
      <c r="G1142" s="96"/>
    </row>
    <row r="1143" spans="1:7">
      <c r="A1143" s="313"/>
      <c r="B1143" s="252"/>
      <c r="C1143" s="268"/>
      <c r="D1143" s="194"/>
      <c r="E1143" s="82"/>
      <c r="F1143" s="95"/>
      <c r="G1143" s="96"/>
    </row>
    <row r="1144" spans="1:7">
      <c r="A1144" s="313"/>
      <c r="B1144" s="252"/>
      <c r="C1144" s="268"/>
      <c r="D1144" s="194"/>
      <c r="E1144" s="82"/>
      <c r="F1144" s="95"/>
      <c r="G1144" s="96"/>
    </row>
    <row r="1145" spans="1:7">
      <c r="A1145" s="313"/>
      <c r="B1145" s="252"/>
      <c r="C1145" s="268"/>
      <c r="D1145" s="194"/>
      <c r="E1145" s="82"/>
      <c r="F1145" s="95"/>
      <c r="G1145" s="96"/>
    </row>
    <row r="1146" spans="1:7">
      <c r="A1146" s="313"/>
      <c r="B1146" s="252"/>
      <c r="C1146" s="268"/>
      <c r="D1146" s="194"/>
      <c r="E1146" s="82"/>
      <c r="F1146" s="95"/>
      <c r="G1146" s="96"/>
    </row>
    <row r="1147" spans="1:7">
      <c r="A1147" s="313"/>
      <c r="B1147" s="252"/>
      <c r="C1147" s="268"/>
      <c r="D1147" s="194"/>
      <c r="E1147" s="82"/>
      <c r="F1147" s="95"/>
      <c r="G1147" s="96"/>
    </row>
    <row r="1148" spans="1:7">
      <c r="A1148" s="313"/>
      <c r="B1148" s="252"/>
      <c r="C1148" s="268"/>
      <c r="D1148" s="194"/>
      <c r="E1148" s="82"/>
      <c r="F1148" s="95"/>
      <c r="G1148" s="96"/>
    </row>
    <row r="1149" spans="1:7">
      <c r="A1149" s="313"/>
      <c r="B1149" s="252"/>
      <c r="C1149" s="268"/>
      <c r="D1149" s="194"/>
      <c r="E1149" s="82"/>
      <c r="F1149" s="95"/>
      <c r="G1149" s="96"/>
    </row>
    <row r="1150" spans="1:7">
      <c r="A1150" s="313"/>
      <c r="B1150" s="252"/>
      <c r="C1150" s="268"/>
      <c r="D1150" s="194"/>
      <c r="E1150" s="82"/>
      <c r="F1150" s="95"/>
      <c r="G1150" s="96"/>
    </row>
    <row r="1151" spans="1:7">
      <c r="A1151" s="313"/>
      <c r="B1151" s="252"/>
      <c r="C1151" s="268"/>
      <c r="D1151" s="194"/>
      <c r="E1151" s="82"/>
      <c r="F1151" s="95"/>
      <c r="G1151" s="96"/>
    </row>
    <row r="1152" spans="1:7">
      <c r="A1152" s="313"/>
      <c r="B1152" s="252"/>
      <c r="C1152" s="268"/>
      <c r="D1152" s="194"/>
      <c r="E1152" s="82"/>
      <c r="F1152" s="95"/>
      <c r="G1152" s="96"/>
    </row>
    <row r="1153" spans="1:7">
      <c r="A1153" s="313"/>
      <c r="B1153" s="252"/>
      <c r="C1153" s="268"/>
      <c r="D1153" s="194"/>
      <c r="E1153" s="82"/>
      <c r="F1153" s="95"/>
      <c r="G1153" s="96"/>
    </row>
    <row r="1154" spans="1:7">
      <c r="A1154" s="313"/>
      <c r="B1154" s="252"/>
      <c r="C1154" s="268"/>
      <c r="D1154" s="194"/>
      <c r="E1154" s="82"/>
      <c r="F1154" s="95"/>
      <c r="G1154" s="96"/>
    </row>
    <row r="1155" spans="1:7">
      <c r="A1155" s="313"/>
      <c r="B1155" s="252"/>
      <c r="C1155" s="268"/>
      <c r="D1155" s="194"/>
      <c r="E1155" s="82"/>
      <c r="F1155" s="95"/>
      <c r="G1155" s="96"/>
    </row>
    <row r="1156" spans="1:7">
      <c r="A1156" s="313"/>
      <c r="B1156" s="252"/>
      <c r="C1156" s="268"/>
      <c r="D1156" s="194"/>
      <c r="E1156" s="82"/>
      <c r="F1156" s="95"/>
      <c r="G1156" s="96"/>
    </row>
    <row r="1157" spans="1:7">
      <c r="A1157" s="313"/>
      <c r="B1157" s="252"/>
      <c r="C1157" s="268"/>
      <c r="D1157" s="194"/>
      <c r="E1157" s="82"/>
      <c r="F1157" s="95"/>
      <c r="G1157" s="96"/>
    </row>
    <row r="1158" spans="1:7">
      <c r="A1158" s="313"/>
      <c r="B1158" s="252"/>
      <c r="C1158" s="268"/>
      <c r="D1158" s="194"/>
      <c r="E1158" s="82"/>
      <c r="F1158" s="95"/>
      <c r="G1158" s="96"/>
    </row>
    <row r="1159" spans="1:7">
      <c r="A1159" s="313"/>
      <c r="B1159" s="252"/>
      <c r="C1159" s="268"/>
      <c r="D1159" s="194"/>
      <c r="E1159" s="82"/>
      <c r="F1159" s="95"/>
      <c r="G1159" s="96"/>
    </row>
    <row r="1160" spans="1:7" ht="12.75" thickBot="1">
      <c r="A1160" s="313"/>
      <c r="B1160" s="252"/>
      <c r="C1160" s="268"/>
      <c r="D1160" s="194"/>
      <c r="E1160" s="82"/>
      <c r="F1160" s="95"/>
      <c r="G1160" s="96"/>
    </row>
    <row r="1161" spans="1:7">
      <c r="A1161" s="346"/>
      <c r="B1161" s="65" t="s">
        <v>447</v>
      </c>
      <c r="C1161" s="347"/>
      <c r="D1161" s="69"/>
      <c r="E1161" s="348"/>
      <c r="F1161" s="349"/>
      <c r="G1161" s="70"/>
    </row>
    <row r="1162" spans="1:7" ht="12.75" thickBot="1">
      <c r="A1162" s="350"/>
      <c r="B1162" s="72" t="s">
        <v>446</v>
      </c>
      <c r="C1162" s="351"/>
      <c r="D1162" s="76"/>
      <c r="E1162" s="352"/>
      <c r="F1162" s="353"/>
      <c r="G1162" s="77">
        <f>SUM(G911:G1161)</f>
        <v>0</v>
      </c>
    </row>
    <row r="1163" spans="1:7">
      <c r="A1163" s="313"/>
      <c r="B1163" s="79" t="s">
        <v>448</v>
      </c>
      <c r="C1163" s="92"/>
      <c r="D1163" s="194"/>
      <c r="E1163" s="82"/>
      <c r="F1163" s="95"/>
      <c r="G1163" s="96"/>
    </row>
    <row r="1164" spans="1:7">
      <c r="A1164" s="313"/>
      <c r="B1164" s="85" t="s">
        <v>442</v>
      </c>
      <c r="C1164" s="92"/>
      <c r="D1164" s="194"/>
      <c r="E1164" s="82"/>
      <c r="F1164" s="95"/>
      <c r="G1164" s="96"/>
    </row>
    <row r="1165" spans="1:7">
      <c r="A1165" s="314">
        <v>14.1</v>
      </c>
      <c r="B1165" s="261" t="s">
        <v>41</v>
      </c>
      <c r="C1165" s="315"/>
      <c r="D1165" s="316"/>
      <c r="E1165" s="143"/>
      <c r="F1165" s="235"/>
      <c r="G1165" s="236"/>
    </row>
    <row r="1166" spans="1:7">
      <c r="A1166" s="336"/>
      <c r="B1166" s="337" t="s">
        <v>445</v>
      </c>
      <c r="C1166" s="106"/>
      <c r="D1166" s="194"/>
      <c r="E1166" s="209"/>
      <c r="F1166" s="189"/>
      <c r="G1166" s="222"/>
    </row>
    <row r="1167" spans="1:7">
      <c r="A1167" s="313"/>
      <c r="B1167" s="252"/>
      <c r="C1167" s="268"/>
      <c r="D1167" s="194"/>
      <c r="E1167" s="82"/>
      <c r="F1167" s="95"/>
      <c r="G1167" s="96"/>
    </row>
    <row r="1168" spans="1:7">
      <c r="A1168" s="313"/>
      <c r="B1168" s="252"/>
      <c r="C1168" s="268"/>
      <c r="D1168" s="194"/>
      <c r="E1168" s="82"/>
      <c r="F1168" s="95"/>
      <c r="G1168" s="96"/>
    </row>
    <row r="1169" spans="1:7">
      <c r="A1169" s="313"/>
      <c r="B1169" s="252"/>
      <c r="C1169" s="268"/>
      <c r="D1169" s="194"/>
      <c r="E1169" s="82"/>
      <c r="F1169" s="95"/>
      <c r="G1169" s="96"/>
    </row>
    <row r="1170" spans="1:7">
      <c r="A1170" s="313"/>
      <c r="B1170" s="252"/>
      <c r="C1170" s="268"/>
      <c r="D1170" s="194"/>
      <c r="E1170" s="82"/>
      <c r="F1170" s="95"/>
      <c r="G1170" s="96"/>
    </row>
    <row r="1171" spans="1:7">
      <c r="A1171" s="313"/>
      <c r="B1171" s="252"/>
      <c r="C1171" s="268"/>
      <c r="D1171" s="194"/>
      <c r="E1171" s="82"/>
      <c r="F1171" s="95"/>
      <c r="G1171" s="96"/>
    </row>
    <row r="1172" spans="1:7">
      <c r="A1172" s="313"/>
      <c r="B1172" s="252"/>
      <c r="C1172" s="268"/>
      <c r="D1172" s="194"/>
      <c r="E1172" s="82"/>
      <c r="F1172" s="95"/>
      <c r="G1172" s="96"/>
    </row>
    <row r="1173" spans="1:7">
      <c r="A1173" s="313"/>
      <c r="B1173" s="252"/>
      <c r="C1173" s="268"/>
      <c r="D1173" s="194"/>
      <c r="E1173" s="82"/>
      <c r="F1173" s="95"/>
      <c r="G1173" s="96"/>
    </row>
    <row r="1174" spans="1:7">
      <c r="A1174" s="313"/>
      <c r="B1174" s="252"/>
      <c r="C1174" s="268"/>
      <c r="D1174" s="194"/>
      <c r="E1174" s="82"/>
      <c r="F1174" s="95"/>
      <c r="G1174" s="96"/>
    </row>
    <row r="1175" spans="1:7">
      <c r="A1175" s="313"/>
      <c r="B1175" s="252"/>
      <c r="C1175" s="268"/>
      <c r="D1175" s="194"/>
      <c r="E1175" s="82"/>
      <c r="F1175" s="95"/>
      <c r="G1175" s="96"/>
    </row>
    <row r="1176" spans="1:7">
      <c r="A1176" s="313"/>
      <c r="B1176" s="252"/>
      <c r="C1176" s="268"/>
      <c r="D1176" s="194"/>
      <c r="E1176" s="82"/>
      <c r="F1176" s="95"/>
      <c r="G1176" s="96"/>
    </row>
    <row r="1177" spans="1:7">
      <c r="A1177" s="313"/>
      <c r="B1177" s="252"/>
      <c r="C1177" s="268"/>
      <c r="D1177" s="194"/>
      <c r="E1177" s="82"/>
      <c r="F1177" s="95"/>
      <c r="G1177" s="96"/>
    </row>
    <row r="1178" spans="1:7">
      <c r="A1178" s="313"/>
      <c r="B1178" s="252"/>
      <c r="C1178" s="268"/>
      <c r="D1178" s="194"/>
      <c r="E1178" s="82"/>
      <c r="F1178" s="95"/>
      <c r="G1178" s="96"/>
    </row>
    <row r="1179" spans="1:7">
      <c r="A1179" s="313"/>
      <c r="B1179" s="252"/>
      <c r="C1179" s="268"/>
      <c r="D1179" s="194"/>
      <c r="E1179" s="82"/>
      <c r="F1179" s="95"/>
      <c r="G1179" s="96"/>
    </row>
    <row r="1180" spans="1:7">
      <c r="A1180" s="313"/>
      <c r="B1180" s="252"/>
      <c r="C1180" s="268"/>
      <c r="D1180" s="194"/>
      <c r="E1180" s="82"/>
      <c r="F1180" s="95"/>
      <c r="G1180" s="96"/>
    </row>
    <row r="1181" spans="1:7">
      <c r="A1181" s="313"/>
      <c r="B1181" s="252"/>
      <c r="C1181" s="268"/>
      <c r="D1181" s="194"/>
      <c r="E1181" s="82"/>
      <c r="F1181" s="95"/>
      <c r="G1181" s="96"/>
    </row>
    <row r="1182" spans="1:7">
      <c r="A1182" s="313"/>
      <c r="B1182" s="252"/>
      <c r="C1182" s="268"/>
      <c r="D1182" s="194"/>
      <c r="E1182" s="82"/>
      <c r="F1182" s="95"/>
      <c r="G1182" s="96"/>
    </row>
    <row r="1183" spans="1:7">
      <c r="A1183" s="313"/>
      <c r="B1183" s="252"/>
      <c r="C1183" s="268"/>
      <c r="D1183" s="194"/>
      <c r="E1183" s="82"/>
      <c r="F1183" s="95"/>
      <c r="G1183" s="96"/>
    </row>
    <row r="1184" spans="1:7">
      <c r="A1184" s="313"/>
      <c r="B1184" s="252"/>
      <c r="C1184" s="268"/>
      <c r="D1184" s="194"/>
      <c r="E1184" s="82"/>
      <c r="F1184" s="95"/>
      <c r="G1184" s="96"/>
    </row>
    <row r="1185" spans="1:7">
      <c r="A1185" s="313"/>
      <c r="B1185" s="252"/>
      <c r="C1185" s="268"/>
      <c r="D1185" s="194"/>
      <c r="E1185" s="82"/>
      <c r="F1185" s="95"/>
      <c r="G1185" s="96"/>
    </row>
    <row r="1186" spans="1:7">
      <c r="A1186" s="313"/>
      <c r="B1186" s="252"/>
      <c r="C1186" s="268"/>
      <c r="D1186" s="194"/>
      <c r="E1186" s="82"/>
      <c r="F1186" s="95"/>
      <c r="G1186" s="96"/>
    </row>
    <row r="1187" spans="1:7">
      <c r="A1187" s="313"/>
      <c r="B1187" s="252"/>
      <c r="C1187" s="268"/>
      <c r="D1187" s="194"/>
      <c r="E1187" s="82"/>
      <c r="F1187" s="95"/>
      <c r="G1187" s="96"/>
    </row>
    <row r="1188" spans="1:7">
      <c r="A1188" s="313"/>
      <c r="B1188" s="252"/>
      <c r="C1188" s="268"/>
      <c r="D1188" s="194"/>
      <c r="E1188" s="82"/>
      <c r="F1188" s="95"/>
      <c r="G1188" s="96"/>
    </row>
    <row r="1189" spans="1:7">
      <c r="A1189" s="313"/>
      <c r="B1189" s="252"/>
      <c r="C1189" s="268"/>
      <c r="D1189" s="194"/>
      <c r="E1189" s="82"/>
      <c r="F1189" s="95"/>
      <c r="G1189" s="96"/>
    </row>
    <row r="1190" spans="1:7">
      <c r="A1190" s="313"/>
      <c r="B1190" s="252"/>
      <c r="C1190" s="268"/>
      <c r="D1190" s="194"/>
      <c r="E1190" s="82"/>
      <c r="F1190" s="95"/>
      <c r="G1190" s="96"/>
    </row>
    <row r="1191" spans="1:7">
      <c r="A1191" s="313"/>
      <c r="B1191" s="252"/>
      <c r="C1191" s="268"/>
      <c r="D1191" s="194"/>
      <c r="E1191" s="82"/>
      <c r="F1191" s="95"/>
      <c r="G1191" s="96"/>
    </row>
    <row r="1192" spans="1:7">
      <c r="A1192" s="313"/>
      <c r="B1192" s="252"/>
      <c r="C1192" s="268"/>
      <c r="D1192" s="194"/>
      <c r="E1192" s="82"/>
      <c r="F1192" s="95"/>
      <c r="G1192" s="96"/>
    </row>
    <row r="1193" spans="1:7">
      <c r="A1193" s="313"/>
      <c r="B1193" s="252"/>
      <c r="C1193" s="268"/>
      <c r="D1193" s="194"/>
      <c r="E1193" s="82"/>
      <c r="F1193" s="95"/>
      <c r="G1193" s="96"/>
    </row>
    <row r="1194" spans="1:7">
      <c r="A1194" s="313"/>
      <c r="B1194" s="252"/>
      <c r="C1194" s="268"/>
      <c r="D1194" s="194"/>
      <c r="E1194" s="82"/>
      <c r="F1194" s="95"/>
      <c r="G1194" s="96"/>
    </row>
    <row r="1195" spans="1:7">
      <c r="A1195" s="313"/>
      <c r="B1195" s="252"/>
      <c r="C1195" s="268"/>
      <c r="D1195" s="194"/>
      <c r="E1195" s="82"/>
      <c r="F1195" s="95"/>
      <c r="G1195" s="96"/>
    </row>
    <row r="1196" spans="1:7">
      <c r="A1196" s="313"/>
      <c r="B1196" s="252"/>
      <c r="C1196" s="268"/>
      <c r="D1196" s="194"/>
      <c r="E1196" s="82"/>
      <c r="F1196" s="95"/>
      <c r="G1196" s="96"/>
    </row>
    <row r="1197" spans="1:7">
      <c r="A1197" s="313"/>
      <c r="B1197" s="252"/>
      <c r="C1197" s="268"/>
      <c r="D1197" s="194"/>
      <c r="E1197" s="82"/>
      <c r="F1197" s="95"/>
      <c r="G1197" s="96"/>
    </row>
    <row r="1198" spans="1:7">
      <c r="A1198" s="313"/>
      <c r="B1198" s="252"/>
      <c r="C1198" s="268"/>
      <c r="D1198" s="194"/>
      <c r="E1198" s="82"/>
      <c r="F1198" s="95"/>
      <c r="G1198" s="96"/>
    </row>
    <row r="1199" spans="1:7">
      <c r="A1199" s="313"/>
      <c r="B1199" s="252"/>
      <c r="C1199" s="268"/>
      <c r="D1199" s="194"/>
      <c r="E1199" s="82"/>
      <c r="F1199" s="95"/>
      <c r="G1199" s="96"/>
    </row>
    <row r="1200" spans="1:7">
      <c r="A1200" s="313"/>
      <c r="B1200" s="252"/>
      <c r="C1200" s="268"/>
      <c r="D1200" s="194"/>
      <c r="E1200" s="82"/>
      <c r="F1200" s="95"/>
      <c r="G1200" s="96"/>
    </row>
    <row r="1201" spans="1:7">
      <c r="A1201" s="313"/>
      <c r="B1201" s="252"/>
      <c r="C1201" s="268"/>
      <c r="D1201" s="194"/>
      <c r="E1201" s="82"/>
      <c r="F1201" s="95"/>
      <c r="G1201" s="96"/>
    </row>
    <row r="1202" spans="1:7">
      <c r="A1202" s="313"/>
      <c r="B1202" s="252"/>
      <c r="C1202" s="268"/>
      <c r="D1202" s="194"/>
      <c r="E1202" s="82"/>
      <c r="F1202" s="95"/>
      <c r="G1202" s="96"/>
    </row>
    <row r="1203" spans="1:7">
      <c r="A1203" s="313"/>
      <c r="B1203" s="252"/>
      <c r="C1203" s="268"/>
      <c r="D1203" s="194"/>
      <c r="E1203" s="82"/>
      <c r="F1203" s="95"/>
      <c r="G1203" s="96"/>
    </row>
    <row r="1204" spans="1:7">
      <c r="A1204" s="313"/>
      <c r="B1204" s="252"/>
      <c r="C1204" s="268"/>
      <c r="D1204" s="194"/>
      <c r="E1204" s="82"/>
      <c r="F1204" s="95"/>
      <c r="G1204" s="96"/>
    </row>
    <row r="1205" spans="1:7">
      <c r="A1205" s="313"/>
      <c r="B1205" s="252"/>
      <c r="C1205" s="268"/>
      <c r="D1205" s="194"/>
      <c r="E1205" s="82"/>
      <c r="F1205" s="95"/>
      <c r="G1205" s="96"/>
    </row>
    <row r="1206" spans="1:7">
      <c r="A1206" s="313"/>
      <c r="B1206" s="252"/>
      <c r="C1206" s="268"/>
      <c r="D1206" s="194"/>
      <c r="E1206" s="82"/>
      <c r="F1206" s="95"/>
      <c r="G1206" s="96"/>
    </row>
    <row r="1207" spans="1:7">
      <c r="A1207" s="313"/>
      <c r="B1207" s="252"/>
      <c r="C1207" s="268"/>
      <c r="D1207" s="194"/>
      <c r="E1207" s="82"/>
      <c r="F1207" s="95"/>
      <c r="G1207" s="96"/>
    </row>
    <row r="1208" spans="1:7">
      <c r="A1208" s="313"/>
      <c r="B1208" s="252"/>
      <c r="C1208" s="268"/>
      <c r="D1208" s="194"/>
      <c r="E1208" s="82"/>
      <c r="F1208" s="95"/>
      <c r="G1208" s="96"/>
    </row>
    <row r="1209" spans="1:7">
      <c r="A1209" s="313"/>
      <c r="B1209" s="252"/>
      <c r="C1209" s="268"/>
      <c r="D1209" s="194"/>
      <c r="E1209" s="82"/>
      <c r="F1209" s="95"/>
      <c r="G1209" s="96"/>
    </row>
    <row r="1210" spans="1:7">
      <c r="A1210" s="313"/>
      <c r="B1210" s="252"/>
      <c r="C1210" s="268"/>
      <c r="D1210" s="194"/>
      <c r="E1210" s="82"/>
      <c r="F1210" s="95"/>
      <c r="G1210" s="96"/>
    </row>
    <row r="1211" spans="1:7">
      <c r="A1211" s="313"/>
      <c r="B1211" s="252"/>
      <c r="C1211" s="268"/>
      <c r="D1211" s="194"/>
      <c r="E1211" s="82"/>
      <c r="F1211" s="95"/>
      <c r="G1211" s="96"/>
    </row>
    <row r="1212" spans="1:7">
      <c r="A1212" s="313"/>
      <c r="B1212" s="252"/>
      <c r="C1212" s="268"/>
      <c r="D1212" s="194"/>
      <c r="E1212" s="82"/>
      <c r="F1212" s="95"/>
      <c r="G1212" s="96"/>
    </row>
    <row r="1213" spans="1:7">
      <c r="A1213" s="313"/>
      <c r="B1213" s="252"/>
      <c r="C1213" s="268"/>
      <c r="D1213" s="194"/>
      <c r="E1213" s="82"/>
      <c r="F1213" s="95"/>
      <c r="G1213" s="96"/>
    </row>
    <row r="1214" spans="1:7">
      <c r="A1214" s="313"/>
      <c r="B1214" s="252"/>
      <c r="C1214" s="268"/>
      <c r="D1214" s="194"/>
      <c r="E1214" s="82"/>
      <c r="F1214" s="95"/>
      <c r="G1214" s="96"/>
    </row>
    <row r="1215" spans="1:7">
      <c r="A1215" s="313"/>
      <c r="B1215" s="252"/>
      <c r="C1215" s="268"/>
      <c r="D1215" s="194"/>
      <c r="E1215" s="82"/>
      <c r="F1215" s="95"/>
      <c r="G1215" s="96"/>
    </row>
    <row r="1216" spans="1:7">
      <c r="A1216" s="313"/>
      <c r="B1216" s="252"/>
      <c r="C1216" s="268"/>
      <c r="D1216" s="194"/>
      <c r="E1216" s="82"/>
      <c r="F1216" s="95"/>
      <c r="G1216" s="96"/>
    </row>
    <row r="1217" spans="1:7">
      <c r="A1217" s="313"/>
      <c r="B1217" s="252"/>
      <c r="C1217" s="268"/>
      <c r="D1217" s="194"/>
      <c r="E1217" s="82"/>
      <c r="F1217" s="95"/>
      <c r="G1217" s="96"/>
    </row>
    <row r="1218" spans="1:7">
      <c r="A1218" s="313"/>
      <c r="B1218" s="252"/>
      <c r="C1218" s="268"/>
      <c r="D1218" s="194"/>
      <c r="E1218" s="82"/>
      <c r="F1218" s="95"/>
      <c r="G1218" s="96"/>
    </row>
    <row r="1219" spans="1:7" ht="12.75" thickBot="1">
      <c r="A1219" s="313"/>
      <c r="B1219" s="252"/>
      <c r="C1219" s="268"/>
      <c r="D1219" s="194"/>
      <c r="E1219" s="82"/>
      <c r="F1219" s="95"/>
      <c r="G1219" s="96"/>
    </row>
    <row r="1220" spans="1:7">
      <c r="A1220" s="346"/>
      <c r="B1220" s="65" t="s">
        <v>449</v>
      </c>
      <c r="C1220" s="347"/>
      <c r="D1220" s="69"/>
      <c r="E1220" s="348"/>
      <c r="F1220" s="349"/>
      <c r="G1220" s="345"/>
    </row>
    <row r="1221" spans="1:7" ht="12.75" thickBot="1">
      <c r="A1221" s="350"/>
      <c r="B1221" s="72" t="s">
        <v>450</v>
      </c>
      <c r="C1221" s="351"/>
      <c r="D1221" s="76"/>
      <c r="E1221" s="352"/>
      <c r="F1221" s="353"/>
      <c r="G1221" s="342">
        <f>SUM(G1164:G1220)</f>
        <v>0</v>
      </c>
    </row>
  </sheetData>
  <mergeCells count="22">
    <mergeCell ref="B1059:E1059"/>
    <mergeCell ref="B1060:E1060"/>
    <mergeCell ref="B1061:E1061"/>
    <mergeCell ref="B1062:E1062"/>
    <mergeCell ref="B907:E907"/>
    <mergeCell ref="B908:E908"/>
    <mergeCell ref="B909:E909"/>
    <mergeCell ref="B910:E910"/>
    <mergeCell ref="B911:E911"/>
    <mergeCell ref="A1:G1"/>
    <mergeCell ref="B663:G663"/>
    <mergeCell ref="B90:E90"/>
    <mergeCell ref="B91:E91"/>
    <mergeCell ref="B92:E92"/>
    <mergeCell ref="B162:E162"/>
    <mergeCell ref="B163:E163"/>
    <mergeCell ref="B164:E164"/>
    <mergeCell ref="B165:E165"/>
    <mergeCell ref="B244:E244"/>
    <mergeCell ref="B245:E245"/>
    <mergeCell ref="B246:E246"/>
    <mergeCell ref="B524:E524"/>
  </mergeCells>
  <pageMargins left="0.70866141732283472" right="0.47244094488188981" top="0.70866141732283472" bottom="0.47244094488188981" header="0.23622047244094491" footer="0.23622047244094491"/>
  <pageSetup orientation="portrait" horizontalDpi="4294967293" verticalDpi="300" r:id="rId1"/>
  <headerFooter>
    <oddHeader>&amp;L&amp;8GN.FUVAMULAH HAFIZ AHMED SCHOOL&amp;R&amp;8     BILL OF QUANTITIES</oddHeader>
    <oddFooter>&amp;L&amp;8JUNE, 2015&amp;C&amp;8&amp;P&amp;R&amp;8ArchEng Studio Pvt. Ltd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abdulla.muththalib</cp:lastModifiedBy>
  <cp:lastPrinted>2015-06-05T11:30:19Z</cp:lastPrinted>
  <dcterms:created xsi:type="dcterms:W3CDTF">2011-03-24T06:48:27Z</dcterms:created>
  <dcterms:modified xsi:type="dcterms:W3CDTF">2016-02-07T06:12:18Z</dcterms:modified>
</cp:coreProperties>
</file>